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6.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drawings/drawing7.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drawings/drawing8.xml" ContentType="application/vnd.openxmlformats-officedocument.drawing+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drawings/drawing9.xml" ContentType="application/vnd.openxmlformats-officedocument.drawing+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drawings/drawing10.xml" ContentType="application/vnd.openxmlformats-officedocument.drawing+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drawings/drawing11.xml" ContentType="application/vnd.openxmlformats-officedocument.drawing+xml"/>
  <Override PartName="/xl/tables/table58.xml" ContentType="application/vnd.openxmlformats-officedocument.spreadsheetml.table+xml"/>
  <Override PartName="/xl/drawings/drawing12.xml" ContentType="application/vnd.openxmlformats-officedocument.drawing+xml"/>
  <Override PartName="/xl/queryTables/queryTable1.xml" ContentType="application/vnd.openxmlformats-officedocument.spreadsheetml.query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codeName="BuÇalışmaKitabı"/>
  <mc:AlternateContent xmlns:mc="http://schemas.openxmlformats.org/markup-compatibility/2006">
    <mc:Choice Requires="x15">
      <x15ac:absPath xmlns:x15ac="http://schemas.microsoft.com/office/spreadsheetml/2010/11/ac" url="C:\Users\omer.erbas\Desktop\"/>
    </mc:Choice>
  </mc:AlternateContent>
  <xr:revisionPtr revIDLastSave="0" documentId="13_ncr:1000001_{078374E4-1D8A-D048-8630-9EFC74193634}" xr6:coauthVersionLast="47" xr6:coauthVersionMax="47" xr10:uidLastSave="{00000000-0000-0000-0000-000000000000}"/>
  <bookViews>
    <workbookView xWindow="0" yWindow="0" windowWidth="25128" windowHeight="11388" tabRatio="948" activeTab="1" xr2:uid="{00000000-000D-0000-FFFF-FFFF00000000}"/>
  </bookViews>
  <sheets>
    <sheet name="Et Kalınlığı Hesaplama" sheetId="18" r:id="rId1"/>
    <sheet name="Boru Seçim-Kontrol Aracı" sheetId="11" r:id="rId2"/>
    <sheet name="Boru SMYS Tablosu" sheetId="4" r:id="rId3"/>
    <sheet name="Reinforcement Pad" sheetId="15" r:id="rId4"/>
    <sheet name="Boru Kontrol Tablosu BOTAŞ" sheetId="21" r:id="rId5"/>
    <sheet name="Boru Kontrol Tablosu ASME" sheetId="1" state="hidden" r:id="rId6"/>
    <sheet name="Fitting Seçim Aracı" sheetId="17" r:id="rId7"/>
    <sheet name="Flanş Seçim Aracı" sheetId="19" r:id="rId8"/>
    <sheet name="Forging Fittings" sheetId="8" r:id="rId9"/>
    <sheet name="Forging Fittings Özellikleri" sheetId="14" r:id="rId10"/>
    <sheet name="Wrought Fittings" sheetId="9" r:id="rId11"/>
    <sheet name="Casting Fittings" sheetId="10" r:id="rId12"/>
    <sheet name="Low Temp. Pipe&amp;Fittings" sheetId="13" r:id="rId13"/>
    <sheet name="ASME B36.10" sheetId="16" state="hidden" r:id="rId14"/>
    <sheet name="Design P F" sheetId="7" state="hidden" r:id="rId15"/>
  </sheets>
  <definedNames>
    <definedName name="_xlnm._FilterDatabase" localSheetId="5" hidden="1">'Boru Seçim-Kontrol Aracı'!$B$8:$E$28</definedName>
    <definedName name="_xlnm._FilterDatabase" localSheetId="4" hidden="1">'Boru Seçim-Kontrol Aracı'!$B$8:$E$28</definedName>
    <definedName name="ASTM_A350_LF2" localSheetId="12">'Low Temp. Pipe&amp;Fittings'!$AW$52:$AW$54</definedName>
    <definedName name="Chemical_Comp._A105_A350" localSheetId="4">Tablo11[]</definedName>
    <definedName name="Chemical_Comp._A105_A350">Tablo11[]</definedName>
    <definedName name="Fitting_TAblosu" localSheetId="4">Fitting_Flanş[]</definedName>
    <definedName name="Fitting_TAblosu">Fitting_Flanş[]</definedName>
    <definedName name="MSS_SP_44_Pressure_Temperature_Ratings" localSheetId="4">Tablo48[]</definedName>
    <definedName name="MSS_SP_44_Pressure_Temperature_Ratings">Tablo48[]</definedName>
    <definedName name="MSS_SP_44_Ratings" localSheetId="4">Tablo48[]</definedName>
    <definedName name="MSS_SP_44_Ratings">Tablo48[]</definedName>
    <definedName name="_xlnm.Print_Area" localSheetId="5">'Boru Kontrol Tablosu ASME'!$A$1:$BD$151</definedName>
    <definedName name="_xlnm.Print_Area" localSheetId="4">'Boru Kontrol Tablosu BOTAŞ'!$A$1:$BD$151</definedName>
    <definedName name="_xlnm.Print_Area" localSheetId="0">'Et Kalınlığı Hesaplama'!$A$1:$J$18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9" i="15" l="1"/>
  <c r="S30" i="15"/>
  <c r="S31" i="15"/>
  <c r="S32" i="15"/>
  <c r="S33" i="15"/>
  <c r="S34" i="15"/>
  <c r="S35" i="15"/>
  <c r="S36" i="15"/>
  <c r="S37" i="15"/>
  <c r="S38" i="15"/>
  <c r="S39" i="15"/>
  <c r="S40" i="15"/>
  <c r="S41" i="15"/>
  <c r="S42" i="15"/>
  <c r="S43" i="15"/>
  <c r="S44" i="15"/>
  <c r="S45" i="15"/>
  <c r="S46" i="15"/>
  <c r="S47" i="15"/>
  <c r="S48" i="15"/>
  <c r="S49" i="15"/>
  <c r="P50" i="15"/>
  <c r="S50" i="15"/>
  <c r="P36" i="15"/>
  <c r="Q25" i="15"/>
  <c r="P29" i="15"/>
  <c r="P31" i="15"/>
  <c r="Q24" i="15"/>
  <c r="R24" i="15"/>
  <c r="P34" i="15"/>
  <c r="P40" i="15"/>
  <c r="R25" i="15"/>
  <c r="P32" i="15"/>
  <c r="P37" i="15"/>
  <c r="P38" i="15"/>
  <c r="P39" i="15"/>
  <c r="P42" i="15"/>
  <c r="P41" i="15"/>
  <c r="Q46" i="15"/>
  <c r="P48" i="15"/>
  <c r="P47" i="15"/>
  <c r="J8" i="11"/>
  <c r="J64" i="11"/>
  <c r="J65" i="11"/>
  <c r="J13" i="11"/>
  <c r="J67" i="11"/>
  <c r="S2" i="18"/>
  <c r="C6" i="18"/>
  <c r="E8" i="11"/>
  <c r="F10" i="11"/>
  <c r="F64" i="11"/>
  <c r="F65" i="11"/>
  <c r="F67" i="11"/>
  <c r="G10" i="11"/>
  <c r="G64" i="11"/>
  <c r="G65" i="11"/>
  <c r="G67" i="11"/>
  <c r="H10" i="11"/>
  <c r="H64" i="11"/>
  <c r="H65" i="11"/>
  <c r="E12" i="11"/>
  <c r="G24" i="11"/>
  <c r="H3" i="11"/>
  <c r="H67" i="11"/>
  <c r="I10" i="11"/>
  <c r="I64" i="11"/>
  <c r="I65" i="11"/>
  <c r="I3" i="11"/>
  <c r="I67" i="11"/>
  <c r="E10" i="11"/>
  <c r="E64" i="11"/>
  <c r="E65" i="11"/>
  <c r="E67" i="11"/>
  <c r="F12" i="18"/>
  <c r="E12" i="18"/>
  <c r="D12" i="18"/>
  <c r="C12" i="18"/>
  <c r="B12" i="18"/>
  <c r="T31" i="1"/>
  <c r="H33" i="11"/>
  <c r="R31" i="1"/>
  <c r="F33" i="11"/>
  <c r="S31" i="1"/>
  <c r="H32" i="11"/>
  <c r="Q31" i="1"/>
  <c r="F32" i="11"/>
  <c r="AR53" i="21"/>
  <c r="AS53" i="21"/>
  <c r="AP53" i="21"/>
  <c r="AQ53" i="21"/>
  <c r="AN53" i="21"/>
  <c r="AO53" i="21"/>
  <c r="AL53" i="21"/>
  <c r="AM53" i="21"/>
  <c r="AJ53" i="21"/>
  <c r="AK53" i="21"/>
  <c r="AI53" i="21"/>
  <c r="AH53" i="21"/>
  <c r="AG53" i="21"/>
  <c r="AF53" i="21"/>
  <c r="AE53" i="21"/>
  <c r="AD53" i="21"/>
  <c r="AC53" i="21"/>
  <c r="AB53" i="21"/>
  <c r="AA53" i="21"/>
  <c r="Z53" i="21"/>
  <c r="Y53" i="21"/>
  <c r="X53" i="21"/>
  <c r="W53" i="21"/>
  <c r="V53" i="21"/>
  <c r="U53" i="21"/>
  <c r="T53" i="21"/>
  <c r="S53" i="21"/>
  <c r="R53" i="21"/>
  <c r="Q53" i="21"/>
  <c r="P53" i="21"/>
  <c r="AR52" i="21"/>
  <c r="AS52" i="21"/>
  <c r="AP52" i="21"/>
  <c r="AQ52" i="21"/>
  <c r="AN52" i="21"/>
  <c r="AO52" i="21"/>
  <c r="AL52" i="21"/>
  <c r="AM52" i="21"/>
  <c r="AJ52" i="21"/>
  <c r="AK52" i="21"/>
  <c r="AI52" i="21"/>
  <c r="AH52" i="21"/>
  <c r="AG52" i="21"/>
  <c r="AF52" i="21"/>
  <c r="AE52" i="21"/>
  <c r="AD52" i="21"/>
  <c r="AC52" i="21"/>
  <c r="AB52" i="21"/>
  <c r="AA52" i="21"/>
  <c r="Z52" i="21"/>
  <c r="Y52" i="21"/>
  <c r="X52" i="21"/>
  <c r="W52" i="21"/>
  <c r="V52" i="21"/>
  <c r="U52" i="21"/>
  <c r="T52" i="21"/>
  <c r="S52" i="21"/>
  <c r="R52" i="21"/>
  <c r="Q52" i="21"/>
  <c r="P52" i="21"/>
  <c r="AR51" i="21"/>
  <c r="AS51" i="21"/>
  <c r="AP51" i="21"/>
  <c r="AQ51" i="21"/>
  <c r="AN51" i="21"/>
  <c r="AO51" i="21"/>
  <c r="AL51" i="21"/>
  <c r="AM51" i="21"/>
  <c r="AJ51" i="21"/>
  <c r="AK51" i="21"/>
  <c r="AI51" i="21"/>
  <c r="AH51" i="21"/>
  <c r="AG51" i="21"/>
  <c r="AF51" i="21"/>
  <c r="AE51" i="21"/>
  <c r="AD51" i="21"/>
  <c r="AC51" i="21"/>
  <c r="AB51" i="21"/>
  <c r="AA51" i="21"/>
  <c r="Z51" i="21"/>
  <c r="Y51" i="21"/>
  <c r="X51" i="21"/>
  <c r="W51" i="21"/>
  <c r="V51" i="21"/>
  <c r="U51" i="21"/>
  <c r="T51" i="21"/>
  <c r="S51" i="21"/>
  <c r="R51" i="21"/>
  <c r="Q51" i="21"/>
  <c r="P51" i="21"/>
  <c r="AR50" i="21"/>
  <c r="AS50" i="21"/>
  <c r="AP50" i="21"/>
  <c r="AQ50" i="21"/>
  <c r="AN50" i="21"/>
  <c r="AO50" i="21"/>
  <c r="AL50" i="21"/>
  <c r="AM50" i="21"/>
  <c r="AJ50" i="21"/>
  <c r="AK50" i="21"/>
  <c r="AI50" i="21"/>
  <c r="AH50" i="21"/>
  <c r="AG50" i="21"/>
  <c r="AF50" i="21"/>
  <c r="AE50" i="21"/>
  <c r="AD50" i="21"/>
  <c r="AC50" i="21"/>
  <c r="AB50" i="21"/>
  <c r="AA50" i="21"/>
  <c r="Z50" i="21"/>
  <c r="Y50" i="21"/>
  <c r="X50" i="21"/>
  <c r="W50" i="21"/>
  <c r="V50" i="21"/>
  <c r="U50" i="21"/>
  <c r="T50" i="21"/>
  <c r="S50" i="21"/>
  <c r="R50" i="21"/>
  <c r="Q50" i="21"/>
  <c r="P50" i="21"/>
  <c r="N50" i="21"/>
  <c r="L50" i="21"/>
  <c r="J50" i="21"/>
  <c r="H50" i="21"/>
  <c r="AR49" i="21"/>
  <c r="AS49" i="21"/>
  <c r="AP49" i="21"/>
  <c r="AQ49" i="21"/>
  <c r="AN49" i="21"/>
  <c r="AO49" i="21"/>
  <c r="AL49" i="21"/>
  <c r="AM49" i="21"/>
  <c r="AJ49" i="21"/>
  <c r="AK49" i="21"/>
  <c r="AI49" i="21"/>
  <c r="AH49" i="21"/>
  <c r="AG49" i="21"/>
  <c r="AF49" i="21"/>
  <c r="AE49" i="21"/>
  <c r="AD49" i="21"/>
  <c r="AC49" i="21"/>
  <c r="AB49" i="21"/>
  <c r="AA49" i="21"/>
  <c r="Z49" i="21"/>
  <c r="Y49" i="21"/>
  <c r="X49" i="21"/>
  <c r="W49" i="21"/>
  <c r="V49" i="21"/>
  <c r="U49" i="21"/>
  <c r="T49" i="21"/>
  <c r="S49" i="21"/>
  <c r="R49" i="21"/>
  <c r="Q49" i="21"/>
  <c r="P49" i="21"/>
  <c r="N49" i="21"/>
  <c r="L49" i="21"/>
  <c r="J49" i="21"/>
  <c r="H49" i="21"/>
  <c r="AR48" i="21"/>
  <c r="AS48" i="21"/>
  <c r="AP48" i="21"/>
  <c r="AQ48" i="21"/>
  <c r="AN48" i="21"/>
  <c r="AO48" i="21"/>
  <c r="AL48" i="21"/>
  <c r="AM48" i="21"/>
  <c r="AJ48" i="21"/>
  <c r="AK48" i="21"/>
  <c r="AI48" i="21"/>
  <c r="AH48" i="21"/>
  <c r="AG48" i="21"/>
  <c r="AF48" i="21"/>
  <c r="AE48" i="21"/>
  <c r="AD48" i="21"/>
  <c r="AC48" i="21"/>
  <c r="AB48" i="21"/>
  <c r="AA48" i="21"/>
  <c r="Z48" i="21"/>
  <c r="Y48" i="21"/>
  <c r="X48" i="21"/>
  <c r="W48" i="21"/>
  <c r="V48" i="21"/>
  <c r="U48" i="21"/>
  <c r="T48" i="21"/>
  <c r="S48" i="21"/>
  <c r="R48" i="21"/>
  <c r="Q48" i="21"/>
  <c r="P48" i="21"/>
  <c r="N48" i="21"/>
  <c r="L48" i="21"/>
  <c r="J48" i="21"/>
  <c r="H48" i="21"/>
  <c r="AR47" i="21"/>
  <c r="AS47" i="21"/>
  <c r="AP47" i="21"/>
  <c r="AQ47" i="21"/>
  <c r="AN47" i="21"/>
  <c r="AO47" i="21"/>
  <c r="AL47" i="21"/>
  <c r="AM47" i="21"/>
  <c r="AJ47" i="21"/>
  <c r="AK47" i="21"/>
  <c r="AI47" i="21"/>
  <c r="AH47" i="21"/>
  <c r="AG47" i="21"/>
  <c r="AF47" i="21"/>
  <c r="AE47" i="21"/>
  <c r="AD47" i="21"/>
  <c r="AC47" i="21"/>
  <c r="AB47" i="21"/>
  <c r="AA47" i="21"/>
  <c r="Z47" i="21"/>
  <c r="Y47" i="21"/>
  <c r="X47" i="21"/>
  <c r="W47" i="21"/>
  <c r="V47" i="21"/>
  <c r="U47" i="21"/>
  <c r="T47" i="21"/>
  <c r="S47" i="21"/>
  <c r="R47" i="21"/>
  <c r="Q47" i="21"/>
  <c r="P47" i="21"/>
  <c r="N47" i="21"/>
  <c r="L47" i="21"/>
  <c r="J47" i="21"/>
  <c r="H47" i="21"/>
  <c r="AR46" i="21"/>
  <c r="AS46" i="21"/>
  <c r="AP46" i="21"/>
  <c r="AQ46" i="21"/>
  <c r="AN46" i="21"/>
  <c r="AO46" i="21"/>
  <c r="AL46" i="21"/>
  <c r="AM46" i="21"/>
  <c r="AJ46" i="21"/>
  <c r="AK46" i="21"/>
  <c r="AI46" i="21"/>
  <c r="AH46" i="21"/>
  <c r="AG46" i="21"/>
  <c r="AF46" i="21"/>
  <c r="AE46" i="21"/>
  <c r="AD46" i="21"/>
  <c r="AC46" i="21"/>
  <c r="AB46" i="21"/>
  <c r="AA46" i="21"/>
  <c r="Z46" i="21"/>
  <c r="Y46" i="21"/>
  <c r="X46" i="21"/>
  <c r="W46" i="21"/>
  <c r="V46" i="21"/>
  <c r="U46" i="21"/>
  <c r="T46" i="21"/>
  <c r="S46" i="21"/>
  <c r="R46" i="21"/>
  <c r="Q46" i="21"/>
  <c r="P46" i="21"/>
  <c r="N46" i="21"/>
  <c r="L46" i="21"/>
  <c r="J46" i="21"/>
  <c r="H46" i="21"/>
  <c r="AR45" i="21"/>
  <c r="AS45" i="21"/>
  <c r="AP45" i="21"/>
  <c r="AQ45" i="21"/>
  <c r="AN45" i="21"/>
  <c r="AO45" i="21"/>
  <c r="AL45" i="21"/>
  <c r="AM45" i="21"/>
  <c r="AJ45" i="21"/>
  <c r="AK45" i="21"/>
  <c r="AI45" i="21"/>
  <c r="AH45" i="21"/>
  <c r="AG45" i="21"/>
  <c r="AF45" i="21"/>
  <c r="AE45" i="21"/>
  <c r="AD45" i="21"/>
  <c r="AC45" i="21"/>
  <c r="AB45" i="21"/>
  <c r="AA45" i="21"/>
  <c r="Z45" i="21"/>
  <c r="Y45" i="21"/>
  <c r="X45" i="21"/>
  <c r="W45" i="21"/>
  <c r="V45" i="21"/>
  <c r="U45" i="21"/>
  <c r="T45" i="21"/>
  <c r="S45" i="21"/>
  <c r="R45" i="21"/>
  <c r="Q45" i="21"/>
  <c r="P45" i="21"/>
  <c r="N45" i="21"/>
  <c r="L45" i="21"/>
  <c r="J45" i="21"/>
  <c r="H45" i="21"/>
  <c r="AR44" i="21"/>
  <c r="AS44" i="21"/>
  <c r="AP44" i="21"/>
  <c r="AQ44" i="21"/>
  <c r="AN44" i="21"/>
  <c r="AO44" i="21"/>
  <c r="AL44" i="21"/>
  <c r="AM44" i="21"/>
  <c r="AJ44" i="21"/>
  <c r="AK44" i="21"/>
  <c r="AI44" i="21"/>
  <c r="AH44" i="21"/>
  <c r="AG44" i="21"/>
  <c r="AF44" i="21"/>
  <c r="AE44" i="21"/>
  <c r="AD44" i="21"/>
  <c r="AC44" i="21"/>
  <c r="AB44" i="21"/>
  <c r="AA44" i="21"/>
  <c r="Z44" i="21"/>
  <c r="Y44" i="21"/>
  <c r="X44" i="21"/>
  <c r="W44" i="21"/>
  <c r="V44" i="21"/>
  <c r="U44" i="21"/>
  <c r="T44" i="21"/>
  <c r="S44" i="21"/>
  <c r="R44" i="21"/>
  <c r="Q44" i="21"/>
  <c r="P44" i="21"/>
  <c r="N44" i="21"/>
  <c r="L44" i="21"/>
  <c r="J44" i="21"/>
  <c r="H44" i="21"/>
  <c r="AR43" i="21"/>
  <c r="AS43" i="21"/>
  <c r="AP43" i="21"/>
  <c r="AQ43" i="21"/>
  <c r="AN43" i="21"/>
  <c r="AO43" i="21"/>
  <c r="AL43" i="21"/>
  <c r="AM43" i="21"/>
  <c r="AJ43" i="21"/>
  <c r="AK43" i="21"/>
  <c r="AI43" i="21"/>
  <c r="AH43" i="21"/>
  <c r="AG43" i="21"/>
  <c r="AF43" i="21"/>
  <c r="AE43" i="21"/>
  <c r="AD43" i="21"/>
  <c r="AC43" i="21"/>
  <c r="AB43" i="21"/>
  <c r="AA43" i="21"/>
  <c r="Z43" i="21"/>
  <c r="Y43" i="21"/>
  <c r="X43" i="21"/>
  <c r="W43" i="21"/>
  <c r="V43" i="21"/>
  <c r="U43" i="21"/>
  <c r="T43" i="21"/>
  <c r="S43" i="21"/>
  <c r="R43" i="21"/>
  <c r="Q43" i="21"/>
  <c r="P43" i="21"/>
  <c r="N43" i="21"/>
  <c r="L43" i="21"/>
  <c r="J43" i="21"/>
  <c r="H43" i="21"/>
  <c r="AR42" i="21"/>
  <c r="AS42" i="21"/>
  <c r="AP42" i="21"/>
  <c r="AQ42" i="21"/>
  <c r="AN42" i="21"/>
  <c r="AO42" i="21"/>
  <c r="AL42" i="21"/>
  <c r="AM42" i="21"/>
  <c r="AJ42" i="21"/>
  <c r="AK42" i="21"/>
  <c r="AI42" i="21"/>
  <c r="AH42" i="21"/>
  <c r="AG42" i="21"/>
  <c r="AF42" i="21"/>
  <c r="AE42" i="21"/>
  <c r="AD42" i="21"/>
  <c r="AC42" i="21"/>
  <c r="AB42" i="21"/>
  <c r="AA42" i="21"/>
  <c r="Z42" i="21"/>
  <c r="Y42" i="21"/>
  <c r="X42" i="21"/>
  <c r="W42" i="21"/>
  <c r="V42" i="21"/>
  <c r="U42" i="21"/>
  <c r="T42" i="21"/>
  <c r="S42" i="21"/>
  <c r="R42" i="21"/>
  <c r="Q42" i="21"/>
  <c r="P42" i="21"/>
  <c r="N42" i="21"/>
  <c r="L42" i="21"/>
  <c r="J42" i="21"/>
  <c r="H42" i="21"/>
  <c r="AR41" i="21"/>
  <c r="AS41" i="21"/>
  <c r="AP41" i="21"/>
  <c r="AQ41" i="21"/>
  <c r="AN41" i="21"/>
  <c r="AO41" i="21"/>
  <c r="AL41" i="21"/>
  <c r="AM41" i="21"/>
  <c r="AJ41" i="21"/>
  <c r="AK41" i="21"/>
  <c r="AI41" i="21"/>
  <c r="AH41" i="21"/>
  <c r="AG41" i="21"/>
  <c r="AF41" i="21"/>
  <c r="AE41" i="21"/>
  <c r="AD41" i="21"/>
  <c r="AC41" i="21"/>
  <c r="AB41" i="21"/>
  <c r="AA41" i="21"/>
  <c r="Z41" i="21"/>
  <c r="Y41" i="21"/>
  <c r="X41" i="21"/>
  <c r="W41" i="21"/>
  <c r="V41" i="21"/>
  <c r="U41" i="21"/>
  <c r="T41" i="21"/>
  <c r="S41" i="21"/>
  <c r="R41" i="21"/>
  <c r="Q41" i="21"/>
  <c r="P41" i="21"/>
  <c r="N41" i="21"/>
  <c r="L41" i="21"/>
  <c r="J41" i="21"/>
  <c r="H41" i="21"/>
  <c r="AR40" i="21"/>
  <c r="AS40" i="21"/>
  <c r="AP40" i="21"/>
  <c r="AQ40" i="21"/>
  <c r="AN40" i="21"/>
  <c r="AO40" i="21"/>
  <c r="AL40" i="21"/>
  <c r="AM40" i="21"/>
  <c r="AJ40" i="21"/>
  <c r="AK40" i="21"/>
  <c r="AI40" i="21"/>
  <c r="AH40" i="21"/>
  <c r="AG40" i="21"/>
  <c r="AF40" i="21"/>
  <c r="AE40" i="21"/>
  <c r="AD40" i="21"/>
  <c r="AC40" i="21"/>
  <c r="AB40" i="21"/>
  <c r="AA40" i="21"/>
  <c r="Z40" i="21"/>
  <c r="Y40" i="21"/>
  <c r="X40" i="21"/>
  <c r="W40" i="21"/>
  <c r="V40" i="21"/>
  <c r="U40" i="21"/>
  <c r="T40" i="21"/>
  <c r="S40" i="21"/>
  <c r="R40" i="21"/>
  <c r="Q40" i="21"/>
  <c r="P40" i="21"/>
  <c r="N40" i="21"/>
  <c r="L40" i="21"/>
  <c r="J40" i="21"/>
  <c r="H40" i="21"/>
  <c r="AR39" i="21"/>
  <c r="AS39" i="21"/>
  <c r="AP39" i="21"/>
  <c r="AQ39" i="21"/>
  <c r="AN39" i="21"/>
  <c r="AO39" i="21"/>
  <c r="AL39" i="21"/>
  <c r="AM39" i="21"/>
  <c r="AJ39" i="21"/>
  <c r="AK39" i="21"/>
  <c r="AI39" i="21"/>
  <c r="AH39" i="21"/>
  <c r="AG39" i="21"/>
  <c r="AF39" i="21"/>
  <c r="AE39" i="21"/>
  <c r="AD39" i="21"/>
  <c r="AC39" i="21"/>
  <c r="AB39" i="21"/>
  <c r="AA39" i="21"/>
  <c r="Z39" i="21"/>
  <c r="Y39" i="21"/>
  <c r="X39" i="21"/>
  <c r="W39" i="21"/>
  <c r="V39" i="21"/>
  <c r="U39" i="21"/>
  <c r="T39" i="21"/>
  <c r="S39" i="21"/>
  <c r="R39" i="21"/>
  <c r="Q39" i="21"/>
  <c r="P39" i="21"/>
  <c r="N39" i="21"/>
  <c r="L39" i="21"/>
  <c r="J39" i="21"/>
  <c r="H39" i="21"/>
  <c r="AR38" i="21"/>
  <c r="AS38" i="21"/>
  <c r="AP38" i="21"/>
  <c r="AQ38" i="21"/>
  <c r="AN38" i="21"/>
  <c r="AO38" i="21"/>
  <c r="AL38" i="21"/>
  <c r="AM38" i="21"/>
  <c r="AJ38" i="21"/>
  <c r="AK38" i="21"/>
  <c r="AI38" i="21"/>
  <c r="AH38" i="21"/>
  <c r="AG38" i="21"/>
  <c r="AF38" i="21"/>
  <c r="AE38" i="21"/>
  <c r="AD38" i="21"/>
  <c r="AC38" i="21"/>
  <c r="AB38" i="21"/>
  <c r="AA38" i="21"/>
  <c r="Z38" i="21"/>
  <c r="Y38" i="21"/>
  <c r="X38" i="21"/>
  <c r="W38" i="21"/>
  <c r="V38" i="21"/>
  <c r="U38" i="21"/>
  <c r="T38" i="21"/>
  <c r="S38" i="21"/>
  <c r="R38" i="21"/>
  <c r="Q38" i="21"/>
  <c r="P38" i="21"/>
  <c r="N38" i="21"/>
  <c r="L38" i="21"/>
  <c r="J38" i="21"/>
  <c r="H38" i="21"/>
  <c r="AR37" i="21"/>
  <c r="AS37" i="21"/>
  <c r="AP37" i="21"/>
  <c r="AQ37" i="21"/>
  <c r="AN37" i="21"/>
  <c r="AO37" i="21"/>
  <c r="AL37" i="21"/>
  <c r="AM37" i="21"/>
  <c r="AJ37" i="21"/>
  <c r="AK37" i="21"/>
  <c r="AI37" i="21"/>
  <c r="AH37" i="21"/>
  <c r="AG37" i="21"/>
  <c r="AF37" i="21"/>
  <c r="AE37" i="21"/>
  <c r="AD37" i="21"/>
  <c r="AC37" i="21"/>
  <c r="AB37" i="21"/>
  <c r="AA37" i="21"/>
  <c r="Z37" i="21"/>
  <c r="Y37" i="21"/>
  <c r="X37" i="21"/>
  <c r="W37" i="21"/>
  <c r="V37" i="21"/>
  <c r="U37" i="21"/>
  <c r="T37" i="21"/>
  <c r="S37" i="21"/>
  <c r="R37" i="21"/>
  <c r="Q37" i="21"/>
  <c r="P37" i="21"/>
  <c r="N37" i="21"/>
  <c r="L37" i="21"/>
  <c r="J37" i="21"/>
  <c r="H37" i="21"/>
  <c r="AR36" i="21"/>
  <c r="AS36" i="21"/>
  <c r="AP36" i="21"/>
  <c r="AQ36" i="21"/>
  <c r="AN36" i="21"/>
  <c r="AO36" i="21"/>
  <c r="AL36" i="21"/>
  <c r="AM36" i="21"/>
  <c r="AJ36" i="21"/>
  <c r="AK36" i="21"/>
  <c r="AI36" i="21"/>
  <c r="AH36" i="21"/>
  <c r="AG36" i="21"/>
  <c r="AF36" i="21"/>
  <c r="AE36" i="21"/>
  <c r="AD36" i="21"/>
  <c r="AC36" i="21"/>
  <c r="AB36" i="21"/>
  <c r="AA36" i="21"/>
  <c r="Z36" i="21"/>
  <c r="Y36" i="21"/>
  <c r="X36" i="21"/>
  <c r="W36" i="21"/>
  <c r="V36" i="21"/>
  <c r="U36" i="21"/>
  <c r="T36" i="21"/>
  <c r="S36" i="21"/>
  <c r="R36" i="21"/>
  <c r="Q36" i="21"/>
  <c r="P36" i="21"/>
  <c r="N36" i="21"/>
  <c r="L36" i="21"/>
  <c r="J36" i="21"/>
  <c r="H36" i="21"/>
  <c r="AR35" i="21"/>
  <c r="AS35" i="21"/>
  <c r="AP35" i="21"/>
  <c r="AQ35" i="21"/>
  <c r="AN35" i="21"/>
  <c r="AO35" i="21"/>
  <c r="AL35" i="21"/>
  <c r="AM35" i="21"/>
  <c r="AJ35" i="21"/>
  <c r="AK35" i="21"/>
  <c r="AI35" i="21"/>
  <c r="AH35" i="21"/>
  <c r="AG35" i="21"/>
  <c r="AF35" i="21"/>
  <c r="AE35" i="21"/>
  <c r="AD35" i="21"/>
  <c r="AC35" i="21"/>
  <c r="AB35" i="21"/>
  <c r="AA35" i="21"/>
  <c r="Z35" i="21"/>
  <c r="Y35" i="21"/>
  <c r="X35" i="21"/>
  <c r="W35" i="21"/>
  <c r="V35" i="21"/>
  <c r="U35" i="21"/>
  <c r="T35" i="21"/>
  <c r="S35" i="21"/>
  <c r="R35" i="21"/>
  <c r="Q35" i="21"/>
  <c r="P35" i="21"/>
  <c r="N35" i="21"/>
  <c r="L35" i="21"/>
  <c r="J35" i="21"/>
  <c r="H35" i="21"/>
  <c r="AR34" i="21"/>
  <c r="AS34" i="21"/>
  <c r="AP34" i="21"/>
  <c r="AQ34" i="21"/>
  <c r="AN34" i="21"/>
  <c r="AO34" i="21"/>
  <c r="AL34" i="21"/>
  <c r="AM34" i="21"/>
  <c r="AJ34" i="21"/>
  <c r="AK34" i="21"/>
  <c r="AI34" i="21"/>
  <c r="AH34" i="21"/>
  <c r="AG34" i="21"/>
  <c r="AF34" i="21"/>
  <c r="AE34" i="21"/>
  <c r="AD34" i="21"/>
  <c r="AC34" i="21"/>
  <c r="AB34" i="21"/>
  <c r="AA34" i="21"/>
  <c r="Z34" i="21"/>
  <c r="Y34" i="21"/>
  <c r="X34" i="21"/>
  <c r="W34" i="21"/>
  <c r="V34" i="21"/>
  <c r="U34" i="21"/>
  <c r="T34" i="21"/>
  <c r="S34" i="21"/>
  <c r="R34" i="21"/>
  <c r="Q34" i="21"/>
  <c r="P34" i="21"/>
  <c r="N34" i="21"/>
  <c r="L34" i="21"/>
  <c r="J34" i="21"/>
  <c r="H34" i="21"/>
  <c r="AR33" i="21"/>
  <c r="AS33" i="21"/>
  <c r="AP33" i="21"/>
  <c r="AQ33" i="21"/>
  <c r="AN33" i="21"/>
  <c r="AO33" i="21"/>
  <c r="AL33" i="21"/>
  <c r="AM33" i="21"/>
  <c r="AJ33" i="21"/>
  <c r="AK33" i="21"/>
  <c r="AI33" i="21"/>
  <c r="AH33" i="21"/>
  <c r="AG33" i="21"/>
  <c r="AF33" i="21"/>
  <c r="AE33" i="21"/>
  <c r="AD33" i="21"/>
  <c r="AC33" i="21"/>
  <c r="AB33" i="21"/>
  <c r="AA33" i="21"/>
  <c r="Z33" i="21"/>
  <c r="Y33" i="21"/>
  <c r="X33" i="21"/>
  <c r="W33" i="21"/>
  <c r="V33" i="21"/>
  <c r="U33" i="21"/>
  <c r="T33" i="21"/>
  <c r="S33" i="21"/>
  <c r="R33" i="21"/>
  <c r="Q33" i="21"/>
  <c r="P33" i="21"/>
  <c r="N33" i="21"/>
  <c r="L33" i="21"/>
  <c r="J33" i="21"/>
  <c r="H33" i="21"/>
  <c r="AR32" i="21"/>
  <c r="AS32" i="21"/>
  <c r="AP32" i="21"/>
  <c r="AQ32" i="21"/>
  <c r="AN32" i="21"/>
  <c r="AO32" i="21"/>
  <c r="AL32" i="21"/>
  <c r="AM32" i="21"/>
  <c r="AJ32" i="21"/>
  <c r="AK32" i="21"/>
  <c r="AI32" i="21"/>
  <c r="AH32" i="21"/>
  <c r="AG32" i="21"/>
  <c r="AF32" i="21"/>
  <c r="AE32" i="21"/>
  <c r="AD32" i="21"/>
  <c r="AC32" i="21"/>
  <c r="AB32" i="21"/>
  <c r="AA32" i="21"/>
  <c r="Z32" i="21"/>
  <c r="Y32" i="21"/>
  <c r="X32" i="21"/>
  <c r="W32" i="21"/>
  <c r="V32" i="21"/>
  <c r="U32" i="21"/>
  <c r="T32" i="21"/>
  <c r="S32" i="21"/>
  <c r="R32" i="21"/>
  <c r="Q32" i="21"/>
  <c r="P32" i="21"/>
  <c r="N32" i="21"/>
  <c r="L32" i="21"/>
  <c r="J32" i="21"/>
  <c r="H32" i="21"/>
  <c r="AR31" i="21"/>
  <c r="AS31" i="21"/>
  <c r="AP31" i="21"/>
  <c r="AQ31" i="21"/>
  <c r="AN31" i="21"/>
  <c r="AO31" i="21"/>
  <c r="AL31" i="21"/>
  <c r="AM31" i="21"/>
  <c r="AJ31" i="21"/>
  <c r="AK31" i="21"/>
  <c r="AI31" i="21"/>
  <c r="AH31" i="21"/>
  <c r="AG31" i="21"/>
  <c r="AF31" i="21"/>
  <c r="AE31" i="21"/>
  <c r="AD31" i="21"/>
  <c r="AC31" i="21"/>
  <c r="AB31" i="21"/>
  <c r="AA31" i="21"/>
  <c r="Z31" i="21"/>
  <c r="Y31" i="21"/>
  <c r="X31" i="21"/>
  <c r="W31" i="21"/>
  <c r="V31" i="21"/>
  <c r="U31" i="21"/>
  <c r="T31" i="21"/>
  <c r="S31" i="21"/>
  <c r="R31" i="21"/>
  <c r="Q31" i="21"/>
  <c r="P31" i="21"/>
  <c r="N31" i="21"/>
  <c r="L31" i="21"/>
  <c r="J31" i="21"/>
  <c r="H31" i="21"/>
  <c r="AR30" i="21"/>
  <c r="AS30" i="21"/>
  <c r="AP30" i="21"/>
  <c r="AQ30" i="21"/>
  <c r="AI30" i="21"/>
  <c r="AH30" i="21"/>
  <c r="AG30" i="21"/>
  <c r="AF30" i="21"/>
  <c r="Y30" i="21"/>
  <c r="X30" i="21"/>
  <c r="T30" i="21"/>
  <c r="S30" i="21"/>
  <c r="R30" i="21"/>
  <c r="Q30" i="21"/>
  <c r="P30" i="21"/>
  <c r="N30" i="21"/>
  <c r="AR29" i="21"/>
  <c r="AS29" i="21"/>
  <c r="AP29" i="21"/>
  <c r="AQ29" i="21"/>
  <c r="AI29" i="21"/>
  <c r="AH29" i="21"/>
  <c r="AG29" i="21"/>
  <c r="AF29" i="21"/>
  <c r="Y29" i="21"/>
  <c r="X29" i="21"/>
  <c r="T29" i="21"/>
  <c r="S29" i="21"/>
  <c r="R29" i="21"/>
  <c r="Q29" i="21"/>
  <c r="P29" i="21"/>
  <c r="N29" i="21"/>
  <c r="AR28" i="21"/>
  <c r="AS28" i="21"/>
  <c r="AP28" i="21"/>
  <c r="AQ28" i="21"/>
  <c r="AI28" i="21"/>
  <c r="AH28" i="21"/>
  <c r="AG28" i="21"/>
  <c r="AF28" i="21"/>
  <c r="Y28" i="21"/>
  <c r="X28" i="21"/>
  <c r="T28" i="21"/>
  <c r="S28" i="21"/>
  <c r="R28" i="21"/>
  <c r="Q28" i="21"/>
  <c r="P28" i="21"/>
  <c r="N28" i="21"/>
  <c r="AR27" i="21"/>
  <c r="AS27" i="21"/>
  <c r="AP27" i="21"/>
  <c r="AQ27" i="21"/>
  <c r="AI27" i="21"/>
  <c r="AH27" i="21"/>
  <c r="AG27" i="21"/>
  <c r="AF27" i="21"/>
  <c r="Y27" i="21"/>
  <c r="X27" i="21"/>
  <c r="T27" i="21"/>
  <c r="S27" i="21"/>
  <c r="R27" i="21"/>
  <c r="Q27" i="21"/>
  <c r="P27" i="21"/>
  <c r="N27" i="21"/>
  <c r="AR26" i="21"/>
  <c r="AS26" i="21"/>
  <c r="AP26" i="21"/>
  <c r="AQ26" i="21"/>
  <c r="AI26" i="21"/>
  <c r="AH26" i="21"/>
  <c r="AG26" i="21"/>
  <c r="AF26" i="21"/>
  <c r="Y26" i="21"/>
  <c r="X26" i="21"/>
  <c r="T26" i="21"/>
  <c r="S26" i="21"/>
  <c r="R26" i="21"/>
  <c r="Q26" i="21"/>
  <c r="P26" i="21"/>
  <c r="N26" i="21"/>
  <c r="AR25" i="21"/>
  <c r="AS25" i="21"/>
  <c r="AP25" i="21"/>
  <c r="AQ25" i="21"/>
  <c r="AH25" i="21"/>
  <c r="AG25" i="21"/>
  <c r="AF25" i="21"/>
  <c r="Y25" i="21"/>
  <c r="X25" i="21"/>
  <c r="T25" i="21"/>
  <c r="S25" i="21"/>
  <c r="R25" i="21"/>
  <c r="Q25" i="21"/>
  <c r="P25" i="21"/>
  <c r="N25" i="21"/>
  <c r="AR24" i="21"/>
  <c r="AS24" i="21"/>
  <c r="AP24" i="21"/>
  <c r="AQ24" i="21"/>
  <c r="AH24" i="21"/>
  <c r="AG24" i="21"/>
  <c r="AF24" i="21"/>
  <c r="Y24" i="21"/>
  <c r="X24" i="21"/>
  <c r="T24" i="21"/>
  <c r="S24" i="21"/>
  <c r="R24" i="21"/>
  <c r="Q24" i="21"/>
  <c r="P24" i="21"/>
  <c r="N24" i="21"/>
  <c r="AR23" i="21"/>
  <c r="AS23" i="21"/>
  <c r="AP23" i="21"/>
  <c r="AQ23" i="21"/>
  <c r="AH23" i="21"/>
  <c r="AG23" i="21"/>
  <c r="AF23" i="21"/>
  <c r="Y23" i="21"/>
  <c r="X23" i="21"/>
  <c r="T23" i="21"/>
  <c r="S23" i="21"/>
  <c r="R23" i="21"/>
  <c r="Q23" i="21"/>
  <c r="P23" i="21"/>
  <c r="N23" i="21"/>
  <c r="AR22" i="21"/>
  <c r="AS22" i="21"/>
  <c r="AP22" i="21"/>
  <c r="AQ22" i="21"/>
  <c r="AH22" i="21"/>
  <c r="AG22" i="21"/>
  <c r="AF22" i="21"/>
  <c r="Y22" i="21"/>
  <c r="X22" i="21"/>
  <c r="T22" i="21"/>
  <c r="S22" i="21"/>
  <c r="R22" i="21"/>
  <c r="Q22" i="21"/>
  <c r="P22" i="21"/>
  <c r="N22" i="21"/>
  <c r="AR21" i="21"/>
  <c r="AS21" i="21"/>
  <c r="AP21" i="21"/>
  <c r="AQ21" i="21"/>
  <c r="AH21" i="21"/>
  <c r="AG21" i="21"/>
  <c r="AF21" i="21"/>
  <c r="Y21" i="21"/>
  <c r="X21" i="21"/>
  <c r="T21" i="21"/>
  <c r="S21" i="21"/>
  <c r="R21" i="21"/>
  <c r="Q21" i="21"/>
  <c r="P21" i="21"/>
  <c r="N21" i="21"/>
  <c r="E5" i="18"/>
  <c r="B11" i="21"/>
  <c r="AA37" i="15"/>
  <c r="AA38" i="15"/>
  <c r="AR21" i="1"/>
  <c r="AR22" i="1"/>
  <c r="AR23" i="1"/>
  <c r="AR24" i="1"/>
  <c r="AR25" i="1"/>
  <c r="AR26" i="1"/>
  <c r="AR27" i="1"/>
  <c r="AR28" i="1"/>
  <c r="AR29" i="1"/>
  <c r="AR30" i="1"/>
  <c r="AR31" i="1"/>
  <c r="AR32" i="1"/>
  <c r="AR33" i="1"/>
  <c r="AR34" i="1"/>
  <c r="AR35" i="1"/>
  <c r="AR36" i="1"/>
  <c r="AR37" i="1"/>
  <c r="AR38" i="1"/>
  <c r="AR39" i="1"/>
  <c r="AR40" i="1"/>
  <c r="AR41" i="1"/>
  <c r="AR42" i="1"/>
  <c r="AR43" i="1"/>
  <c r="AR44" i="1"/>
  <c r="AR45" i="1"/>
  <c r="AR46" i="1"/>
  <c r="AR47" i="1"/>
  <c r="AR48" i="1"/>
  <c r="AR49" i="1"/>
  <c r="AR50" i="1"/>
  <c r="AR51" i="1"/>
  <c r="AR52" i="1"/>
  <c r="AR53" i="1"/>
  <c r="AP22" i="1"/>
  <c r="AP23" i="1"/>
  <c r="AP24" i="1"/>
  <c r="AP25" i="1"/>
  <c r="AP26" i="1"/>
  <c r="AP27" i="1"/>
  <c r="AP28" i="1"/>
  <c r="AP29" i="1"/>
  <c r="AP30" i="1"/>
  <c r="AP31" i="1"/>
  <c r="AP32" i="1"/>
  <c r="AP33" i="1"/>
  <c r="AP34" i="1"/>
  <c r="AP35" i="1"/>
  <c r="AP36" i="1"/>
  <c r="AP37" i="1"/>
  <c r="AP38" i="1"/>
  <c r="AP39" i="1"/>
  <c r="AP40" i="1"/>
  <c r="AP41" i="1"/>
  <c r="AP42" i="1"/>
  <c r="AP43" i="1"/>
  <c r="AP44" i="1"/>
  <c r="AP45" i="1"/>
  <c r="AP46" i="1"/>
  <c r="AP47" i="1"/>
  <c r="AP48" i="1"/>
  <c r="AP49" i="1"/>
  <c r="AP50" i="1"/>
  <c r="AP51" i="1"/>
  <c r="AP52" i="1"/>
  <c r="AP53" i="1"/>
  <c r="AP21" i="1"/>
  <c r="AN32" i="1"/>
  <c r="AN33" i="1"/>
  <c r="AN34" i="1"/>
  <c r="AN35" i="1"/>
  <c r="AN36" i="1"/>
  <c r="AN37" i="1"/>
  <c r="AN38" i="1"/>
  <c r="AN39" i="1"/>
  <c r="AN40" i="1"/>
  <c r="AN41" i="1"/>
  <c r="AN42" i="1"/>
  <c r="AN43" i="1"/>
  <c r="AN44" i="1"/>
  <c r="AN45" i="1"/>
  <c r="AN46" i="1"/>
  <c r="AN47" i="1"/>
  <c r="AN48" i="1"/>
  <c r="AN49" i="1"/>
  <c r="AN50" i="1"/>
  <c r="AN51" i="1"/>
  <c r="AN52" i="1"/>
  <c r="AN53" i="1"/>
  <c r="AN31" i="1"/>
  <c r="AL32" i="1"/>
  <c r="AL33" i="1"/>
  <c r="AL34" i="1"/>
  <c r="AL35" i="1"/>
  <c r="AL36" i="1"/>
  <c r="AL37" i="1"/>
  <c r="AL38" i="1"/>
  <c r="AL39" i="1"/>
  <c r="AL40" i="1"/>
  <c r="AL41" i="1"/>
  <c r="AL42" i="1"/>
  <c r="AL43" i="1"/>
  <c r="AL44" i="1"/>
  <c r="AL45" i="1"/>
  <c r="AL46" i="1"/>
  <c r="AL47" i="1"/>
  <c r="AL48" i="1"/>
  <c r="AL49" i="1"/>
  <c r="AL50" i="1"/>
  <c r="AL51" i="1"/>
  <c r="AL52" i="1"/>
  <c r="AL53" i="1"/>
  <c r="AL31" i="1"/>
  <c r="AJ32" i="1"/>
  <c r="AJ33" i="1"/>
  <c r="AJ34" i="1"/>
  <c r="AJ35" i="1"/>
  <c r="AJ36" i="1"/>
  <c r="AJ37" i="1"/>
  <c r="AJ38" i="1"/>
  <c r="AJ39" i="1"/>
  <c r="AJ40" i="1"/>
  <c r="AJ41" i="1"/>
  <c r="AJ42" i="1"/>
  <c r="AJ43" i="1"/>
  <c r="AJ44" i="1"/>
  <c r="AJ45" i="1"/>
  <c r="AJ46" i="1"/>
  <c r="AJ47" i="1"/>
  <c r="AJ48" i="1"/>
  <c r="AJ49" i="1"/>
  <c r="AJ50" i="1"/>
  <c r="AJ51" i="1"/>
  <c r="AJ52" i="1"/>
  <c r="AJ53" i="1"/>
  <c r="AJ31" i="1"/>
  <c r="G18" i="18"/>
  <c r="G17" i="18"/>
  <c r="R2" i="18"/>
  <c r="B10" i="18"/>
  <c r="J54" i="11"/>
  <c r="E37" i="15"/>
  <c r="D37" i="15"/>
  <c r="C37" i="15"/>
  <c r="B37" i="15"/>
  <c r="J32" i="15"/>
  <c r="J28" i="15"/>
  <c r="Q55" i="15"/>
  <c r="E12" i="15"/>
  <c r="E11" i="15"/>
  <c r="E8" i="15"/>
  <c r="J21" i="15"/>
  <c r="E6" i="15"/>
  <c r="J30" i="15"/>
  <c r="J31" i="15"/>
  <c r="E5" i="15"/>
  <c r="E4" i="15"/>
  <c r="D47" i="16"/>
  <c r="AR47" i="16"/>
  <c r="AR48" i="16"/>
  <c r="AS53" i="1"/>
  <c r="AQ53" i="1"/>
  <c r="AO53" i="1"/>
  <c r="AM53" i="1"/>
  <c r="AK53" i="1"/>
  <c r="AI53" i="1"/>
  <c r="AH53" i="1"/>
  <c r="AG53" i="1"/>
  <c r="AF53" i="1"/>
  <c r="AE53" i="1"/>
  <c r="AD53" i="1"/>
  <c r="AC53" i="1"/>
  <c r="AB53" i="1"/>
  <c r="AA53" i="1"/>
  <c r="Z53" i="1"/>
  <c r="Y53" i="1"/>
  <c r="X53" i="1"/>
  <c r="W53" i="1"/>
  <c r="V53" i="1"/>
  <c r="U53" i="1"/>
  <c r="T53" i="1"/>
  <c r="S53" i="1"/>
  <c r="R53" i="1"/>
  <c r="Q53" i="1"/>
  <c r="P53" i="1"/>
  <c r="AS52" i="1"/>
  <c r="AQ52" i="1"/>
  <c r="AO52" i="1"/>
  <c r="AM52" i="1"/>
  <c r="AK52" i="1"/>
  <c r="AI52" i="1"/>
  <c r="AH52" i="1"/>
  <c r="AG52" i="1"/>
  <c r="AF52" i="1"/>
  <c r="AE52" i="1"/>
  <c r="AD52" i="1"/>
  <c r="AC52" i="1"/>
  <c r="AB52" i="1"/>
  <c r="AA52" i="1"/>
  <c r="Z52" i="1"/>
  <c r="Y52" i="1"/>
  <c r="X52" i="1"/>
  <c r="W52" i="1"/>
  <c r="V52" i="1"/>
  <c r="U52" i="1"/>
  <c r="T52" i="1"/>
  <c r="S52" i="1"/>
  <c r="R52" i="1"/>
  <c r="Q52" i="1"/>
  <c r="P52" i="1"/>
  <c r="AS51" i="1"/>
  <c r="AQ51" i="1"/>
  <c r="AO51" i="1"/>
  <c r="AM51" i="1"/>
  <c r="AK51" i="1"/>
  <c r="AI51" i="1"/>
  <c r="AH51" i="1"/>
  <c r="AG51" i="1"/>
  <c r="AF51" i="1"/>
  <c r="AE51" i="1"/>
  <c r="AD51" i="1"/>
  <c r="AC51" i="1"/>
  <c r="AB51" i="1"/>
  <c r="AA51" i="1"/>
  <c r="Z51" i="1"/>
  <c r="Y51" i="1"/>
  <c r="X51" i="1"/>
  <c r="W51" i="1"/>
  <c r="V51" i="1"/>
  <c r="U51" i="1"/>
  <c r="T51" i="1"/>
  <c r="S51" i="1"/>
  <c r="R51" i="1"/>
  <c r="Q51" i="1"/>
  <c r="P51" i="1"/>
  <c r="AS50" i="1"/>
  <c r="AQ50" i="1"/>
  <c r="AO50" i="1"/>
  <c r="AM50" i="1"/>
  <c r="AK50" i="1"/>
  <c r="AI50" i="1"/>
  <c r="AH50" i="1"/>
  <c r="AG50" i="1"/>
  <c r="AF50" i="1"/>
  <c r="AE50" i="1"/>
  <c r="AD50" i="1"/>
  <c r="AC50" i="1"/>
  <c r="AB50" i="1"/>
  <c r="AA50" i="1"/>
  <c r="Z50" i="1"/>
  <c r="Y50" i="1"/>
  <c r="X50" i="1"/>
  <c r="W50" i="1"/>
  <c r="V50" i="1"/>
  <c r="U50" i="1"/>
  <c r="T50" i="1"/>
  <c r="S50" i="1"/>
  <c r="R50" i="1"/>
  <c r="Q50" i="1"/>
  <c r="P50" i="1"/>
  <c r="N50" i="1"/>
  <c r="L50" i="1"/>
  <c r="J50" i="1"/>
  <c r="H50" i="1"/>
  <c r="AS49" i="1"/>
  <c r="AQ49" i="1"/>
  <c r="AO49" i="1"/>
  <c r="AM49" i="1"/>
  <c r="AK49" i="1"/>
  <c r="AI49" i="1"/>
  <c r="AH49" i="1"/>
  <c r="AG49" i="1"/>
  <c r="AF49" i="1"/>
  <c r="AE49" i="1"/>
  <c r="AD49" i="1"/>
  <c r="AC49" i="1"/>
  <c r="AB49" i="1"/>
  <c r="AA49" i="1"/>
  <c r="Z49" i="1"/>
  <c r="Y49" i="1"/>
  <c r="X49" i="1"/>
  <c r="W49" i="1"/>
  <c r="V49" i="1"/>
  <c r="U49" i="1"/>
  <c r="T49" i="1"/>
  <c r="S49" i="1"/>
  <c r="R49" i="1"/>
  <c r="Q49" i="1"/>
  <c r="P49" i="1"/>
  <c r="N49" i="1"/>
  <c r="L49" i="1"/>
  <c r="J49" i="1"/>
  <c r="H49" i="1"/>
  <c r="AS48" i="1"/>
  <c r="AQ48" i="1"/>
  <c r="AO48" i="1"/>
  <c r="AM48" i="1"/>
  <c r="AK48" i="1"/>
  <c r="AI48" i="1"/>
  <c r="AH48" i="1"/>
  <c r="AG48" i="1"/>
  <c r="AF48" i="1"/>
  <c r="AE48" i="1"/>
  <c r="AD48" i="1"/>
  <c r="AC48" i="1"/>
  <c r="AB48" i="1"/>
  <c r="AA48" i="1"/>
  <c r="Z48" i="1"/>
  <c r="Y48" i="1"/>
  <c r="X48" i="1"/>
  <c r="W48" i="1"/>
  <c r="V48" i="1"/>
  <c r="U48" i="1"/>
  <c r="T48" i="1"/>
  <c r="S48" i="1"/>
  <c r="R48" i="1"/>
  <c r="Q48" i="1"/>
  <c r="P48" i="1"/>
  <c r="N48" i="1"/>
  <c r="L48" i="1"/>
  <c r="J48" i="1"/>
  <c r="H48" i="1"/>
  <c r="AS47" i="1"/>
  <c r="AQ47" i="1"/>
  <c r="AO47" i="1"/>
  <c r="AM47" i="1"/>
  <c r="AK47" i="1"/>
  <c r="AI47" i="1"/>
  <c r="AH47" i="1"/>
  <c r="AG47" i="1"/>
  <c r="AF47" i="1"/>
  <c r="AE47" i="1"/>
  <c r="AD47" i="1"/>
  <c r="AC47" i="1"/>
  <c r="AB47" i="1"/>
  <c r="AA47" i="1"/>
  <c r="Z47" i="1"/>
  <c r="Y47" i="1"/>
  <c r="X47" i="1"/>
  <c r="W47" i="1"/>
  <c r="V47" i="1"/>
  <c r="U47" i="1"/>
  <c r="T47" i="1"/>
  <c r="S47" i="1"/>
  <c r="R47" i="1"/>
  <c r="Q47" i="1"/>
  <c r="P47" i="1"/>
  <c r="N47" i="1"/>
  <c r="L47" i="1"/>
  <c r="J47" i="1"/>
  <c r="H47" i="1"/>
  <c r="AS46" i="1"/>
  <c r="AQ46" i="1"/>
  <c r="AO46" i="1"/>
  <c r="AM46" i="1"/>
  <c r="AK46" i="1"/>
  <c r="AI46" i="1"/>
  <c r="AH46" i="1"/>
  <c r="AG46" i="1"/>
  <c r="AF46" i="1"/>
  <c r="AE46" i="1"/>
  <c r="AD46" i="1"/>
  <c r="AC46" i="1"/>
  <c r="AB46" i="1"/>
  <c r="AA46" i="1"/>
  <c r="Z46" i="1"/>
  <c r="Y46" i="1"/>
  <c r="X46" i="1"/>
  <c r="W46" i="1"/>
  <c r="V46" i="1"/>
  <c r="U46" i="1"/>
  <c r="T46" i="1"/>
  <c r="S46" i="1"/>
  <c r="R46" i="1"/>
  <c r="Q46" i="1"/>
  <c r="P46" i="1"/>
  <c r="N46" i="1"/>
  <c r="L46" i="1"/>
  <c r="J46" i="1"/>
  <c r="H46" i="1"/>
  <c r="AS45" i="1"/>
  <c r="AQ45" i="1"/>
  <c r="AO45" i="1"/>
  <c r="AM45" i="1"/>
  <c r="AK45" i="1"/>
  <c r="AI45" i="1"/>
  <c r="AH45" i="1"/>
  <c r="AG45" i="1"/>
  <c r="AF45" i="1"/>
  <c r="AE45" i="1"/>
  <c r="AD45" i="1"/>
  <c r="AC45" i="1"/>
  <c r="AB45" i="1"/>
  <c r="AA45" i="1"/>
  <c r="Z45" i="1"/>
  <c r="Y45" i="1"/>
  <c r="X45" i="1"/>
  <c r="W45" i="1"/>
  <c r="V45" i="1"/>
  <c r="U45" i="1"/>
  <c r="T45" i="1"/>
  <c r="S45" i="1"/>
  <c r="R45" i="1"/>
  <c r="Q45" i="1"/>
  <c r="P45" i="1"/>
  <c r="N45" i="1"/>
  <c r="L45" i="1"/>
  <c r="J45" i="1"/>
  <c r="H45" i="1"/>
  <c r="AS44" i="1"/>
  <c r="AQ44" i="1"/>
  <c r="AO44" i="1"/>
  <c r="AM44" i="1"/>
  <c r="AK44" i="1"/>
  <c r="AI44" i="1"/>
  <c r="AH44" i="1"/>
  <c r="AG44" i="1"/>
  <c r="AF44" i="1"/>
  <c r="AE44" i="1"/>
  <c r="AD44" i="1"/>
  <c r="AC44" i="1"/>
  <c r="AB44" i="1"/>
  <c r="AA44" i="1"/>
  <c r="Z44" i="1"/>
  <c r="Y44" i="1"/>
  <c r="X44" i="1"/>
  <c r="W44" i="1"/>
  <c r="V44" i="1"/>
  <c r="U44" i="1"/>
  <c r="T44" i="1"/>
  <c r="S44" i="1"/>
  <c r="R44" i="1"/>
  <c r="Q44" i="1"/>
  <c r="P44" i="1"/>
  <c r="N44" i="1"/>
  <c r="L44" i="1"/>
  <c r="J44" i="1"/>
  <c r="H44" i="1"/>
  <c r="AS43" i="1"/>
  <c r="AQ43" i="1"/>
  <c r="AO43" i="1"/>
  <c r="AM43" i="1"/>
  <c r="AK43" i="1"/>
  <c r="AI43" i="1"/>
  <c r="AH43" i="1"/>
  <c r="AG43" i="1"/>
  <c r="AF43" i="1"/>
  <c r="AE43" i="1"/>
  <c r="AD43" i="1"/>
  <c r="AC43" i="1"/>
  <c r="AB43" i="1"/>
  <c r="AA43" i="1"/>
  <c r="Z43" i="1"/>
  <c r="Y43" i="1"/>
  <c r="X43" i="1"/>
  <c r="W43" i="1"/>
  <c r="V43" i="1"/>
  <c r="U43" i="1"/>
  <c r="T43" i="1"/>
  <c r="S43" i="1"/>
  <c r="R43" i="1"/>
  <c r="Q43" i="1"/>
  <c r="P43" i="1"/>
  <c r="N43" i="1"/>
  <c r="L43" i="1"/>
  <c r="J43" i="1"/>
  <c r="H43" i="1"/>
  <c r="AS42" i="1"/>
  <c r="AQ42" i="1"/>
  <c r="AO42" i="1"/>
  <c r="AM42" i="1"/>
  <c r="AK42" i="1"/>
  <c r="AI42" i="1"/>
  <c r="AH42" i="1"/>
  <c r="AG42" i="1"/>
  <c r="AF42" i="1"/>
  <c r="AE42" i="1"/>
  <c r="AD42" i="1"/>
  <c r="AC42" i="1"/>
  <c r="AB42" i="1"/>
  <c r="AA42" i="1"/>
  <c r="Z42" i="1"/>
  <c r="Y42" i="1"/>
  <c r="X42" i="1"/>
  <c r="W42" i="1"/>
  <c r="V42" i="1"/>
  <c r="U42" i="1"/>
  <c r="T42" i="1"/>
  <c r="S42" i="1"/>
  <c r="R42" i="1"/>
  <c r="Q42" i="1"/>
  <c r="P42" i="1"/>
  <c r="N42" i="1"/>
  <c r="L42" i="1"/>
  <c r="J42" i="1"/>
  <c r="H42" i="1"/>
  <c r="AS41" i="1"/>
  <c r="AQ41" i="1"/>
  <c r="AO41" i="1"/>
  <c r="AM41" i="1"/>
  <c r="AK41" i="1"/>
  <c r="AI41" i="1"/>
  <c r="AH41" i="1"/>
  <c r="AG41" i="1"/>
  <c r="AF41" i="1"/>
  <c r="AE41" i="1"/>
  <c r="AD41" i="1"/>
  <c r="AC41" i="1"/>
  <c r="AB41" i="1"/>
  <c r="AA41" i="1"/>
  <c r="Z41" i="1"/>
  <c r="Y41" i="1"/>
  <c r="X41" i="1"/>
  <c r="W41" i="1"/>
  <c r="V41" i="1"/>
  <c r="U41" i="1"/>
  <c r="T41" i="1"/>
  <c r="S41" i="1"/>
  <c r="R41" i="1"/>
  <c r="Q41" i="1"/>
  <c r="P41" i="1"/>
  <c r="N41" i="1"/>
  <c r="L41" i="1"/>
  <c r="J41" i="1"/>
  <c r="H41" i="1"/>
  <c r="AS40" i="1"/>
  <c r="AQ40" i="1"/>
  <c r="AO40" i="1"/>
  <c r="AM40" i="1"/>
  <c r="AK40" i="1"/>
  <c r="AI40" i="1"/>
  <c r="AH40" i="1"/>
  <c r="AG40" i="1"/>
  <c r="AF40" i="1"/>
  <c r="AE40" i="1"/>
  <c r="AD40" i="1"/>
  <c r="AC40" i="1"/>
  <c r="AB40" i="1"/>
  <c r="AA40" i="1"/>
  <c r="Z40" i="1"/>
  <c r="Y40" i="1"/>
  <c r="X40" i="1"/>
  <c r="W40" i="1"/>
  <c r="V40" i="1"/>
  <c r="U40" i="1"/>
  <c r="T40" i="1"/>
  <c r="S40" i="1"/>
  <c r="R40" i="1"/>
  <c r="Q40" i="1"/>
  <c r="P40" i="1"/>
  <c r="N40" i="1"/>
  <c r="L40" i="1"/>
  <c r="J40" i="1"/>
  <c r="H40" i="1"/>
  <c r="AS39" i="1"/>
  <c r="AQ39" i="1"/>
  <c r="AO39" i="1"/>
  <c r="AM39" i="1"/>
  <c r="AK39" i="1"/>
  <c r="AI39" i="1"/>
  <c r="AH39" i="1"/>
  <c r="AG39" i="1"/>
  <c r="AF39" i="1"/>
  <c r="AE39" i="1"/>
  <c r="AD39" i="1"/>
  <c r="AC39" i="1"/>
  <c r="AB39" i="1"/>
  <c r="AA39" i="1"/>
  <c r="Z39" i="1"/>
  <c r="Y39" i="1"/>
  <c r="X39" i="1"/>
  <c r="W39" i="1"/>
  <c r="V39" i="1"/>
  <c r="U39" i="1"/>
  <c r="T39" i="1"/>
  <c r="S39" i="1"/>
  <c r="R39" i="1"/>
  <c r="Q39" i="1"/>
  <c r="P39" i="1"/>
  <c r="N39" i="1"/>
  <c r="L39" i="1"/>
  <c r="J39" i="1"/>
  <c r="H39" i="1"/>
  <c r="AS38" i="1"/>
  <c r="AQ38" i="1"/>
  <c r="AO38" i="1"/>
  <c r="AM38" i="1"/>
  <c r="AK38" i="1"/>
  <c r="AI38" i="1"/>
  <c r="AH38" i="1"/>
  <c r="AG38" i="1"/>
  <c r="AF38" i="1"/>
  <c r="AE38" i="1"/>
  <c r="AD38" i="1"/>
  <c r="AC38" i="1"/>
  <c r="AB38" i="1"/>
  <c r="AA38" i="1"/>
  <c r="Z38" i="1"/>
  <c r="Y38" i="1"/>
  <c r="X38" i="1"/>
  <c r="W38" i="1"/>
  <c r="V38" i="1"/>
  <c r="U38" i="1"/>
  <c r="T38" i="1"/>
  <c r="S38" i="1"/>
  <c r="R38" i="1"/>
  <c r="Q38" i="1"/>
  <c r="P38" i="1"/>
  <c r="N38" i="1"/>
  <c r="L38" i="1"/>
  <c r="J38" i="1"/>
  <c r="H38" i="1"/>
  <c r="AS37" i="1"/>
  <c r="AS31" i="1"/>
  <c r="I38" i="11"/>
  <c r="AQ37" i="1"/>
  <c r="AQ31" i="1"/>
  <c r="H38" i="11"/>
  <c r="AO37" i="1"/>
  <c r="AM37" i="1"/>
  <c r="AM31" i="1"/>
  <c r="F38" i="11"/>
  <c r="AK37" i="1"/>
  <c r="AI37" i="1"/>
  <c r="AH37" i="1"/>
  <c r="AG37" i="1"/>
  <c r="AF37" i="1"/>
  <c r="AE37" i="1"/>
  <c r="AD37" i="1"/>
  <c r="AC37" i="1"/>
  <c r="AB37" i="1"/>
  <c r="AA37" i="1"/>
  <c r="Z37" i="1"/>
  <c r="Y37" i="1"/>
  <c r="X37" i="1"/>
  <c r="W37" i="1"/>
  <c r="V37" i="1"/>
  <c r="U37" i="1"/>
  <c r="T37" i="1"/>
  <c r="S37" i="1"/>
  <c r="R37" i="1"/>
  <c r="Q37" i="1"/>
  <c r="P37" i="1"/>
  <c r="N37" i="1"/>
  <c r="L37" i="1"/>
  <c r="J37" i="1"/>
  <c r="H37" i="1"/>
  <c r="AS36" i="1"/>
  <c r="AQ36" i="1"/>
  <c r="AO36" i="1"/>
  <c r="AM36" i="1"/>
  <c r="AK36" i="1"/>
  <c r="AI36" i="1"/>
  <c r="AH36" i="1"/>
  <c r="AG36" i="1"/>
  <c r="AF36" i="1"/>
  <c r="AE36" i="1"/>
  <c r="AD36" i="1"/>
  <c r="AC36" i="1"/>
  <c r="AB36" i="1"/>
  <c r="AA36" i="1"/>
  <c r="Z36" i="1"/>
  <c r="Y36" i="1"/>
  <c r="X36" i="1"/>
  <c r="W36" i="1"/>
  <c r="V36" i="1"/>
  <c r="U36" i="1"/>
  <c r="T36" i="1"/>
  <c r="S36" i="1"/>
  <c r="R36" i="1"/>
  <c r="Q36" i="1"/>
  <c r="P36" i="1"/>
  <c r="N36" i="1"/>
  <c r="L36" i="1"/>
  <c r="J36" i="1"/>
  <c r="H36" i="1"/>
  <c r="AS35" i="1"/>
  <c r="AQ35" i="1"/>
  <c r="AO35" i="1"/>
  <c r="AM35" i="1"/>
  <c r="AK35" i="1"/>
  <c r="AI35" i="1"/>
  <c r="AH35" i="1"/>
  <c r="AG35" i="1"/>
  <c r="AF35" i="1"/>
  <c r="AE35" i="1"/>
  <c r="AD35" i="1"/>
  <c r="AC35" i="1"/>
  <c r="AB35" i="1"/>
  <c r="AA35" i="1"/>
  <c r="Z35" i="1"/>
  <c r="Y35" i="1"/>
  <c r="X35" i="1"/>
  <c r="W35" i="1"/>
  <c r="V35" i="1"/>
  <c r="U35" i="1"/>
  <c r="T35" i="1"/>
  <c r="S35" i="1"/>
  <c r="R35" i="1"/>
  <c r="Q35" i="1"/>
  <c r="P35" i="1"/>
  <c r="N35" i="1"/>
  <c r="L35" i="1"/>
  <c r="J35" i="1"/>
  <c r="H35" i="1"/>
  <c r="AS34" i="1"/>
  <c r="AQ34" i="1"/>
  <c r="AO34" i="1"/>
  <c r="AM34" i="1"/>
  <c r="AK34" i="1"/>
  <c r="AI34" i="1"/>
  <c r="AH34" i="1"/>
  <c r="AG34" i="1"/>
  <c r="AF34" i="1"/>
  <c r="AE34" i="1"/>
  <c r="AD34" i="1"/>
  <c r="AC34" i="1"/>
  <c r="AB34" i="1"/>
  <c r="AA34" i="1"/>
  <c r="Z34" i="1"/>
  <c r="Y34" i="1"/>
  <c r="X34" i="1"/>
  <c r="W34" i="1"/>
  <c r="V34" i="1"/>
  <c r="U34" i="1"/>
  <c r="T34" i="1"/>
  <c r="S34" i="1"/>
  <c r="R34" i="1"/>
  <c r="Q34" i="1"/>
  <c r="P34" i="1"/>
  <c r="N34" i="1"/>
  <c r="L34" i="1"/>
  <c r="J34" i="1"/>
  <c r="H34" i="1"/>
  <c r="AS33" i="1"/>
  <c r="AQ33" i="1"/>
  <c r="AO33" i="1"/>
  <c r="AM33" i="1"/>
  <c r="AK33" i="1"/>
  <c r="AI33" i="1"/>
  <c r="AH33" i="1"/>
  <c r="AG33" i="1"/>
  <c r="AF33" i="1"/>
  <c r="AE33" i="1"/>
  <c r="AD33" i="1"/>
  <c r="AC33" i="1"/>
  <c r="AB33" i="1"/>
  <c r="AA33" i="1"/>
  <c r="Z33" i="1"/>
  <c r="Y33" i="1"/>
  <c r="X33" i="1"/>
  <c r="W33" i="1"/>
  <c r="V33" i="1"/>
  <c r="U33" i="1"/>
  <c r="T33" i="1"/>
  <c r="S33" i="1"/>
  <c r="R33" i="1"/>
  <c r="Q33" i="1"/>
  <c r="P33" i="1"/>
  <c r="N33" i="1"/>
  <c r="L33" i="1"/>
  <c r="J33" i="1"/>
  <c r="H33" i="1"/>
  <c r="AS32" i="1"/>
  <c r="AQ32" i="1"/>
  <c r="AO32" i="1"/>
  <c r="AM32" i="1"/>
  <c r="AK32" i="1"/>
  <c r="AI32" i="1"/>
  <c r="AH32" i="1"/>
  <c r="AG32" i="1"/>
  <c r="AF32" i="1"/>
  <c r="AE32" i="1"/>
  <c r="AD32" i="1"/>
  <c r="AC32" i="1"/>
  <c r="AB32" i="1"/>
  <c r="AA32" i="1"/>
  <c r="Z32" i="1"/>
  <c r="Y32" i="1"/>
  <c r="X32" i="1"/>
  <c r="W32" i="1"/>
  <c r="V32" i="1"/>
  <c r="U32" i="1"/>
  <c r="T32" i="1"/>
  <c r="S32" i="1"/>
  <c r="R32" i="1"/>
  <c r="Q32" i="1"/>
  <c r="P32" i="1"/>
  <c r="N32" i="1"/>
  <c r="L32" i="1"/>
  <c r="J32" i="1"/>
  <c r="H32" i="1"/>
  <c r="AO31" i="1"/>
  <c r="AK31" i="1"/>
  <c r="AI31" i="1"/>
  <c r="AH31" i="1"/>
  <c r="AG31" i="1"/>
  <c r="AF31" i="1"/>
  <c r="AE31" i="1"/>
  <c r="AD31" i="1"/>
  <c r="AC31" i="1"/>
  <c r="AB31" i="1"/>
  <c r="AA31" i="1"/>
  <c r="Z31" i="1"/>
  <c r="Y31" i="1"/>
  <c r="X31" i="1"/>
  <c r="W31" i="1"/>
  <c r="V31" i="1"/>
  <c r="U31" i="1"/>
  <c r="P31" i="1"/>
  <c r="N31" i="1"/>
  <c r="L31" i="1"/>
  <c r="J31" i="1"/>
  <c r="H31" i="1"/>
  <c r="AS30" i="1"/>
  <c r="AQ30" i="1"/>
  <c r="AI30" i="1"/>
  <c r="AH30" i="1"/>
  <c r="AG30" i="1"/>
  <c r="AF30" i="1"/>
  <c r="Y30" i="1"/>
  <c r="X30" i="1"/>
  <c r="T30" i="1"/>
  <c r="S30" i="1"/>
  <c r="R30" i="1"/>
  <c r="Q30" i="1"/>
  <c r="P30" i="1"/>
  <c r="N30" i="1"/>
  <c r="AS29" i="1"/>
  <c r="AQ29" i="1"/>
  <c r="AI29" i="1"/>
  <c r="AH29" i="1"/>
  <c r="AG29" i="1"/>
  <c r="AF29" i="1"/>
  <c r="Y29" i="1"/>
  <c r="X29" i="1"/>
  <c r="T29" i="1"/>
  <c r="S29" i="1"/>
  <c r="R29" i="1"/>
  <c r="Q29" i="1"/>
  <c r="P29" i="1"/>
  <c r="N29" i="1"/>
  <c r="AS28" i="1"/>
  <c r="AQ28" i="1"/>
  <c r="AI28" i="1"/>
  <c r="AH28" i="1"/>
  <c r="AG28" i="1"/>
  <c r="AF28" i="1"/>
  <c r="Y28" i="1"/>
  <c r="X28" i="1"/>
  <c r="T28" i="1"/>
  <c r="S28" i="1"/>
  <c r="R28" i="1"/>
  <c r="Q28" i="1"/>
  <c r="P28" i="1"/>
  <c r="N28" i="1"/>
  <c r="AS27" i="1"/>
  <c r="AQ27" i="1"/>
  <c r="AI27" i="1"/>
  <c r="AH27" i="1"/>
  <c r="AG27" i="1"/>
  <c r="AF27" i="1"/>
  <c r="Y27" i="1"/>
  <c r="X27" i="1"/>
  <c r="T27" i="1"/>
  <c r="S27" i="1"/>
  <c r="R27" i="1"/>
  <c r="Q27" i="1"/>
  <c r="P27" i="1"/>
  <c r="N27" i="1"/>
  <c r="AS26" i="1"/>
  <c r="AQ26" i="1"/>
  <c r="AI26" i="1"/>
  <c r="AH26" i="1"/>
  <c r="AG26" i="1"/>
  <c r="AF26" i="1"/>
  <c r="Y26" i="1"/>
  <c r="X26" i="1"/>
  <c r="T26" i="1"/>
  <c r="S26" i="1"/>
  <c r="R26" i="1"/>
  <c r="Q26" i="1"/>
  <c r="P26" i="1"/>
  <c r="N26" i="1"/>
  <c r="AS25" i="1"/>
  <c r="AQ25" i="1"/>
  <c r="AH25" i="1"/>
  <c r="AG25" i="1"/>
  <c r="AF25" i="1"/>
  <c r="Y25" i="1"/>
  <c r="X25" i="1"/>
  <c r="T25" i="1"/>
  <c r="S25" i="1"/>
  <c r="R25" i="1"/>
  <c r="Q25" i="1"/>
  <c r="P25" i="1"/>
  <c r="N25" i="1"/>
  <c r="AS24" i="1"/>
  <c r="AQ24" i="1"/>
  <c r="AH24" i="1"/>
  <c r="AG24" i="1"/>
  <c r="AF24" i="1"/>
  <c r="Y24" i="1"/>
  <c r="X24" i="1"/>
  <c r="T24" i="1"/>
  <c r="S24" i="1"/>
  <c r="R24" i="1"/>
  <c r="Q24" i="1"/>
  <c r="P24" i="1"/>
  <c r="N24" i="1"/>
  <c r="AS23" i="1"/>
  <c r="AQ23" i="1"/>
  <c r="AH23" i="1"/>
  <c r="AG23" i="1"/>
  <c r="AF23" i="1"/>
  <c r="Y23" i="1"/>
  <c r="X23" i="1"/>
  <c r="T23" i="1"/>
  <c r="S23" i="1"/>
  <c r="R23" i="1"/>
  <c r="Q23" i="1"/>
  <c r="P23" i="1"/>
  <c r="N23" i="1"/>
  <c r="AS22" i="1"/>
  <c r="AQ22" i="1"/>
  <c r="AH22" i="1"/>
  <c r="AG22" i="1"/>
  <c r="AF22" i="1"/>
  <c r="Y22" i="1"/>
  <c r="X22" i="1"/>
  <c r="T22" i="1"/>
  <c r="S22" i="1"/>
  <c r="R22" i="1"/>
  <c r="Q22" i="1"/>
  <c r="P22" i="1"/>
  <c r="N22" i="1"/>
  <c r="AS21" i="1"/>
  <c r="AQ21" i="1"/>
  <c r="AH21" i="1"/>
  <c r="AG21" i="1"/>
  <c r="AF21" i="1"/>
  <c r="Y21" i="1"/>
  <c r="X21" i="1"/>
  <c r="T21" i="1"/>
  <c r="S21" i="1"/>
  <c r="R21" i="1"/>
  <c r="Q21" i="1"/>
  <c r="P21" i="1"/>
  <c r="N21" i="1"/>
  <c r="R15" i="10"/>
  <c r="R14" i="10"/>
  <c r="R13" i="10"/>
  <c r="R12" i="10"/>
  <c r="R11" i="10"/>
  <c r="R10" i="10"/>
  <c r="R9" i="10"/>
  <c r="R8" i="10"/>
  <c r="R7" i="10"/>
  <c r="R6" i="10"/>
  <c r="U19" i="9"/>
  <c r="U18" i="9"/>
  <c r="U17" i="9"/>
  <c r="U16" i="9"/>
  <c r="U15" i="9"/>
  <c r="U14" i="9"/>
  <c r="U13" i="9"/>
  <c r="U12" i="9"/>
  <c r="U11" i="9"/>
  <c r="U10" i="9"/>
  <c r="U9" i="9"/>
  <c r="U7" i="9"/>
  <c r="U6" i="9"/>
  <c r="U5" i="9"/>
  <c r="U4" i="9"/>
  <c r="BG76" i="8"/>
  <c r="C69" i="19"/>
  <c r="K31" i="19"/>
  <c r="J31" i="19"/>
  <c r="I31" i="19"/>
  <c r="H31" i="19"/>
  <c r="G31" i="19"/>
  <c r="F31" i="19"/>
  <c r="E31" i="19"/>
  <c r="D31" i="19"/>
  <c r="C31" i="19"/>
  <c r="B31" i="19"/>
  <c r="A31" i="19"/>
  <c r="A29" i="19"/>
  <c r="J27" i="19"/>
  <c r="I27" i="19"/>
  <c r="H27" i="19"/>
  <c r="G27" i="19"/>
  <c r="F27" i="19"/>
  <c r="E27" i="19"/>
  <c r="D27" i="19"/>
  <c r="C27" i="19"/>
  <c r="B27" i="19"/>
  <c r="A27" i="19"/>
  <c r="A21" i="19"/>
  <c r="A13" i="19"/>
  <c r="A9" i="19"/>
  <c r="J6" i="19"/>
  <c r="B6" i="19"/>
  <c r="G6" i="19"/>
  <c r="B5" i="19"/>
  <c r="C5" i="19"/>
  <c r="D5" i="19"/>
  <c r="B4" i="19"/>
  <c r="C4" i="19"/>
  <c r="D4" i="19"/>
  <c r="G3" i="19"/>
  <c r="I19" i="19"/>
  <c r="C3" i="19"/>
  <c r="D3" i="19"/>
  <c r="J87" i="17"/>
  <c r="I87" i="17"/>
  <c r="J86" i="17"/>
  <c r="I86" i="17"/>
  <c r="J85" i="17"/>
  <c r="I85" i="17"/>
  <c r="J84" i="17"/>
  <c r="I84" i="17"/>
  <c r="J83" i="17"/>
  <c r="I83" i="17"/>
  <c r="J82" i="17"/>
  <c r="I82" i="17"/>
  <c r="J81" i="17"/>
  <c r="I81" i="17"/>
  <c r="J80" i="17"/>
  <c r="I80" i="17"/>
  <c r="C78" i="17"/>
  <c r="C65" i="17"/>
  <c r="D7" i="17"/>
  <c r="C7" i="17"/>
  <c r="E7" i="17"/>
  <c r="D6" i="17"/>
  <c r="C39" i="17"/>
  <c r="C6" i="17"/>
  <c r="E6" i="17"/>
  <c r="D5" i="17"/>
  <c r="C35" i="17"/>
  <c r="C5" i="17"/>
  <c r="E5" i="17"/>
  <c r="D4" i="17"/>
  <c r="G86" i="17"/>
  <c r="C4" i="17"/>
  <c r="E4" i="17"/>
  <c r="D3" i="17"/>
  <c r="F20" i="17"/>
  <c r="C3" i="17"/>
  <c r="E3" i="17"/>
  <c r="K61" i="11"/>
  <c r="J46" i="11"/>
  <c r="K44" i="11"/>
  <c r="J44" i="11"/>
  <c r="K43" i="11"/>
  <c r="J43" i="11"/>
  <c r="K42" i="11"/>
  <c r="J42" i="11"/>
  <c r="J41" i="11"/>
  <c r="J40" i="11"/>
  <c r="G38" i="11"/>
  <c r="E38" i="11"/>
  <c r="H37" i="11"/>
  <c r="G37" i="11"/>
  <c r="F37" i="11"/>
  <c r="E37" i="11"/>
  <c r="H36" i="11"/>
  <c r="G36" i="11"/>
  <c r="F36" i="11"/>
  <c r="E36" i="11"/>
  <c r="K33" i="11"/>
  <c r="K35" i="11"/>
  <c r="J33" i="11"/>
  <c r="J35" i="11"/>
  <c r="H35" i="11"/>
  <c r="F35" i="11"/>
  <c r="K32" i="11"/>
  <c r="K34" i="11"/>
  <c r="J32" i="11"/>
  <c r="J34" i="11"/>
  <c r="H34" i="11"/>
  <c r="F34" i="11"/>
  <c r="K29" i="11"/>
  <c r="K25" i="11"/>
  <c r="J25" i="11"/>
  <c r="K24" i="11"/>
  <c r="J24" i="11"/>
  <c r="K23" i="11"/>
  <c r="K22" i="11"/>
  <c r="K18" i="11"/>
  <c r="J18" i="11"/>
  <c r="K15" i="11"/>
  <c r="K14" i="11"/>
  <c r="K27" i="11"/>
  <c r="L58" i="21"/>
  <c r="AA3" i="11"/>
  <c r="W2" i="11"/>
  <c r="U2" i="11"/>
  <c r="E9" i="18"/>
  <c r="B11" i="1"/>
  <c r="E4" i="18"/>
  <c r="S54" i="15"/>
  <c r="S55" i="15"/>
  <c r="S56" i="15"/>
  <c r="Q54" i="15"/>
  <c r="Q56" i="15"/>
  <c r="AA5" i="11"/>
  <c r="AA4" i="11"/>
  <c r="G59" i="11"/>
  <c r="J55" i="11"/>
  <c r="O10" i="11"/>
  <c r="J15" i="15"/>
  <c r="M10" i="11"/>
  <c r="N10" i="11"/>
  <c r="C43" i="17"/>
  <c r="G81" i="17"/>
  <c r="G84" i="17"/>
  <c r="G87" i="17"/>
  <c r="G82" i="17"/>
  <c r="F25" i="17"/>
  <c r="H29" i="17"/>
  <c r="A37" i="17"/>
  <c r="H45" i="17"/>
  <c r="G85" i="17"/>
  <c r="C27" i="17"/>
  <c r="C25" i="17"/>
  <c r="K25" i="17"/>
  <c r="E29" i="17"/>
  <c r="C33" i="17"/>
  <c r="K33" i="17"/>
  <c r="F37" i="17"/>
  <c r="C41" i="17"/>
  <c r="K41" i="17"/>
  <c r="E45" i="17"/>
  <c r="G80" i="17"/>
  <c r="F33" i="17"/>
  <c r="I37" i="17"/>
  <c r="F41" i="17"/>
  <c r="G25" i="17"/>
  <c r="A29" i="17"/>
  <c r="I29" i="17"/>
  <c r="G33" i="17"/>
  <c r="B37" i="17"/>
  <c r="J37" i="17"/>
  <c r="G41" i="17"/>
  <c r="A45" i="17"/>
  <c r="I45" i="17"/>
  <c r="L25" i="17"/>
  <c r="D33" i="17"/>
  <c r="G37" i="17"/>
  <c r="L41" i="17"/>
  <c r="F45" i="17"/>
  <c r="G83" i="17"/>
  <c r="C23" i="17"/>
  <c r="H25" i="17"/>
  <c r="B29" i="17"/>
  <c r="J29" i="17"/>
  <c r="H33" i="17"/>
  <c r="C37" i="17"/>
  <c r="H41" i="17"/>
  <c r="B45" i="17"/>
  <c r="J45" i="17"/>
  <c r="A25" i="17"/>
  <c r="I25" i="17"/>
  <c r="C29" i="17"/>
  <c r="A33" i="17"/>
  <c r="I33" i="17"/>
  <c r="D37" i="17"/>
  <c r="A41" i="17"/>
  <c r="I41" i="17"/>
  <c r="C45" i="17"/>
  <c r="B25" i="17"/>
  <c r="J25" i="17"/>
  <c r="D29" i="17"/>
  <c r="B33" i="17"/>
  <c r="J33" i="17"/>
  <c r="E37" i="17"/>
  <c r="B41" i="17"/>
  <c r="J41" i="17"/>
  <c r="D45" i="17"/>
  <c r="D25" i="17"/>
  <c r="F29" i="17"/>
  <c r="L33" i="17"/>
  <c r="D41" i="17"/>
  <c r="E25" i="17"/>
  <c r="M25" i="17"/>
  <c r="G29" i="17"/>
  <c r="E33" i="17"/>
  <c r="M33" i="17"/>
  <c r="H37" i="17"/>
  <c r="E41" i="17"/>
  <c r="M41" i="17"/>
  <c r="G45" i="17"/>
  <c r="C6" i="19"/>
  <c r="D6" i="19"/>
  <c r="A11" i="19"/>
  <c r="D19" i="19"/>
  <c r="G11" i="19"/>
  <c r="B19" i="19"/>
  <c r="J19" i="19"/>
  <c r="H11" i="19"/>
  <c r="C19" i="19"/>
  <c r="K19" i="19"/>
  <c r="B11" i="19"/>
  <c r="J11" i="19"/>
  <c r="E19" i="19"/>
  <c r="C11" i="19"/>
  <c r="K11" i="19"/>
  <c r="F19" i="19"/>
  <c r="D11" i="19"/>
  <c r="L11" i="19"/>
  <c r="G19" i="19"/>
  <c r="I11" i="19"/>
  <c r="E11" i="19"/>
  <c r="M11" i="19"/>
  <c r="H19" i="19"/>
  <c r="H3" i="19"/>
  <c r="F11" i="19"/>
  <c r="N11" i="19"/>
  <c r="A19" i="19"/>
  <c r="C31" i="17"/>
  <c r="M16" i="17"/>
  <c r="G20" i="17"/>
  <c r="H20" i="17"/>
  <c r="D20" i="17"/>
  <c r="E16" i="17"/>
  <c r="I20" i="17"/>
  <c r="F16" i="17"/>
  <c r="C18" i="17"/>
  <c r="G16" i="17"/>
  <c r="A20" i="17"/>
  <c r="C14" i="17"/>
  <c r="H16" i="17"/>
  <c r="B20" i="17"/>
  <c r="J20" i="17"/>
  <c r="A16" i="17"/>
  <c r="I16" i="17"/>
  <c r="C20" i="17"/>
  <c r="E20" i="17"/>
  <c r="B16" i="17"/>
  <c r="J16" i="17"/>
  <c r="C16" i="17"/>
  <c r="K16" i="17"/>
  <c r="D16" i="17"/>
  <c r="L16" i="17"/>
  <c r="J58" i="11"/>
  <c r="J52" i="11"/>
  <c r="J53" i="11"/>
  <c r="B14" i="18"/>
  <c r="AA47" i="16"/>
  <c r="AA48" i="16"/>
  <c r="G47" i="16"/>
  <c r="G48" i="16"/>
  <c r="Q47" i="16"/>
  <c r="Q48" i="16"/>
  <c r="AM47" i="16"/>
  <c r="AM48" i="16"/>
  <c r="K47" i="16"/>
  <c r="K48" i="16"/>
  <c r="W47" i="16"/>
  <c r="W48" i="16"/>
  <c r="AG47" i="16"/>
  <c r="AG48" i="16"/>
  <c r="AQ47" i="16"/>
  <c r="AQ48" i="16"/>
  <c r="M47" i="16"/>
  <c r="M48" i="16"/>
  <c r="X47" i="16"/>
  <c r="X48" i="16"/>
  <c r="AH47" i="16"/>
  <c r="AH48" i="16"/>
  <c r="AS47" i="16"/>
  <c r="AS48" i="16"/>
  <c r="O47" i="16"/>
  <c r="O48" i="16"/>
  <c r="Y47" i="16"/>
  <c r="Y48" i="16"/>
  <c r="AI47" i="16"/>
  <c r="AI48" i="16"/>
  <c r="AU47" i="16"/>
  <c r="AU48" i="16"/>
  <c r="E47" i="16"/>
  <c r="E48" i="16"/>
  <c r="P47" i="16"/>
  <c r="P48" i="16"/>
  <c r="Z47" i="16"/>
  <c r="Z48" i="16"/>
  <c r="AK47" i="16"/>
  <c r="AK48" i="16"/>
  <c r="D48" i="16"/>
  <c r="H47" i="16"/>
  <c r="H48" i="16"/>
  <c r="R47" i="16"/>
  <c r="R48" i="16"/>
  <c r="AC47" i="16"/>
  <c r="AC48" i="16"/>
  <c r="AN47" i="16"/>
  <c r="AN48" i="16"/>
  <c r="I47" i="16"/>
  <c r="I48" i="16"/>
  <c r="S47" i="16"/>
  <c r="S48" i="16"/>
  <c r="AE47" i="16"/>
  <c r="AE48" i="16"/>
  <c r="AO47" i="16"/>
  <c r="AO48" i="16"/>
  <c r="J47" i="16"/>
  <c r="J48" i="16"/>
  <c r="U47" i="16"/>
  <c r="U48" i="16"/>
  <c r="AF47" i="16"/>
  <c r="AF48" i="16"/>
  <c r="AP47" i="16"/>
  <c r="AP48" i="16"/>
  <c r="J26" i="11"/>
  <c r="K26" i="11"/>
  <c r="J38" i="11"/>
  <c r="J27" i="11"/>
  <c r="J5" i="11"/>
  <c r="J28" i="11"/>
  <c r="J37" i="11"/>
  <c r="J47" i="11"/>
  <c r="L58" i="1"/>
  <c r="J48" i="11"/>
  <c r="J59" i="11"/>
  <c r="J57" i="11"/>
  <c r="J50" i="11"/>
  <c r="J51" i="11"/>
  <c r="J36" i="11"/>
  <c r="G48" i="11"/>
  <c r="H48" i="11"/>
  <c r="I48" i="11"/>
  <c r="E11" i="11"/>
  <c r="E54" i="11"/>
  <c r="E48" i="11"/>
  <c r="F48" i="11"/>
  <c r="J12" i="15"/>
  <c r="J14" i="15"/>
  <c r="J22" i="15"/>
  <c r="J23" i="15"/>
  <c r="J13" i="15"/>
  <c r="F47" i="16"/>
  <c r="F48" i="16"/>
  <c r="N47" i="16"/>
  <c r="N48" i="16"/>
  <c r="V47" i="16"/>
  <c r="V48" i="16"/>
  <c r="AD47" i="16"/>
  <c r="AD48" i="16"/>
  <c r="AL47" i="16"/>
  <c r="AL48" i="16"/>
  <c r="AT47" i="16"/>
  <c r="AT48" i="16"/>
  <c r="L47" i="16"/>
  <c r="L48" i="16"/>
  <c r="T47" i="16"/>
  <c r="T48" i="16"/>
  <c r="AB47" i="16"/>
  <c r="AB48" i="16"/>
  <c r="AJ47" i="16"/>
  <c r="AJ48" i="16"/>
  <c r="P43" i="15"/>
  <c r="AC4" i="11"/>
  <c r="AC5" i="11"/>
  <c r="AC3" i="11"/>
  <c r="P44" i="15"/>
  <c r="J30" i="11"/>
  <c r="G22" i="11"/>
  <c r="Q25" i="11"/>
  <c r="Q26" i="11"/>
  <c r="B47" i="16"/>
  <c r="E23" i="19"/>
  <c r="G15" i="19"/>
  <c r="H6" i="19"/>
  <c r="H23" i="19"/>
  <c r="D23" i="19"/>
  <c r="N15" i="19"/>
  <c r="F15" i="19"/>
  <c r="J15" i="19"/>
  <c r="K23" i="19"/>
  <c r="C23" i="19"/>
  <c r="M15" i="19"/>
  <c r="E15" i="19"/>
  <c r="J23" i="19"/>
  <c r="B23" i="19"/>
  <c r="L15" i="19"/>
  <c r="D15" i="19"/>
  <c r="I23" i="19"/>
  <c r="A23" i="19"/>
  <c r="K15" i="19"/>
  <c r="C15" i="19"/>
  <c r="G23" i="19"/>
  <c r="I15" i="19"/>
  <c r="A15" i="19"/>
  <c r="F23" i="19"/>
  <c r="H15" i="19"/>
  <c r="B15" i="19"/>
  <c r="C48" i="16"/>
  <c r="A82" i="16"/>
  <c r="J61" i="11"/>
  <c r="J60" i="11"/>
  <c r="J62" i="11"/>
  <c r="J63" i="11"/>
  <c r="J29" i="11"/>
  <c r="F59" i="11"/>
  <c r="F22" i="11"/>
  <c r="H59" i="11"/>
  <c r="H22" i="11"/>
  <c r="E59" i="11"/>
  <c r="E22" i="11"/>
  <c r="E53" i="11"/>
  <c r="I59" i="11"/>
  <c r="I22" i="11"/>
  <c r="E25" i="11"/>
  <c r="H14" i="11"/>
  <c r="E13" i="11"/>
  <c r="E52" i="11"/>
  <c r="E46" i="11"/>
  <c r="E24" i="11"/>
  <c r="F44" i="11"/>
  <c r="H15" i="11"/>
  <c r="G25" i="11"/>
  <c r="M47" i="11"/>
  <c r="H18" i="11"/>
  <c r="G18" i="11"/>
  <c r="H44" i="11"/>
  <c r="G60" i="11"/>
  <c r="G61" i="11"/>
  <c r="E57" i="11"/>
  <c r="F53" i="11"/>
  <c r="H50" i="11"/>
  <c r="H51" i="11"/>
  <c r="I43" i="11"/>
  <c r="H42" i="11"/>
  <c r="F41" i="11"/>
  <c r="G23" i="11"/>
  <c r="E23" i="11"/>
  <c r="G50" i="11"/>
  <c r="G51" i="11"/>
  <c r="H43" i="11"/>
  <c r="G42" i="11"/>
  <c r="E41" i="11"/>
  <c r="F23" i="11"/>
  <c r="E50" i="11"/>
  <c r="E51" i="11"/>
  <c r="F43" i="11"/>
  <c r="E42" i="11"/>
  <c r="I40" i="11"/>
  <c r="E43" i="11"/>
  <c r="I53" i="11"/>
  <c r="I41" i="11"/>
  <c r="G40" i="11"/>
  <c r="H53" i="11"/>
  <c r="H41" i="11"/>
  <c r="F40" i="11"/>
  <c r="G53" i="11"/>
  <c r="I50" i="11"/>
  <c r="I51" i="11"/>
  <c r="I42" i="11"/>
  <c r="G41" i="11"/>
  <c r="E55" i="11"/>
  <c r="F50" i="11"/>
  <c r="F51" i="11"/>
  <c r="G43" i="11"/>
  <c r="F42" i="11"/>
  <c r="H40" i="11"/>
  <c r="I23" i="11"/>
  <c r="E40" i="11"/>
  <c r="H23" i="11"/>
  <c r="J37" i="15"/>
  <c r="J26" i="15"/>
  <c r="J25" i="15"/>
  <c r="J33" i="15"/>
  <c r="J34" i="15"/>
  <c r="J16" i="15"/>
  <c r="J17" i="15"/>
  <c r="J18" i="15"/>
  <c r="A48" i="16"/>
  <c r="AC6" i="11"/>
  <c r="P45" i="15"/>
  <c r="E47" i="11"/>
  <c r="N8" i="11"/>
  <c r="N9" i="11"/>
  <c r="M8" i="11"/>
  <c r="I30" i="11"/>
  <c r="F30" i="11"/>
  <c r="G30" i="11"/>
  <c r="H30" i="11"/>
  <c r="E30" i="11"/>
  <c r="N47" i="11"/>
  <c r="H47" i="11"/>
  <c r="G52" i="11"/>
  <c r="I52" i="11"/>
  <c r="H52" i="11"/>
  <c r="F52" i="11"/>
  <c r="B82" i="16"/>
  <c r="A57" i="16"/>
  <c r="B57" i="16"/>
  <c r="A79" i="16"/>
  <c r="A53" i="16"/>
  <c r="B53" i="16"/>
  <c r="A67" i="16"/>
  <c r="B67" i="16"/>
  <c r="A74" i="16"/>
  <c r="B74" i="16"/>
  <c r="A61" i="16"/>
  <c r="B61" i="16"/>
  <c r="A65" i="16"/>
  <c r="B65" i="16"/>
  <c r="A54" i="16"/>
  <c r="B54" i="16"/>
  <c r="A56" i="16"/>
  <c r="B56" i="16"/>
  <c r="A55" i="16"/>
  <c r="B55" i="16"/>
  <c r="A60" i="16"/>
  <c r="B60" i="16"/>
  <c r="A63" i="16"/>
  <c r="B63" i="16"/>
  <c r="A83" i="16"/>
  <c r="B83" i="16"/>
  <c r="A52" i="16"/>
  <c r="B52" i="16"/>
  <c r="A51" i="16"/>
  <c r="B51" i="16"/>
  <c r="A59" i="16"/>
  <c r="B59" i="16"/>
  <c r="A64" i="16"/>
  <c r="B64" i="16"/>
  <c r="A58" i="16"/>
  <c r="B58" i="16"/>
  <c r="A62" i="16"/>
  <c r="B62" i="16"/>
  <c r="A71" i="16"/>
  <c r="B71" i="16"/>
  <c r="A68" i="16"/>
  <c r="B68" i="16"/>
  <c r="A69" i="16"/>
  <c r="B69" i="16"/>
  <c r="A78" i="16"/>
  <c r="B78" i="16"/>
  <c r="A75" i="16"/>
  <c r="B75" i="16"/>
  <c r="A72" i="16"/>
  <c r="B72" i="16"/>
  <c r="A73" i="16"/>
  <c r="B73" i="16"/>
  <c r="A76" i="16"/>
  <c r="B76" i="16"/>
  <c r="A77" i="16"/>
  <c r="B77" i="16"/>
  <c r="A80" i="16"/>
  <c r="B80" i="16"/>
  <c r="A81" i="16"/>
  <c r="B81" i="16"/>
  <c r="B79" i="16"/>
  <c r="A66" i="16"/>
  <c r="B66" i="16"/>
  <c r="A70" i="16"/>
  <c r="B70" i="16"/>
  <c r="G47" i="11"/>
  <c r="I47" i="11"/>
  <c r="F47" i="11"/>
  <c r="M9" i="11"/>
  <c r="I28" i="11"/>
  <c r="N28" i="11"/>
  <c r="E27" i="11"/>
  <c r="G28" i="11"/>
  <c r="H28" i="11"/>
  <c r="M28" i="11"/>
  <c r="H58" i="11"/>
  <c r="G58" i="11"/>
  <c r="E28" i="11"/>
  <c r="E26" i="11"/>
  <c r="F58" i="11"/>
  <c r="E58" i="11"/>
  <c r="G27" i="11"/>
  <c r="I58" i="11"/>
  <c r="F28" i="11"/>
  <c r="G26" i="11"/>
  <c r="E60" i="11"/>
  <c r="E61" i="11"/>
  <c r="E3" i="11"/>
  <c r="G3" i="11"/>
  <c r="F3" i="11"/>
  <c r="H61" i="11"/>
  <c r="H60" i="11"/>
  <c r="I61" i="11"/>
  <c r="I60" i="11"/>
  <c r="S8" i="11"/>
  <c r="O8" i="11"/>
  <c r="O9" i="11"/>
  <c r="F60" i="11"/>
  <c r="F61" i="11"/>
  <c r="J19" i="15"/>
  <c r="E24" i="15"/>
  <c r="B48" i="16"/>
  <c r="B16" i="18"/>
  <c r="D17" i="18"/>
  <c r="E62" i="11"/>
  <c r="E29" i="11"/>
  <c r="H62" i="11"/>
  <c r="H63" i="11"/>
  <c r="H29" i="11"/>
  <c r="F62" i="11"/>
  <c r="F63" i="11"/>
  <c r="F29" i="11"/>
  <c r="G62" i="11"/>
  <c r="G63" i="11"/>
  <c r="G29" i="11"/>
  <c r="I29" i="11"/>
  <c r="I62" i="11"/>
  <c r="I63" i="11"/>
  <c r="B25" i="15"/>
  <c r="J29" i="15"/>
  <c r="E63" i="11"/>
  <c r="E71" i="11"/>
  <c r="D30" i="15"/>
  <c r="B31" i="15"/>
  <c r="J36" i="15"/>
  <c r="B35" i="15"/>
  <c r="B36"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Bağlantı" type="4" refreshedVersion="6" background="1" saveData="1">
    <webPr sourceData="1" parsePre="1" consecutive="1" xl2000="1" url="https://3.bp.blogspot.com/-RHDDx7wvtZs/Tfb_Bhs83BI/AAAAAAAABL8/AzDqqoey9Qs/s1600/ASTM+A350+LF2.PNG"/>
  </connection>
</connections>
</file>

<file path=xl/sharedStrings.xml><?xml version="1.0" encoding="utf-8"?>
<sst xmlns="http://schemas.openxmlformats.org/spreadsheetml/2006/main" count="3818" uniqueCount="1483">
  <si>
    <t>ÇAP mm</t>
  </si>
  <si>
    <t>MALZEME</t>
  </si>
  <si>
    <t xml:space="preserve">Et Kalınlığı </t>
  </si>
  <si>
    <t>Max Bas. bar</t>
  </si>
  <si>
    <t xml:space="preserve">½" </t>
  </si>
  <si>
    <t>¾"</t>
  </si>
  <si>
    <t xml:space="preserve">1" </t>
  </si>
  <si>
    <t>1¼"</t>
  </si>
  <si>
    <t xml:space="preserve">1½" </t>
  </si>
  <si>
    <t xml:space="preserve">2" </t>
  </si>
  <si>
    <t xml:space="preserve">2½" </t>
  </si>
  <si>
    <t>3"</t>
  </si>
  <si>
    <t>4"</t>
  </si>
  <si>
    <t>5"</t>
  </si>
  <si>
    <t>6"</t>
  </si>
  <si>
    <t>X42</t>
  </si>
  <si>
    <t>8"</t>
  </si>
  <si>
    <t>10"</t>
  </si>
  <si>
    <t>X46</t>
  </si>
  <si>
    <t>12"</t>
  </si>
  <si>
    <t>X52</t>
  </si>
  <si>
    <t>14"</t>
  </si>
  <si>
    <t>16"</t>
  </si>
  <si>
    <t>X60</t>
  </si>
  <si>
    <t>18"</t>
  </si>
  <si>
    <t>X65</t>
  </si>
  <si>
    <t>20"</t>
  </si>
  <si>
    <t>22"</t>
  </si>
  <si>
    <t>24"</t>
  </si>
  <si>
    <t>30"</t>
  </si>
  <si>
    <t>32"</t>
  </si>
  <si>
    <t>34"</t>
  </si>
  <si>
    <t>36"</t>
  </si>
  <si>
    <t>38"</t>
  </si>
  <si>
    <t>40"</t>
  </si>
  <si>
    <t>42"</t>
  </si>
  <si>
    <t>44"</t>
  </si>
  <si>
    <t>46"</t>
  </si>
  <si>
    <t>48"</t>
  </si>
  <si>
    <t>52"</t>
  </si>
  <si>
    <t>56"</t>
  </si>
  <si>
    <t>60"</t>
  </si>
  <si>
    <t>Et Kalınlığı 2</t>
  </si>
  <si>
    <t>Et Kalınlığı 4</t>
  </si>
  <si>
    <t>Boru Ucu</t>
  </si>
  <si>
    <t>Boru Ucu MAX</t>
  </si>
  <si>
    <t>Boru Ucu Min</t>
  </si>
  <si>
    <t>Boru Gövde MAX</t>
  </si>
  <si>
    <t>Boru Gövde Min</t>
  </si>
  <si>
    <t>F=0,72</t>
  </si>
  <si>
    <t>F=0,60</t>
  </si>
  <si>
    <t>F=0,50</t>
  </si>
  <si>
    <t>Ovalite mm</t>
  </si>
  <si>
    <t>Boru Çap Toleransları mm</t>
  </si>
  <si>
    <t>D/t</t>
  </si>
  <si>
    <t>D/t2</t>
  </si>
  <si>
    <t>D/t3</t>
  </si>
  <si>
    <t>F=0,5</t>
  </si>
  <si>
    <t>F=0,6</t>
  </si>
  <si>
    <t>Max Bas. Bar2</t>
  </si>
  <si>
    <t>Et Kalınlığı 3</t>
  </si>
  <si>
    <t>Max Bas. Bar3</t>
  </si>
  <si>
    <t>Max Bas. Bar4</t>
  </si>
  <si>
    <t>ÇAP inch</t>
  </si>
  <si>
    <t>Minimun Elongation</t>
  </si>
  <si>
    <t>Axc mm2</t>
  </si>
  <si>
    <t>Af mm</t>
  </si>
  <si>
    <t>Tensile Mpa</t>
  </si>
  <si>
    <t>SMYS Psi</t>
  </si>
  <si>
    <t>Axc mm22</t>
  </si>
  <si>
    <t>Af mm3</t>
  </si>
  <si>
    <t>Axc mm24</t>
  </si>
  <si>
    <t>Af mm2</t>
  </si>
  <si>
    <t>Axc mm23</t>
  </si>
  <si>
    <t>Af mm4</t>
  </si>
  <si>
    <t>D/t4</t>
  </si>
  <si>
    <t>Design Pressure 75</t>
  </si>
  <si>
    <t xml:space="preserve"> Boru Hattı</t>
  </si>
  <si>
    <t xml:space="preserve"> İstayon</t>
  </si>
  <si>
    <t>Malzeme Kalitesi</t>
  </si>
  <si>
    <t>Pipe</t>
  </si>
  <si>
    <t>API 5L</t>
  </si>
  <si>
    <t>ISO 3183</t>
  </si>
  <si>
    <t>SMYS(psi)</t>
  </si>
  <si>
    <t>GRADE B</t>
  </si>
  <si>
    <t>L245</t>
  </si>
  <si>
    <t>L290</t>
  </si>
  <si>
    <t>L320</t>
  </si>
  <si>
    <t>L360</t>
  </si>
  <si>
    <t>X56</t>
  </si>
  <si>
    <t>L390</t>
  </si>
  <si>
    <t>L415</t>
  </si>
  <si>
    <t>L450</t>
  </si>
  <si>
    <t>X70</t>
  </si>
  <si>
    <t>L485</t>
  </si>
  <si>
    <t>X80</t>
  </si>
  <si>
    <t>L555</t>
  </si>
  <si>
    <t>X90</t>
  </si>
  <si>
    <t>L625</t>
  </si>
  <si>
    <t>X100</t>
  </si>
  <si>
    <t>L690</t>
  </si>
  <si>
    <t>X120</t>
  </si>
  <si>
    <t>L830</t>
  </si>
  <si>
    <t>OTOMATİK SEÇİM</t>
  </si>
  <si>
    <t>EL İLE SEÇİM</t>
  </si>
  <si>
    <t>ÇAP (inch)</t>
  </si>
  <si>
    <t>ÇAP (mm)</t>
  </si>
  <si>
    <t>Et Kalınlığı (mm)</t>
  </si>
  <si>
    <t>SMYS (Psi)</t>
  </si>
  <si>
    <t>Hydro Test Basıncı Max.(Bar)</t>
  </si>
  <si>
    <t>Boru Çap Toleransları (mm)</t>
  </si>
  <si>
    <t>Boru Ucu Min.</t>
  </si>
  <si>
    <t>Boru Ucu Max.</t>
  </si>
  <si>
    <t>Boru Gövde Max</t>
  </si>
  <si>
    <t>Boru Gövde Min.</t>
  </si>
  <si>
    <t>Boru Gövde</t>
  </si>
  <si>
    <t>Ovalite (mm)</t>
  </si>
  <si>
    <t>Yield/Tensile</t>
  </si>
  <si>
    <t>Çentik Darbe Malzeme</t>
  </si>
  <si>
    <t>Çentik Darbe Kaynak</t>
  </si>
  <si>
    <t>Çentik Darbe (J)</t>
  </si>
  <si>
    <t>Malzeme</t>
  </si>
  <si>
    <t>Kaynak</t>
  </si>
  <si>
    <t>Ağırlık Nominal (Kg/m)</t>
  </si>
  <si>
    <t>Ağırlık Min. (Kg/m)</t>
  </si>
  <si>
    <t>Ağırlık Max. (Kg/m)</t>
  </si>
  <si>
    <t>Yield max psi</t>
  </si>
  <si>
    <t>Yield max Mpa</t>
  </si>
  <si>
    <t>Tensile Min.Psi</t>
  </si>
  <si>
    <t>Tensile Min.Mpa</t>
  </si>
  <si>
    <t>Yield min MPa</t>
  </si>
  <si>
    <t>Tensile Max.Psi</t>
  </si>
  <si>
    <t>Tensile Max.Mpa</t>
  </si>
  <si>
    <t>Yield Min. (Psi-Mpa)</t>
  </si>
  <si>
    <t>Yield Max. (Psi-Mpa)</t>
  </si>
  <si>
    <t>Tensile Min  (Psi-Mpa)</t>
  </si>
  <si>
    <t>Tensile Max  (Psi-Mpa)</t>
  </si>
  <si>
    <t>ASTM A860/ 860M</t>
  </si>
  <si>
    <t>Design Factor (F)</t>
  </si>
  <si>
    <t>Design Pressure</t>
  </si>
  <si>
    <t>ASTM A694</t>
  </si>
  <si>
    <t>Grade</t>
  </si>
  <si>
    <t xml:space="preserve">Yield Strength (0.2% offset),min, psi </t>
  </si>
  <si>
    <t>Yield Strength (0.2% offset),min Mpa</t>
  </si>
  <si>
    <t>Tensile Strength, min MPa</t>
  </si>
  <si>
    <t>Elongation in 2 in, or 50 mm, min %</t>
  </si>
  <si>
    <t>F42</t>
  </si>
  <si>
    <t>F46</t>
  </si>
  <si>
    <t>F48</t>
  </si>
  <si>
    <t>F50</t>
  </si>
  <si>
    <t>F52</t>
  </si>
  <si>
    <t>F56</t>
  </si>
  <si>
    <t>ASTM A105</t>
  </si>
  <si>
    <t xml:space="preserve">Yield </t>
  </si>
  <si>
    <t>Tensile</t>
  </si>
  <si>
    <t>F60</t>
  </si>
  <si>
    <t xml:space="preserve">psi </t>
  </si>
  <si>
    <t>Mpa</t>
  </si>
  <si>
    <t>F65</t>
  </si>
  <si>
    <t>A 105</t>
  </si>
  <si>
    <t>F70</t>
  </si>
  <si>
    <t>ASTM A 234</t>
  </si>
  <si>
    <t>Yield Strength, min.</t>
  </si>
  <si>
    <t>psi</t>
  </si>
  <si>
    <t>WPB</t>
  </si>
  <si>
    <t>WPC</t>
  </si>
  <si>
    <t>WP1</t>
  </si>
  <si>
    <t>WP11 CL1</t>
  </si>
  <si>
    <t>WP22 CL1</t>
  </si>
  <si>
    <t>WP5</t>
  </si>
  <si>
    <t>WP9</t>
  </si>
  <si>
    <t>WP11 CL2</t>
  </si>
  <si>
    <t>WP22 CL2</t>
  </si>
  <si>
    <t>WPR</t>
  </si>
  <si>
    <t>WP11 CL3</t>
  </si>
  <si>
    <t>WP22 CL3</t>
  </si>
  <si>
    <t>WP91</t>
  </si>
  <si>
    <t>WP911</t>
  </si>
  <si>
    <t>WP12 CL1</t>
  </si>
  <si>
    <t>Tensile Strength</t>
  </si>
  <si>
    <t>Elongation, min.</t>
  </si>
  <si>
    <t>Cv, avg./min.</t>
  </si>
  <si>
    <t>The Chemical Composition of ASTM A860, %</t>
  </si>
  <si>
    <t>MPa</t>
  </si>
  <si>
    <t>ksi</t>
  </si>
  <si>
    <t>%</t>
  </si>
  <si>
    <t>Carbon</t>
  </si>
  <si>
    <t>≤0.20*A</t>
  </si>
  <si>
    <t>WPHY 42</t>
  </si>
  <si>
    <t>60-85</t>
  </si>
  <si>
    <t>415-585</t>
  </si>
  <si>
    <t>30/25</t>
  </si>
  <si>
    <t>40/34</t>
  </si>
  <si>
    <t>Manganese</t>
  </si>
  <si>
    <t>1.00-1.45</t>
  </si>
  <si>
    <t>WPHY 46</t>
  </si>
  <si>
    <t>63-88</t>
  </si>
  <si>
    <t>435-605</t>
  </si>
  <si>
    <t>Phosphorus</t>
  </si>
  <si>
    <t>≤0.030</t>
  </si>
  <si>
    <t>WPHY 52</t>
  </si>
  <si>
    <t>66-91</t>
  </si>
  <si>
    <t>455-625</t>
  </si>
  <si>
    <t>Sulfur</t>
  </si>
  <si>
    <t>≤0.010</t>
  </si>
  <si>
    <t>WPHY60</t>
  </si>
  <si>
    <t>75-100</t>
  </si>
  <si>
    <t>515-690</t>
  </si>
  <si>
    <t>Silicon</t>
  </si>
  <si>
    <t>0.15-0.40*B</t>
  </si>
  <si>
    <t>WPHY 65</t>
  </si>
  <si>
    <t>77-102</t>
  </si>
  <si>
    <t>530-705</t>
  </si>
  <si>
    <t>Nickel</t>
  </si>
  <si>
    <t>≤0.50*C</t>
  </si>
  <si>
    <t>WPHY 70</t>
  </si>
  <si>
    <t>80-105</t>
  </si>
  <si>
    <t>550-725</t>
  </si>
  <si>
    <t>Chromium</t>
  </si>
  <si>
    <t>≤0.30*C</t>
  </si>
  <si>
    <t>Molybdenum</t>
  </si>
  <si>
    <t>≤0.25*C</t>
  </si>
  <si>
    <t>Copper</t>
  </si>
  <si>
    <t>≤0.35*C</t>
  </si>
  <si>
    <t>Titanium</t>
  </si>
  <si>
    <t>≤0.05</t>
  </si>
  <si>
    <t>Vanadium</t>
  </si>
  <si>
    <t>≤0.10</t>
  </si>
  <si>
    <t>Columbium</t>
  </si>
  <si>
    <t>≤0.04</t>
  </si>
  <si>
    <t>Vanadium plus Columnium</t>
  </si>
  <si>
    <t>≤0.12</t>
  </si>
  <si>
    <t>Aluminum</t>
  </si>
  <si>
    <t>≤0.06</t>
  </si>
  <si>
    <t>ASTM A216</t>
  </si>
  <si>
    <t>ASTM A352</t>
  </si>
  <si>
    <t>WCA</t>
  </si>
  <si>
    <t>LCA</t>
  </si>
  <si>
    <t>WCB</t>
  </si>
  <si>
    <t>LCB</t>
  </si>
  <si>
    <t>WCC</t>
  </si>
  <si>
    <t>LC1</t>
  </si>
  <si>
    <t>LC2</t>
  </si>
  <si>
    <t>LCC</t>
  </si>
  <si>
    <t>LC2-1</t>
  </si>
  <si>
    <t>LC3</t>
  </si>
  <si>
    <t>LC4</t>
  </si>
  <si>
    <t>LC9</t>
  </si>
  <si>
    <t>CA6NM</t>
  </si>
  <si>
    <t>ASTM A351</t>
  </si>
  <si>
    <t xml:space="preserve">Tensile </t>
  </si>
  <si>
    <t>Yield</t>
  </si>
  <si>
    <t>Psi</t>
  </si>
  <si>
    <t>CF3</t>
  </si>
  <si>
    <t>CF-3A</t>
  </si>
  <si>
    <t>CF8</t>
  </si>
  <si>
    <t>CF-8A</t>
  </si>
  <si>
    <t>CF-3M</t>
  </si>
  <si>
    <t>CF-3MA</t>
  </si>
  <si>
    <t>CF-8M</t>
  </si>
  <si>
    <t>CF-3MN</t>
  </si>
  <si>
    <t>CF-8C</t>
  </si>
  <si>
    <t>CF10</t>
  </si>
  <si>
    <t>CF-10M</t>
  </si>
  <si>
    <t>CH8</t>
  </si>
  <si>
    <t>CH10</t>
  </si>
  <si>
    <t>CH20</t>
  </si>
  <si>
    <t>CK20</t>
  </si>
  <si>
    <t>HK30</t>
  </si>
  <si>
    <t>HK40</t>
  </si>
  <si>
    <t>HT30</t>
  </si>
  <si>
    <t>CF-10MC</t>
  </si>
  <si>
    <t>CN-7M</t>
  </si>
  <si>
    <t>CN-3MN</t>
  </si>
  <si>
    <t>CD-4MCu</t>
  </si>
  <si>
    <t>CE-8MN</t>
  </si>
  <si>
    <t>CG6M-MN</t>
  </si>
  <si>
    <t>CG-8M</t>
  </si>
  <si>
    <t>CF10S-MnN</t>
  </si>
  <si>
    <t>CT-15C</t>
  </si>
  <si>
    <t>CK-3M-CuN</t>
  </si>
  <si>
    <t>CE20N</t>
  </si>
  <si>
    <t>CG-3M</t>
  </si>
  <si>
    <t>CD3M-WCuN</t>
  </si>
  <si>
    <t>ERW HFW</t>
  </si>
  <si>
    <t>SAWH</t>
  </si>
  <si>
    <t>SAWL</t>
  </si>
  <si>
    <t>COW</t>
  </si>
  <si>
    <t>SEAMLESS</t>
  </si>
  <si>
    <t>Üretim Yöntemi</t>
  </si>
  <si>
    <t>C</t>
  </si>
  <si>
    <t>Mn</t>
  </si>
  <si>
    <t>P</t>
  </si>
  <si>
    <t>S</t>
  </si>
  <si>
    <t>Nb</t>
  </si>
  <si>
    <t>V</t>
  </si>
  <si>
    <t>Ti</t>
  </si>
  <si>
    <t>N</t>
  </si>
  <si>
    <t>Kimyasal Analiz</t>
  </si>
  <si>
    <t>Max %</t>
  </si>
  <si>
    <t>Strain Value</t>
  </si>
  <si>
    <t>Mandrel Çapı Max (mm)</t>
  </si>
  <si>
    <t>Çene Açıklığı Max (mm)</t>
  </si>
  <si>
    <t>Yırtılma Testi (DWTT)</t>
  </si>
  <si>
    <t>Sertlik TESTİ</t>
  </si>
  <si>
    <t>300 HV</t>
  </si>
  <si>
    <t>Malzeme (mm)</t>
  </si>
  <si>
    <t>Artık Sress Testi Max (mm)</t>
  </si>
  <si>
    <t>Boru Ucu Kaynak Çatılaşma Max(mm)</t>
  </si>
  <si>
    <t>Hydro Test Basıncı Min.(Bar)</t>
  </si>
  <si>
    <t>Tam. Kay. Ön Isıtma</t>
  </si>
  <si>
    <t>Radial Offset Max. (mm)</t>
  </si>
  <si>
    <t>Minimum Uzama (mm)</t>
  </si>
  <si>
    <t>Kaynak Yüksekliği</t>
  </si>
  <si>
    <t>İç (mm)</t>
  </si>
  <si>
    <t>Dış (mm)</t>
  </si>
  <si>
    <t>Misalignment (mm)</t>
  </si>
  <si>
    <t>BORU SEÇİM ARACI</t>
  </si>
  <si>
    <t xml:space="preserve">FLATTENING </t>
  </si>
  <si>
    <t>Laminasyon</t>
  </si>
  <si>
    <t>Kaynak açılma yüksekliği (mm)</t>
  </si>
  <si>
    <t>Malzemede çatlak yüksekliği (mm)</t>
  </si>
  <si>
    <t>Boru Çevre Toleransı (mm)</t>
  </si>
  <si>
    <t>Boru Ucu Diklik Max. (mm)</t>
  </si>
  <si>
    <t>Et Kalınlığı Max. (mm)</t>
  </si>
  <si>
    <t>Et Kalınlığı Min. (mm)</t>
  </si>
  <si>
    <t>Et Kalınlığı Toleransı</t>
  </si>
  <si>
    <t>Tamir Kaynağı Uzunluğu (Tek mm)</t>
  </si>
  <si>
    <t>T</t>
  </si>
  <si>
    <t>RT</t>
  </si>
  <si>
    <t>SO</t>
  </si>
  <si>
    <t>WO</t>
  </si>
  <si>
    <t>*</t>
  </si>
  <si>
    <t>Socolet</t>
  </si>
  <si>
    <t>Weldolet</t>
  </si>
  <si>
    <t>Reduced Tee</t>
  </si>
  <si>
    <t>Tee</t>
  </si>
  <si>
    <t xml:space="preserve">* </t>
  </si>
  <si>
    <t>Vana By-pass ları için RT olarak üretim yok</t>
  </si>
  <si>
    <t>CARBON STEEL FLANGES</t>
  </si>
  <si>
    <t>STAINLESS STEEL FLANGES</t>
  </si>
  <si>
    <t>DUPLEX FLANGES</t>
  </si>
  <si>
    <t>NICKEL ALLOY FLANGES</t>
  </si>
  <si>
    <t>ASTM SPECIFICATIONS FOR NICKEL ALLOY FLANGES</t>
  </si>
  <si>
    <t>CHEMICAL COMPOSITION NICKEL-ALLOY FLANGES</t>
  </si>
  <si>
    <t>MECHANICAL PROPERTIES NICKEL-ALLOY FLANGES</t>
  </si>
  <si>
    <t>Need an Offer?</t>
  </si>
  <si>
    <t>Leave a Reply Cancel reply</t>
  </si>
  <si>
    <t>The chemical composition and the mechanical properties of the three main carbon steel flanges material grades:</t>
  </si>
  <si>
    <t>ASTM A105 (high-temperature carbon steel) to match A53, A106, API 5L carbon steel pipes</t>
  </si>
  <si>
    <t>ASTM A350 LF1, LF2, LF3 (low-temperature carbon steel) to match ASTM A333 pipes</t>
  </si>
  <si>
    <t>ASTM A694 F42, F52, F60, F65 (high-yield carbon steel to match API 5L X42, X52, X60, and X65 steel pipes</t>
  </si>
  <si>
    <t>Si</t>
  </si>
  <si>
    <t>Cu</t>
  </si>
  <si>
    <t>Ni</t>
  </si>
  <si>
    <t>Cr</t>
  </si>
  <si>
    <t>Mo</t>
  </si>
  <si>
    <t>–</t>
  </si>
  <si>
    <t>C%</t>
  </si>
  <si>
    <t>Mn%</t>
  </si>
  <si>
    <t>Si%</t>
  </si>
  <si>
    <t>S%</t>
  </si>
  <si>
    <t>P%</t>
  </si>
  <si>
    <t>Cr%</t>
  </si>
  <si>
    <t>Ni%</t>
  </si>
  <si>
    <t>ASTM A694 F42</t>
  </si>
  <si>
    <t>ASTM A694 F52</t>
  </si>
  <si>
    <t>ASTM A694 F60</t>
  </si>
  <si>
    <t>ASTM A694 F65</t>
  </si>
  <si>
    <t>Tensile Strength Min, psi</t>
  </si>
  <si>
    <t>Tensile Strength Min, N/mm²</t>
  </si>
  <si>
    <t>485-655</t>
  </si>
  <si>
    <t>Yield Strength Min, psi</t>
  </si>
  <si>
    <t>Yield Strength Min, N/mm²</t>
  </si>
  <si>
    <t>Elongation (%)</t>
  </si>
  <si>
    <t>Reduction of Area (%)</t>
  </si>
  <si>
    <t>Hardness, maximum</t>
  </si>
  <si>
    <t>15/12 ft-lbs</t>
  </si>
  <si>
    <t>F5</t>
  </si>
  <si>
    <t>F9</t>
  </si>
  <si>
    <t>Recommended service for alloy steel flange material grades ASTM A182:</t>
  </si>
  <si>
    <t>ASTM A182 ALLOY STEEL FLANGE</t>
  </si>
  <si>
    <t>TRADE DESIGNATION</t>
  </si>
  <si>
    <t>RECOMMENDED SERVICE</t>
  </si>
  <si>
    <t>A182 F1</t>
  </si>
  <si>
    <t>C-1/2 Mo Low Alloy Steel</t>
  </si>
  <si>
    <t>A182 F2</t>
  </si>
  <si>
    <t>Non-corrosive applications including water, oil, and gases at temperatures F2:-29ºC ~ 538ºC, WC5: -29ºC ~ 575ºC</t>
  </si>
  <si>
    <t>A182 F11</t>
  </si>
  <si>
    <t>1 1/4% Chrome; 1/2% Moly Low Alloy Steel</t>
  </si>
  <si>
    <t>A182 F22</t>
  </si>
  <si>
    <t>2 1/4% Chrome Low Alloy Steel</t>
  </si>
  <si>
    <t>A182 F5/F5a</t>
  </si>
  <si>
    <t>5% Chrome; 1/2% Moly, Medium Alloy Steel</t>
  </si>
  <si>
    <t>A182 F9</t>
  </si>
  <si>
    <t>9% Chrome; 1% Moly, Medium Alloy Steel</t>
  </si>
  <si>
    <t>A182 F91</t>
  </si>
  <si>
    <t>9% Chrome; 1% Moly; V-N, Medium Alloy Steel</t>
  </si>
  <si>
    <t>CHEMICAL COMPOSITION ASTM A182 F304/F316/F321</t>
  </si>
  <si>
    <t>ASTM A182 Stainless Steel Flanges Materials Composition, %</t>
  </si>
  <si>
    <t>ASTM A182 GRADE</t>
  </si>
  <si>
    <t>Others</t>
  </si>
  <si>
    <t>Notes:</t>
  </si>
  <si>
    <t>MECHANICAL PROPERTIES A182 F304/F316/F321</t>
  </si>
  <si>
    <t>ASTM A182 Grade</t>
  </si>
  <si>
    <t>ASTM A182 F304</t>
  </si>
  <si>
    <t>ASTM A182 F304L</t>
  </si>
  <si>
    <t>ASTM A182 F316</t>
  </si>
  <si>
    <t>ASTM A182 F316L</t>
  </si>
  <si>
    <t>ASTM A182 F321</t>
  </si>
  <si>
    <t>MATERIAL GROUP</t>
  </si>
  <si>
    <t>18% Cr, 8% Ni Stainless Steel</t>
  </si>
  <si>
    <t>Corrosive services and atmospheres from -450°F to 1000°F (-268°C to 537°C)</t>
  </si>
  <si>
    <t>18% Cr, 8% Ni, 2% Mo Stainless Steel</t>
  </si>
  <si>
    <t>Flanges Material Grades: Comparison European and American Standards</t>
  </si>
  <si>
    <t>Material number</t>
  </si>
  <si>
    <t>EN</t>
  </si>
  <si>
    <t>ASTM</t>
  </si>
  <si>
    <t>Stainless Steel Flange Materials</t>
  </si>
  <si>
    <t>X6CrNiTi18-10</t>
  </si>
  <si>
    <t>A 182 Grade F321</t>
  </si>
  <si>
    <t>X6CrNiMoTi17-12-2</t>
  </si>
  <si>
    <t>A 182 Grade F316Ti</t>
  </si>
  <si>
    <t>X5CrNi18-10</t>
  </si>
  <si>
    <t>A 182 Grade F304</t>
  </si>
  <si>
    <t>A 182 Grade F304L</t>
  </si>
  <si>
    <t>X2CrNi18-9</t>
  </si>
  <si>
    <t>X5CrNiMo17-12-2</t>
  </si>
  <si>
    <t>A 182 Grade F316</t>
  </si>
  <si>
    <t>X2CrNiMo17-12-2</t>
  </si>
  <si>
    <t>A 182 Grade F316L</t>
  </si>
  <si>
    <t>X2CrNiMoN22-5-3</t>
  </si>
  <si>
    <t>A 182 Grade F51 (Duplex)</t>
  </si>
  <si>
    <t>X1NiCrMoCuN25-20-7</t>
  </si>
  <si>
    <t>UNS N 08926</t>
  </si>
  <si>
    <t>X1NiCrMoCu25-20-5</t>
  </si>
  <si>
    <t>A 182 Grade F904L</t>
  </si>
  <si>
    <t>X1CrNiMoCuN20-18-7</t>
  </si>
  <si>
    <t>UNS S 3125</t>
  </si>
  <si>
    <t>Duplex Flange ASTM A182 UNS S31803 UNS S32205</t>
  </si>
  <si>
    <t>CHEMICAL COMPOSITION ASTM A182 DUPLEX AND SUPER DUPLEX</t>
  </si>
  <si>
    <t>Duplex 2205</t>
  </si>
  <si>
    <t>Super Duplex</t>
  </si>
  <si>
    <t>(ASTM A182 UNS S31803 – UNS S32205)</t>
  </si>
  <si>
    <t>ASTM A182 UNS S32750 – 32760)</t>
  </si>
  <si>
    <t>21-23</t>
  </si>
  <si>
    <t>24-26</t>
  </si>
  <si>
    <t>MECHANICAL PROPERTIES A182 DUPLEX AND SUPER DUPLEX</t>
  </si>
  <si>
    <t>Mechanical Properties</t>
  </si>
  <si>
    <t>Tensile Strength (in MPa)</t>
  </si>
  <si>
    <t>A5 Elongation (in %)</t>
  </si>
  <si>
    <t>Physical Attribute</t>
  </si>
  <si>
    <t>Modulus of Elasticity (GPa)</t>
  </si>
  <si>
    <t>19 at 100°C</t>
  </si>
  <si>
    <t>17 at 100°C</t>
  </si>
  <si>
    <t>ASTM B160</t>
  </si>
  <si>
    <t> Nickel 200 Flange</t>
  </si>
  <si>
    <t>ASTM B166</t>
  </si>
  <si>
    <t> Inconel 600 Flange</t>
  </si>
  <si>
    <t>ASTM B564</t>
  </si>
  <si>
    <t> Inconel 625 Flange</t>
  </si>
  <si>
    <t>ASTM B425</t>
  </si>
  <si>
    <t> Incoloy 800 Flange</t>
  </si>
  <si>
    <t> Incoloy 825 Flange</t>
  </si>
  <si>
    <t> Monel K400 Flange</t>
  </si>
  <si>
    <t> Hastelloy C276 Flange</t>
  </si>
  <si>
    <t>Superalloy Grade</t>
  </si>
  <si>
    <t>UNS Equivalent</t>
  </si>
  <si>
    <t>Alloy Composition</t>
  </si>
  <si>
    <t>Fe</t>
  </si>
  <si>
    <t>Nickel 200</t>
  </si>
  <si>
    <t>N02200</t>
  </si>
  <si>
    <t>…</t>
  </si>
  <si>
    <t>Nickel 201</t>
  </si>
  <si>
    <t>N02201</t>
  </si>
  <si>
    <t>Monel 400</t>
  </si>
  <si>
    <t>N04400</t>
  </si>
  <si>
    <t>Monel K-500</t>
  </si>
  <si>
    <t>N05500</t>
  </si>
  <si>
    <t>Hastelloy B</t>
  </si>
  <si>
    <t>N10665</t>
  </si>
  <si>
    <t>Hastelloy D</t>
  </si>
  <si>
    <t>Inconel 600</t>
  </si>
  <si>
    <t>N06600</t>
  </si>
  <si>
    <t>Inconel 800</t>
  </si>
  <si>
    <t>N08800</t>
  </si>
  <si>
    <t>Hastelloy C-276</t>
  </si>
  <si>
    <t>N10276</t>
  </si>
  <si>
    <t>Inconel 625</t>
  </si>
  <si>
    <t>N06025</t>
  </si>
  <si>
    <t>Incoloy 825</t>
  </si>
  <si>
    <t>N08825</t>
  </si>
  <si>
    <t>Hastelloy G</t>
  </si>
  <si>
    <t>N06030</t>
  </si>
  <si>
    <t>20Cb-3</t>
  </si>
  <si>
    <t>N08020</t>
  </si>
  <si>
    <t>Superalloy grade</t>
  </si>
  <si>
    <t>Yield Strength (in </t>
  </si>
  <si>
    <r>
      <t>Tensile Strength (in ksi</t>
    </r>
    <r>
      <rPr>
        <sz val="9.9"/>
        <color theme="1"/>
        <rFont val="Arial"/>
        <family val="2"/>
        <charset val="162"/>
      </rPr>
      <t>)</t>
    </r>
  </si>
  <si>
    <t>Elongation %</t>
  </si>
  <si>
    <t>Rockwell</t>
  </si>
  <si>
    <t>Brinell</t>
  </si>
  <si>
    <t>ksi)</t>
  </si>
  <si>
    <t>90-120</t>
  </si>
  <si>
    <t>110-149</t>
  </si>
  <si>
    <t>265-346</t>
  </si>
  <si>
    <t>Hastelloy B-2</t>
  </si>
  <si>
    <t>C22</t>
  </si>
  <si>
    <t>Hastelloy D-205</t>
  </si>
  <si>
    <t>C30-39</t>
  </si>
  <si>
    <t>120-170</t>
  </si>
  <si>
    <t>120-184</t>
  </si>
  <si>
    <t>120-180</t>
  </si>
  <si>
    <t>Hastelloy G-30</t>
  </si>
  <si>
    <t>B84-90</t>
  </si>
  <si>
    <t>Operating pressure/ SMYS</t>
  </si>
  <si>
    <t>Boru akma değerleri Mpa olarak alındığında TEST Basıncı</t>
  </si>
  <si>
    <t>Bar</t>
  </si>
  <si>
    <t>Design Pressure 82,5</t>
  </si>
  <si>
    <t>Max Bas. Bar5</t>
  </si>
  <si>
    <t>Design Basıncı</t>
  </si>
  <si>
    <t>Et Kalınlığı 5</t>
  </si>
  <si>
    <t>0,6 (Hat)</t>
  </si>
  <si>
    <t>0,5  (Hat)</t>
  </si>
  <si>
    <t>0,72 (Hat)</t>
  </si>
  <si>
    <t>0,5 (İst.)</t>
  </si>
  <si>
    <t>D/t5</t>
  </si>
  <si>
    <t>Boru Gövdesi 1</t>
  </si>
  <si>
    <t>Boru Ucu 1</t>
  </si>
  <si>
    <t>Boru Ucu 2</t>
  </si>
  <si>
    <t>Boru Gövdesi 2</t>
  </si>
  <si>
    <t>Boru Ucu 3</t>
  </si>
  <si>
    <t>Boru Gövdesi 3</t>
  </si>
  <si>
    <t>Boru Ucu 4</t>
  </si>
  <si>
    <t>Boru Gövdesi 4</t>
  </si>
  <si>
    <t>Boru Ucu 5</t>
  </si>
  <si>
    <t>Boru Gövdesi 5</t>
  </si>
  <si>
    <t>Axc mm25</t>
  </si>
  <si>
    <t>Af mm5</t>
  </si>
  <si>
    <t>F=0,5 (82,5)</t>
  </si>
  <si>
    <t>Boru Hattı</t>
  </si>
  <si>
    <t>Branch reinforcement calculations as per ASME B 31.3 1996 Edition:</t>
  </si>
  <si>
    <t>(for nomenclature refer ASME 31.3 1996 Edition)</t>
  </si>
  <si>
    <t>Enter the following data in the units indicated</t>
  </si>
  <si>
    <t>1 .</t>
  </si>
  <si>
    <r>
      <t>D</t>
    </r>
    <r>
      <rPr>
        <vertAlign val="subscript"/>
        <sz val="8"/>
        <rFont val="Arial"/>
        <family val="2"/>
      </rPr>
      <t>h</t>
    </r>
    <r>
      <rPr>
        <sz val="8"/>
        <rFont val="Arial"/>
        <family val="2"/>
        <charset val="162"/>
      </rPr>
      <t>=O.D of header or run pipe in mm</t>
    </r>
  </si>
  <si>
    <r>
      <t>D</t>
    </r>
    <r>
      <rPr>
        <vertAlign val="subscript"/>
        <sz val="8"/>
        <rFont val="Arial"/>
        <family val="2"/>
      </rPr>
      <t>b</t>
    </r>
    <r>
      <rPr>
        <sz val="8"/>
        <rFont val="Arial"/>
        <family val="2"/>
        <charset val="162"/>
      </rPr>
      <t>=O.D. of branch pipe in mm</t>
    </r>
  </si>
  <si>
    <t>2 .</t>
  </si>
  <si>
    <r>
      <t>Nominal thickness of branch pipe in mm.T</t>
    </r>
    <r>
      <rPr>
        <vertAlign val="subscript"/>
        <sz val="8"/>
        <rFont val="Arial"/>
        <family val="2"/>
      </rPr>
      <t>b</t>
    </r>
  </si>
  <si>
    <r>
      <t>Corrosion allowance for branch pipe in mm. C</t>
    </r>
    <r>
      <rPr>
        <vertAlign val="subscript"/>
        <sz val="8"/>
        <rFont val="Arial"/>
        <family val="2"/>
      </rPr>
      <t>b</t>
    </r>
  </si>
  <si>
    <r>
      <t>Nominal thickness of run pipe in mm T</t>
    </r>
    <r>
      <rPr>
        <vertAlign val="subscript"/>
        <sz val="8"/>
        <rFont val="Arial"/>
        <family val="2"/>
      </rPr>
      <t>h</t>
    </r>
  </si>
  <si>
    <r>
      <t>Corrosion allowance for run pipe in mm. C</t>
    </r>
    <r>
      <rPr>
        <vertAlign val="subscript"/>
        <sz val="8"/>
        <rFont val="Arial"/>
        <family val="2"/>
      </rPr>
      <t>h</t>
    </r>
  </si>
  <si>
    <r>
      <t>Basic allowable stress for material of run pipe,(table A-1) psi(g), S</t>
    </r>
    <r>
      <rPr>
        <vertAlign val="subscript"/>
        <sz val="8"/>
        <rFont val="Arial"/>
        <family val="2"/>
      </rPr>
      <t>h</t>
    </r>
  </si>
  <si>
    <r>
      <t>Basic allowable stress for material of branch pipe,(Table A-1) psi(g) S</t>
    </r>
    <r>
      <rPr>
        <vertAlign val="subscript"/>
        <sz val="8"/>
        <rFont val="Arial"/>
        <family val="2"/>
      </rPr>
      <t xml:space="preserve">b </t>
    </r>
  </si>
  <si>
    <r>
      <t>Quality factor from (Table A-1B), for run pipe.E</t>
    </r>
    <r>
      <rPr>
        <vertAlign val="subscript"/>
        <sz val="8"/>
        <rFont val="Arial"/>
        <family val="2"/>
      </rPr>
      <t>jh</t>
    </r>
  </si>
  <si>
    <r>
      <t>d</t>
    </r>
    <r>
      <rPr>
        <vertAlign val="subscript"/>
        <sz val="8"/>
        <rFont val="Arial"/>
        <family val="2"/>
      </rPr>
      <t>1</t>
    </r>
    <r>
      <rPr>
        <sz val="8"/>
        <rFont val="Arial"/>
        <family val="2"/>
      </rPr>
      <t xml:space="preserve"> effective length removed from  pipe at branch mm</t>
    </r>
  </si>
  <si>
    <r>
      <t>Quality factor from (Table A-1B),for branch pipe.E</t>
    </r>
    <r>
      <rPr>
        <vertAlign val="subscript"/>
        <sz val="8"/>
        <rFont val="Arial"/>
        <family val="2"/>
      </rPr>
      <t>jb</t>
    </r>
  </si>
  <si>
    <r>
      <t>t</t>
    </r>
    <r>
      <rPr>
        <vertAlign val="subscript"/>
        <sz val="8"/>
        <rFont val="Arial"/>
        <family val="2"/>
      </rPr>
      <t>h</t>
    </r>
    <r>
      <rPr>
        <sz val="8"/>
        <rFont val="Arial"/>
        <family val="2"/>
      </rPr>
      <t xml:space="preserve"> pressure design thickness for the run pipe mm</t>
    </r>
  </si>
  <si>
    <r>
      <t>Negative mill tolerance for run pipe in  % . N</t>
    </r>
    <r>
      <rPr>
        <vertAlign val="subscript"/>
        <sz val="8"/>
        <rFont val="Arial"/>
        <family val="2"/>
      </rPr>
      <t>h</t>
    </r>
  </si>
  <si>
    <r>
      <t>t</t>
    </r>
    <r>
      <rPr>
        <vertAlign val="subscript"/>
        <sz val="8"/>
        <rFont val="Arial"/>
        <family val="2"/>
      </rPr>
      <t>b</t>
    </r>
    <r>
      <rPr>
        <sz val="8"/>
        <rFont val="Arial"/>
        <family val="2"/>
      </rPr>
      <t xml:space="preserve"> pressure design thickness for the branch pipe mm</t>
    </r>
  </si>
  <si>
    <r>
      <t>Negative mill tolerance for branch pipe in  % . N</t>
    </r>
    <r>
      <rPr>
        <vertAlign val="subscript"/>
        <sz val="8"/>
        <rFont val="Arial"/>
        <family val="2"/>
      </rPr>
      <t>b</t>
    </r>
  </si>
  <si>
    <r>
      <t>(T</t>
    </r>
    <r>
      <rPr>
        <vertAlign val="subscript"/>
        <sz val="8"/>
        <rFont val="Arial"/>
        <family val="2"/>
      </rPr>
      <t>b</t>
    </r>
    <r>
      <rPr>
        <sz val="8"/>
        <rFont val="Arial"/>
        <family val="2"/>
      </rPr>
      <t>-C</t>
    </r>
    <r>
      <rPr>
        <vertAlign val="subscript"/>
        <sz val="8"/>
        <rFont val="Arial"/>
        <family val="2"/>
      </rPr>
      <t>b</t>
    </r>
    <r>
      <rPr>
        <sz val="8"/>
        <rFont val="Arial"/>
        <family val="2"/>
      </rPr>
      <t>)+(T</t>
    </r>
    <r>
      <rPr>
        <vertAlign val="subscript"/>
        <sz val="8"/>
        <rFont val="Arial"/>
        <family val="2"/>
      </rPr>
      <t>h</t>
    </r>
    <r>
      <rPr>
        <sz val="8"/>
        <rFont val="Arial"/>
        <family val="2"/>
      </rPr>
      <t>-C</t>
    </r>
    <r>
      <rPr>
        <vertAlign val="subscript"/>
        <sz val="8"/>
        <rFont val="Arial"/>
        <family val="2"/>
      </rPr>
      <t>h</t>
    </r>
    <r>
      <rPr>
        <sz val="8"/>
        <rFont val="Arial"/>
        <family val="2"/>
      </rPr>
      <t>)+d</t>
    </r>
    <r>
      <rPr>
        <vertAlign val="subscript"/>
        <sz val="8"/>
        <rFont val="Arial"/>
        <family val="2"/>
      </rPr>
      <t>1</t>
    </r>
    <r>
      <rPr>
        <sz val="8"/>
        <rFont val="Arial"/>
        <family val="2"/>
      </rPr>
      <t>/2 mm</t>
    </r>
  </si>
  <si>
    <t>Do you want to check the connection</t>
  </si>
  <si>
    <t>YES</t>
  </si>
  <si>
    <r>
      <t>Greater of d</t>
    </r>
    <r>
      <rPr>
        <vertAlign val="subscript"/>
        <sz val="8"/>
        <rFont val="Arial"/>
        <family val="2"/>
      </rPr>
      <t>1</t>
    </r>
    <r>
      <rPr>
        <sz val="8"/>
        <rFont val="Arial"/>
        <family val="2"/>
      </rPr>
      <t xml:space="preserve"> and (T</t>
    </r>
    <r>
      <rPr>
        <vertAlign val="subscript"/>
        <sz val="8"/>
        <rFont val="Arial"/>
        <family val="2"/>
      </rPr>
      <t>b</t>
    </r>
    <r>
      <rPr>
        <sz val="8"/>
        <rFont val="Arial"/>
        <family val="2"/>
      </rPr>
      <t>-C</t>
    </r>
    <r>
      <rPr>
        <vertAlign val="subscript"/>
        <sz val="8"/>
        <rFont val="Arial"/>
        <family val="2"/>
      </rPr>
      <t>b</t>
    </r>
    <r>
      <rPr>
        <sz val="8"/>
        <rFont val="Arial"/>
        <family val="2"/>
      </rPr>
      <t>)+(T</t>
    </r>
    <r>
      <rPr>
        <vertAlign val="subscript"/>
        <sz val="8"/>
        <rFont val="Arial"/>
        <family val="2"/>
      </rPr>
      <t>h</t>
    </r>
    <r>
      <rPr>
        <sz val="8"/>
        <rFont val="Arial"/>
        <family val="2"/>
      </rPr>
      <t>-C</t>
    </r>
    <r>
      <rPr>
        <vertAlign val="subscript"/>
        <sz val="8"/>
        <rFont val="Arial"/>
        <family val="2"/>
      </rPr>
      <t>h</t>
    </r>
    <r>
      <rPr>
        <sz val="8"/>
        <rFont val="Arial"/>
        <family val="2"/>
      </rPr>
      <t>)+d</t>
    </r>
    <r>
      <rPr>
        <vertAlign val="subscript"/>
        <sz val="8"/>
        <rFont val="Arial"/>
        <family val="2"/>
      </rPr>
      <t>1</t>
    </r>
    <r>
      <rPr>
        <sz val="8"/>
        <rFont val="Arial"/>
        <family val="2"/>
      </rPr>
      <t>/2</t>
    </r>
  </si>
  <si>
    <t>with reinforcing ring.specify YES / NO</t>
  </si>
  <si>
    <r>
      <t>d</t>
    </r>
    <r>
      <rPr>
        <vertAlign val="subscript"/>
        <sz val="8"/>
        <rFont val="Arial"/>
        <family val="2"/>
      </rPr>
      <t>2</t>
    </r>
    <r>
      <rPr>
        <sz val="8"/>
        <rFont val="Arial"/>
        <family val="2"/>
      </rPr>
      <t xml:space="preserve"> half width of reinforcement zone mm</t>
    </r>
  </si>
  <si>
    <r>
      <t>PLEASE NOTE SET T</t>
    </r>
    <r>
      <rPr>
        <b/>
        <i/>
        <vertAlign val="subscript"/>
        <sz val="8"/>
        <rFont val="Arial"/>
        <family val="2"/>
      </rPr>
      <t>r</t>
    </r>
    <r>
      <rPr>
        <b/>
        <i/>
        <sz val="8"/>
        <rFont val="Arial"/>
        <family val="2"/>
        <charset val="162"/>
      </rPr>
      <t xml:space="preserve"> = 0 FOR CHECKING IF REINFORCEMENT PAD IS REQUIRED</t>
    </r>
  </si>
  <si>
    <r>
      <t xml:space="preserve"> A</t>
    </r>
    <r>
      <rPr>
        <vertAlign val="subscript"/>
        <sz val="8"/>
        <rFont val="Arial"/>
        <family val="2"/>
      </rPr>
      <t>2</t>
    </r>
    <r>
      <rPr>
        <sz val="8"/>
        <rFont val="Arial"/>
        <family val="2"/>
      </rPr>
      <t xml:space="preserve"> area from excess thickness in the run pipe mm</t>
    </r>
    <r>
      <rPr>
        <vertAlign val="superscript"/>
        <sz val="8"/>
        <rFont val="Arial"/>
        <family val="2"/>
      </rPr>
      <t>2</t>
    </r>
  </si>
  <si>
    <r>
      <t>T</t>
    </r>
    <r>
      <rPr>
        <vertAlign val="subscript"/>
        <sz val="8"/>
        <rFont val="Arial"/>
        <family val="2"/>
      </rPr>
      <t xml:space="preserve">r </t>
    </r>
    <r>
      <rPr>
        <sz val="8"/>
        <rFont val="Arial"/>
        <family val="2"/>
        <charset val="162"/>
      </rPr>
      <t>minimum thickness of reinforcing ring or saddle mm</t>
    </r>
  </si>
  <si>
    <r>
      <t xml:space="preserve">b </t>
    </r>
    <r>
      <rPr>
        <sz val="8"/>
        <rFont val="Arial"/>
        <family val="2"/>
        <charset val="162"/>
      </rPr>
      <t>smaller angle between axes of branch and run in degree</t>
    </r>
  </si>
  <si>
    <r>
      <t>2.5(T</t>
    </r>
    <r>
      <rPr>
        <vertAlign val="subscript"/>
        <sz val="8"/>
        <rFont val="Arial"/>
        <family val="2"/>
      </rPr>
      <t>h</t>
    </r>
    <r>
      <rPr>
        <sz val="8"/>
        <rFont val="Arial"/>
        <family val="2"/>
      </rPr>
      <t>-C</t>
    </r>
    <r>
      <rPr>
        <vertAlign val="subscript"/>
        <sz val="8"/>
        <rFont val="Arial"/>
        <family val="2"/>
      </rPr>
      <t>h</t>
    </r>
    <r>
      <rPr>
        <sz val="8"/>
        <rFont val="Arial"/>
        <family val="2"/>
      </rPr>
      <t>) mm</t>
    </r>
  </si>
  <si>
    <r>
      <t>2.5(T</t>
    </r>
    <r>
      <rPr>
        <vertAlign val="subscript"/>
        <sz val="8"/>
        <rFont val="Arial"/>
        <family val="2"/>
      </rPr>
      <t>b</t>
    </r>
    <r>
      <rPr>
        <sz val="8"/>
        <rFont val="Arial"/>
        <family val="2"/>
      </rPr>
      <t>-C</t>
    </r>
    <r>
      <rPr>
        <vertAlign val="subscript"/>
        <sz val="8"/>
        <rFont val="Arial"/>
        <family val="2"/>
      </rPr>
      <t>b</t>
    </r>
    <r>
      <rPr>
        <sz val="8"/>
        <rFont val="Arial"/>
        <family val="2"/>
      </rPr>
      <t>)+T</t>
    </r>
    <r>
      <rPr>
        <vertAlign val="subscript"/>
        <sz val="8"/>
        <rFont val="Arial"/>
        <family val="2"/>
      </rPr>
      <t>r</t>
    </r>
    <r>
      <rPr>
        <sz val="8"/>
        <rFont val="Arial"/>
        <family val="2"/>
      </rPr>
      <t xml:space="preserve"> mm</t>
    </r>
  </si>
  <si>
    <r>
      <t>L</t>
    </r>
    <r>
      <rPr>
        <vertAlign val="subscript"/>
        <sz val="8"/>
        <rFont val="Arial"/>
        <family val="2"/>
      </rPr>
      <t>4</t>
    </r>
    <r>
      <rPr>
        <sz val="8"/>
        <rFont val="Arial"/>
        <family val="2"/>
      </rPr>
      <t>, Lesser of 2.5(T</t>
    </r>
    <r>
      <rPr>
        <vertAlign val="subscript"/>
        <sz val="8"/>
        <rFont val="Arial"/>
        <family val="2"/>
      </rPr>
      <t>h</t>
    </r>
    <r>
      <rPr>
        <sz val="8"/>
        <rFont val="Arial"/>
        <family val="2"/>
      </rPr>
      <t>-C</t>
    </r>
    <r>
      <rPr>
        <vertAlign val="subscript"/>
        <sz val="8"/>
        <rFont val="Arial"/>
        <family val="2"/>
      </rPr>
      <t>h</t>
    </r>
    <r>
      <rPr>
        <sz val="8"/>
        <rFont val="Arial"/>
        <family val="2"/>
      </rPr>
      <t>)and 2.5(T</t>
    </r>
    <r>
      <rPr>
        <vertAlign val="subscript"/>
        <sz val="8"/>
        <rFont val="Arial"/>
        <family val="2"/>
      </rPr>
      <t>b</t>
    </r>
    <r>
      <rPr>
        <sz val="8"/>
        <rFont val="Arial"/>
        <family val="2"/>
      </rPr>
      <t>-C</t>
    </r>
    <r>
      <rPr>
        <vertAlign val="subscript"/>
        <sz val="8"/>
        <rFont val="Arial"/>
        <family val="2"/>
      </rPr>
      <t>b</t>
    </r>
    <r>
      <rPr>
        <sz val="8"/>
        <rFont val="Arial"/>
        <family val="2"/>
      </rPr>
      <t>)+T</t>
    </r>
    <r>
      <rPr>
        <vertAlign val="subscript"/>
        <sz val="8"/>
        <rFont val="Arial"/>
        <family val="2"/>
      </rPr>
      <t>r</t>
    </r>
    <r>
      <rPr>
        <sz val="8"/>
        <rFont val="Arial"/>
        <family val="2"/>
      </rPr>
      <t xml:space="preserve"> mm</t>
    </r>
  </si>
  <si>
    <t xml:space="preserve">Height of reinforcement zone outside of run pipe </t>
  </si>
  <si>
    <r>
      <t>Length of reinforcing pad measured along the run mm . L</t>
    </r>
    <r>
      <rPr>
        <vertAlign val="subscript"/>
        <sz val="8"/>
        <rFont val="Arial"/>
        <family val="2"/>
      </rPr>
      <t>r</t>
    </r>
  </si>
  <si>
    <r>
      <t>A</t>
    </r>
    <r>
      <rPr>
        <vertAlign val="subscript"/>
        <sz val="8"/>
        <rFont val="Arial"/>
        <family val="2"/>
      </rPr>
      <t>3</t>
    </r>
    <r>
      <rPr>
        <sz val="8"/>
        <rFont val="Arial"/>
        <family val="2"/>
      </rPr>
      <t xml:space="preserve"> area from excess thickness in branch pipe mm</t>
    </r>
    <r>
      <rPr>
        <vertAlign val="superscript"/>
        <sz val="8"/>
        <rFont val="Arial"/>
        <family val="2"/>
      </rPr>
      <t>2</t>
    </r>
  </si>
  <si>
    <r>
      <t>Less of L</t>
    </r>
    <r>
      <rPr>
        <vertAlign val="subscript"/>
        <sz val="8"/>
        <rFont val="Arial"/>
        <family val="2"/>
      </rPr>
      <t>4</t>
    </r>
    <r>
      <rPr>
        <sz val="8"/>
        <rFont val="Arial"/>
        <family val="2"/>
      </rPr>
      <t xml:space="preserve"> &amp;T</t>
    </r>
    <r>
      <rPr>
        <vertAlign val="subscript"/>
        <sz val="8"/>
        <rFont val="Arial"/>
        <family val="2"/>
      </rPr>
      <t>r</t>
    </r>
    <r>
      <rPr>
        <sz val="8"/>
        <rFont val="Arial"/>
        <family val="2"/>
      </rPr>
      <t xml:space="preserve"> forcalculating reinforcement area in ring</t>
    </r>
  </si>
  <si>
    <t>PLEASE  NOTE  THIS SHOULD NOT BE LESS THAN Db</t>
  </si>
  <si>
    <r>
      <t>PLEASE NOTE SET T</t>
    </r>
    <r>
      <rPr>
        <b/>
        <i/>
        <vertAlign val="subscript"/>
        <sz val="8"/>
        <rFont val="Arial"/>
        <family val="2"/>
      </rPr>
      <t>a</t>
    </r>
    <r>
      <rPr>
        <b/>
        <i/>
        <sz val="8"/>
        <rFont val="Arial"/>
        <family val="2"/>
        <charset val="162"/>
      </rPr>
      <t xml:space="preserve"> = 0 FOR CHECKING IF REINFORCEMENT PAD IS REQUIRED</t>
    </r>
  </si>
  <si>
    <t>Thickness used in ring area calculation</t>
  </si>
  <si>
    <r>
      <t>Enter next higher,</t>
    </r>
    <r>
      <rPr>
        <b/>
        <sz val="8"/>
        <rFont val="Arial"/>
        <family val="2"/>
        <charset val="162"/>
      </rPr>
      <t>available thk t</t>
    </r>
    <r>
      <rPr>
        <b/>
        <vertAlign val="subscript"/>
        <sz val="8"/>
        <rFont val="Arial"/>
        <family val="2"/>
      </rPr>
      <t>a</t>
    </r>
    <r>
      <rPr>
        <b/>
        <sz val="8"/>
        <rFont val="Arial"/>
        <family val="2"/>
        <charset val="162"/>
      </rPr>
      <t xml:space="preserve"> </t>
    </r>
    <r>
      <rPr>
        <sz val="8"/>
        <rFont val="Arial"/>
        <family val="2"/>
        <charset val="162"/>
      </rPr>
      <t>of reinforcing ring in mm.</t>
    </r>
  </si>
  <si>
    <r>
      <t>Reinforcement area in reinforcing ring mm</t>
    </r>
    <r>
      <rPr>
        <vertAlign val="superscript"/>
        <sz val="8"/>
        <rFont val="Arial"/>
        <family val="2"/>
      </rPr>
      <t>2</t>
    </r>
  </si>
  <si>
    <r>
      <t xml:space="preserve">Length of reinforcement pad for  </t>
    </r>
    <r>
      <rPr>
        <b/>
        <sz val="8"/>
        <rFont val="Arial"/>
        <family val="2"/>
        <charset val="162"/>
      </rPr>
      <t>t</t>
    </r>
    <r>
      <rPr>
        <b/>
        <vertAlign val="subscript"/>
        <sz val="8"/>
        <rFont val="Arial"/>
        <family val="2"/>
      </rPr>
      <t>a</t>
    </r>
    <r>
      <rPr>
        <sz val="8"/>
        <rFont val="Arial"/>
        <family val="2"/>
        <charset val="162"/>
      </rPr>
      <t xml:space="preserve"> in mm.</t>
    </r>
  </si>
  <si>
    <r>
      <t>Throat dimension of fillet weld mm t</t>
    </r>
    <r>
      <rPr>
        <vertAlign val="subscript"/>
        <sz val="8"/>
        <rFont val="Arial"/>
        <family val="2"/>
      </rPr>
      <t>c</t>
    </r>
  </si>
  <si>
    <r>
      <t>Weld reinforcement area without ring mm</t>
    </r>
    <r>
      <rPr>
        <vertAlign val="superscript"/>
        <sz val="8"/>
        <rFont val="Arial"/>
        <family val="2"/>
      </rPr>
      <t>2</t>
    </r>
  </si>
  <si>
    <t>Leg dimension of weld at reinforcement ring mm</t>
  </si>
  <si>
    <t>Weld dim. at ring used in calculation mm</t>
  </si>
  <si>
    <r>
      <t>Weld reinforcement area at ring mm</t>
    </r>
    <r>
      <rPr>
        <vertAlign val="superscript"/>
        <sz val="8"/>
        <rFont val="Arial"/>
        <family val="2"/>
      </rPr>
      <t>2</t>
    </r>
  </si>
  <si>
    <t>Result</t>
  </si>
  <si>
    <r>
      <t>Total area available for reinforcement mm</t>
    </r>
    <r>
      <rPr>
        <vertAlign val="superscript"/>
        <sz val="8"/>
        <rFont val="Arial"/>
        <family val="2"/>
      </rPr>
      <t xml:space="preserve">2 </t>
    </r>
  </si>
  <si>
    <r>
      <t>Area required mm</t>
    </r>
    <r>
      <rPr>
        <vertAlign val="superscript"/>
        <sz val="8"/>
        <rFont val="Arial"/>
        <family val="2"/>
      </rPr>
      <t>2</t>
    </r>
  </si>
  <si>
    <t>PPD. BY :</t>
  </si>
  <si>
    <t>JOB NO.</t>
  </si>
  <si>
    <t>DWG.NO.</t>
  </si>
  <si>
    <t>ISSUE</t>
  </si>
  <si>
    <t>CKD. BY  :</t>
  </si>
  <si>
    <t>R0</t>
  </si>
  <si>
    <t>BRANCH REINFORCEMENT CALCULATIONS</t>
  </si>
  <si>
    <t>DATE  :</t>
  </si>
  <si>
    <t xml:space="preserve">PROJECT :  </t>
  </si>
  <si>
    <t xml:space="preserve">SHEET               OF      </t>
  </si>
  <si>
    <t xml:space="preserve">Nom. run size (inch)  </t>
  </si>
  <si>
    <t xml:space="preserve">Nom. branch size (inch)  </t>
  </si>
  <si>
    <t>841.1.2 Fracture Control and Arrest</t>
  </si>
  <si>
    <t>Internal design gauge pressure (bar)</t>
  </si>
  <si>
    <t>B</t>
  </si>
  <si>
    <t>d</t>
  </si>
  <si>
    <t>M</t>
  </si>
  <si>
    <t>t</t>
  </si>
  <si>
    <t>tb</t>
  </si>
  <si>
    <t>H</t>
  </si>
  <si>
    <t xml:space="preserve">Nom. run size   </t>
  </si>
  <si>
    <t xml:space="preserve">Nom. branch size   </t>
  </si>
  <si>
    <t>mm</t>
  </si>
  <si>
    <t>S (Mpa)</t>
  </si>
  <si>
    <t>P (Bar)</t>
  </si>
  <si>
    <t>mm2</t>
  </si>
  <si>
    <t>A2</t>
  </si>
  <si>
    <t>L</t>
  </si>
  <si>
    <t>L1</t>
  </si>
  <si>
    <t>L2</t>
  </si>
  <si>
    <t>A3</t>
  </si>
  <si>
    <t>Ar</t>
  </si>
  <si>
    <t>A2*</t>
  </si>
  <si>
    <t>Sütun1</t>
  </si>
  <si>
    <t>P=</t>
  </si>
  <si>
    <t>(bar)</t>
  </si>
  <si>
    <t>F=</t>
  </si>
  <si>
    <t>(mm)</t>
  </si>
  <si>
    <t>D=</t>
  </si>
  <si>
    <t>S=</t>
  </si>
  <si>
    <t>(psi)</t>
  </si>
  <si>
    <t>(mpa)</t>
  </si>
  <si>
    <t>(inch)</t>
  </si>
  <si>
    <t>Et Kalınlığı Hesaplama</t>
  </si>
  <si>
    <t>Shell document</t>
  </si>
  <si>
    <t>ÇAP (Inch)</t>
  </si>
  <si>
    <t>0,125"</t>
  </si>
  <si>
    <t>0,25"</t>
  </si>
  <si>
    <t>0,375"</t>
  </si>
  <si>
    <t>3,5"</t>
  </si>
  <si>
    <t>26"</t>
  </si>
  <si>
    <t>28"</t>
  </si>
  <si>
    <t>80"</t>
  </si>
  <si>
    <t>76"</t>
  </si>
  <si>
    <t>72"</t>
  </si>
  <si>
    <t>68"</t>
  </si>
  <si>
    <t>64"</t>
  </si>
  <si>
    <t>Selected Pipe Thickness ASME 36.10</t>
  </si>
  <si>
    <t>ASTM A860 WPHY65</t>
  </si>
  <si>
    <t xml:space="preserve">60" </t>
  </si>
  <si>
    <t xml:space="preserve">56" </t>
  </si>
  <si>
    <t xml:space="preserve">52" </t>
  </si>
  <si>
    <t xml:space="preserve">48" </t>
  </si>
  <si>
    <t xml:space="preserve">46" </t>
  </si>
  <si>
    <t xml:space="preserve">44" </t>
  </si>
  <si>
    <t xml:space="preserve">42" </t>
  </si>
  <si>
    <t xml:space="preserve">40" </t>
  </si>
  <si>
    <t xml:space="preserve">38" </t>
  </si>
  <si>
    <t xml:space="preserve">36" </t>
  </si>
  <si>
    <t xml:space="preserve">34" </t>
  </si>
  <si>
    <t xml:space="preserve">32" </t>
  </si>
  <si>
    <t xml:space="preserve">ASTM A860 WPHY65 </t>
  </si>
  <si>
    <t xml:space="preserve">30" </t>
  </si>
  <si>
    <t xml:space="preserve">24" </t>
  </si>
  <si>
    <t xml:space="preserve">22" </t>
  </si>
  <si>
    <t xml:space="preserve">  </t>
  </si>
  <si>
    <t xml:space="preserve">20" </t>
  </si>
  <si>
    <t xml:space="preserve">18" </t>
  </si>
  <si>
    <t>ASTM A860 WPHY60</t>
  </si>
  <si>
    <t xml:space="preserve">16" </t>
  </si>
  <si>
    <t>ASTM A860 WPHY52</t>
  </si>
  <si>
    <t xml:space="preserve">14" </t>
  </si>
  <si>
    <t xml:space="preserve">12 ¾" </t>
  </si>
  <si>
    <t xml:space="preserve">12" </t>
  </si>
  <si>
    <t>ASTM A694 F46</t>
  </si>
  <si>
    <t>ASTM A860 WPHY46</t>
  </si>
  <si>
    <t xml:space="preserve">10 ¾" </t>
  </si>
  <si>
    <t xml:space="preserve">10" </t>
  </si>
  <si>
    <t>ASTM A860 WPHY42</t>
  </si>
  <si>
    <t xml:space="preserve">8 ⅝" </t>
  </si>
  <si>
    <t xml:space="preserve">8" </t>
  </si>
  <si>
    <t xml:space="preserve">ASTM A860 WPHY42 </t>
  </si>
  <si>
    <t xml:space="preserve">6 ⅝" </t>
  </si>
  <si>
    <t xml:space="preserve">6" </t>
  </si>
  <si>
    <t xml:space="preserve"> </t>
  </si>
  <si>
    <t>ASTM A234 WPB</t>
  </si>
  <si>
    <t xml:space="preserve">5 ⅝" </t>
  </si>
  <si>
    <t xml:space="preserve">5" </t>
  </si>
  <si>
    <t xml:space="preserve">4 ½” </t>
  </si>
  <si>
    <t xml:space="preserve">4" </t>
  </si>
  <si>
    <t xml:space="preserve">3 ½” </t>
  </si>
  <si>
    <t xml:space="preserve">3" </t>
  </si>
  <si>
    <t xml:space="preserve"> 2 ⅞” </t>
  </si>
  <si>
    <t xml:space="preserve">2½"  </t>
  </si>
  <si>
    <t xml:space="preserve">2⅜" </t>
  </si>
  <si>
    <t xml:space="preserve">2"  </t>
  </si>
  <si>
    <t>ASTM A860 WPHY70</t>
  </si>
  <si>
    <t xml:space="preserve">1½"  </t>
  </si>
  <si>
    <t xml:space="preserve">1¼" </t>
  </si>
  <si>
    <t xml:space="preserve">1"  </t>
  </si>
  <si>
    <t xml:space="preserve">¾" </t>
  </si>
  <si>
    <t xml:space="preserve">ASTM A234 WPB </t>
  </si>
  <si>
    <t xml:space="preserve">½"  </t>
  </si>
  <si>
    <t xml:space="preserve">(Malzeme)  (Kaynak) </t>
  </si>
  <si>
    <t>Çentik Darbe mukavemeti (J) (-28C)</t>
  </si>
  <si>
    <t xml:space="preserve">Malzeme Cinsi </t>
  </si>
  <si>
    <t>KÖR FLANŞ</t>
  </si>
  <si>
    <t>CONTA</t>
  </si>
  <si>
    <t>SAPLAMA / 
SOMUN</t>
  </si>
  <si>
    <t>FLANŞ</t>
  </si>
  <si>
    <t>REDÜKSİYON</t>
  </si>
  <si>
    <t>TEE</t>
  </si>
  <si>
    <t>OLET</t>
  </si>
  <si>
    <t>KEP</t>
  </si>
  <si>
    <t>Standart Gereği Testler</t>
  </si>
  <si>
    <t xml:space="preserve">ASTM A860 WPHY46 </t>
  </si>
  <si>
    <t>21,3</t>
  </si>
  <si>
    <t>Nominal (mm)</t>
  </si>
  <si>
    <t>HAT BORULARI F=0,60</t>
  </si>
  <si>
    <t>HAT BORULARI F=0,50</t>
  </si>
  <si>
    <t xml:space="preserve">DN </t>
  </si>
  <si>
    <t>Nominal (inch)</t>
  </si>
  <si>
    <t>HAT BORULARI F=0,72</t>
  </si>
  <si>
    <t>İSTASYON BORULARI 75 bar</t>
  </si>
  <si>
    <t>İSTASYON BORULARI 82,5 bar</t>
  </si>
  <si>
    <t>BORU DIŞ ÇAPI Anma (inch)</t>
  </si>
  <si>
    <t>ASTM A182 F11 CL2</t>
  </si>
  <si>
    <t>ASTM A182 F22 CL3</t>
  </si>
  <si>
    <t>ASTM A182 F5</t>
  </si>
  <si>
    <t>ASTM A182 F9</t>
  </si>
  <si>
    <t>ASTM A694 F48</t>
  </si>
  <si>
    <t>ASTM A694 F50</t>
  </si>
  <si>
    <t>ASTM A694 F56</t>
  </si>
  <si>
    <t>ASTM A694 F70</t>
  </si>
  <si>
    <t>0,035 max</t>
  </si>
  <si>
    <t>The most common materials for pipe flanges (forged grades) are: ASTM A105 (carbon steel high temperature to match A53/A106/API 5L pipes), A350 Grades LF1/2/3 (carbon steel low temperature to match A333 pipes), A694 Grades F42 to F80 (high yield carbon steel to match API 5L pipe grades), ASTM A182 Grades F5 to F91 (alloy steel flanges to match A335 pipes), A182 Grade F304/316 (stainless steel flanges to match A312 SS pipes), A182 Gr, F44/F51/F53/F55 (duplex and super duplex to match A790/A928 pipes) and various nickel alloy grades (Inconel, Incoloy, Hastelloy, Monel),</t>
  </si>
  <si>
    <t>0,26-0,265</t>
  </si>
  <si>
    <t>1,60-1,64</t>
  </si>
  <si>
    <t>0,025-0,030</t>
  </si>
  <si>
    <t>0,15-0,35</t>
  </si>
  <si>
    <t>0,10-0,20</t>
  </si>
  <si>
    <t>0,30-0,80</t>
  </si>
  <si>
    <t>0,50-1,00</t>
  </si>
  <si>
    <t>1,00-1,50</t>
  </si>
  <si>
    <t>0,44-0,65</t>
  </si>
  <si>
    <t>0,05-0,15</t>
  </si>
  <si>
    <t>0,15 MAX</t>
  </si>
  <si>
    <t>0,30-0,60</t>
  </si>
  <si>
    <t>0,50 MAX</t>
  </si>
  <si>
    <t>2,00-2,50</t>
  </si>
  <si>
    <t>0,87-1,13</t>
  </si>
  <si>
    <t>4,00-6,00</t>
  </si>
  <si>
    <t>8,0-10,0</t>
  </si>
  <si>
    <t>0,90-1,10</t>
  </si>
  <si>
    <t>Non-corrosive applications Including water, oil, and gases at temperatures between -29 ~ 593ºC* (Not prolonged use &gt; 470ºC),</t>
  </si>
  <si>
    <t>0,75% Ni; Mo; 0,75% Cr Low Alloy Steel</t>
  </si>
  <si>
    <t>Non-corrosive applications including water, oil, and gases at temperatures between -30ºC (-20ºF) and +593ºC (+1100ºF),</t>
  </si>
  <si>
    <t>Mild corrosive or erosive applications as well as non-corrosive applications at temperatures between -30ºC (-20ºF) and +650ºC (+1200ºF),</t>
  </si>
  <si>
    <t>8,0-11,0</t>
  </si>
  <si>
    <t>18,0-20,0</t>
  </si>
  <si>
    <t>0,04-0,10</t>
  </si>
  <si>
    <t>8,0-13,0</t>
  </si>
  <si>
    <t>8,0-10,5</t>
  </si>
  <si>
    <t>12,0-15,0</t>
  </si>
  <si>
    <t>22,0-24,0</t>
  </si>
  <si>
    <t>19,0-22,0</t>
  </si>
  <si>
    <t>24,0-26,0</t>
  </si>
  <si>
    <t>21,0-23,0</t>
  </si>
  <si>
    <t>2,0-3,0</t>
  </si>
  <si>
    <t>N 0,10-0,16</t>
  </si>
  <si>
    <t>10,0-14,0</t>
  </si>
  <si>
    <t>16,0-18,0</t>
  </si>
  <si>
    <t>10,0-15,0</t>
  </si>
  <si>
    <t>11,0-14,0</t>
  </si>
  <si>
    <t>N 0,10 max</t>
  </si>
  <si>
    <t>11,0-15,0</t>
  </si>
  <si>
    <t>3,0-4,0</t>
  </si>
  <si>
    <t>9,0-12,0</t>
  </si>
  <si>
    <t>17,0-19,0</t>
  </si>
  <si>
    <t>9,0-13,0</t>
  </si>
  <si>
    <t>17,0-20,0</t>
  </si>
  <si>
    <t>1, Grades F304, F304L, F316, and F316L shall have a maximum Nitrogen of 0,10%,</t>
  </si>
  <si>
    <t>2, Grades F304N, F316N, F304LN, and F316LN shall have a Nitrogen of 0,10 to 0,16%,</t>
  </si>
  <si>
    <t>3, Grade F316Ti shall have a Titanium content five times above the Carbon plus Nitrogen and not more than 0,70%,</t>
  </si>
  <si>
    <t>4, Grade F321 shall have a Titanium content five times above the Carbon and not more than 0,70%,</t>
  </si>
  <si>
    <t>5, Grade F321H shall have a Titanium content four times above the Carbon and not more than 0,70%,</t>
  </si>
  <si>
    <t>6, Grades F347 and F348 shall have a Niobium content ten times above the Carbon and not more than 1,10%,</t>
  </si>
  <si>
    <t>7, Grades F347H and F348H shall have a Niobium content above than eight times the Carbon and not more than 1,10%,</t>
  </si>
  <si>
    <t>High resistance to corrosion from -450°F to 1000°F (-268°C to 537°C),</t>
  </si>
  <si>
    <t>ASTM vs, EN STAINLESS STEEL FLANGE MATERIALS</t>
  </si>
  <si>
    <t>1,4541 X 6 CrNiTi 18 10</t>
  </si>
  <si>
    <t>1,4571 X 6 CrNiMoTi 17 12 2</t>
  </si>
  <si>
    <t>1,4301 X 5 CrNi 18 10</t>
  </si>
  <si>
    <t>1,4306 X 2 CrNi 19 11</t>
  </si>
  <si>
    <t>1,4307 –</t>
  </si>
  <si>
    <t>1,4401 X 5 CrNiMo 17 12 2</t>
  </si>
  <si>
    <t>1,4404 X 2 CrNiMo 17 13 2</t>
  </si>
  <si>
    <t>1,4462 X 2 CrNiMoN 22 5 3</t>
  </si>
  <si>
    <t>1,4529 X 1 NiCrMoCuN 25 20 6</t>
  </si>
  <si>
    <t>1,4539 X 1 NiCrMoCuN 25 20 5</t>
  </si>
  <si>
    <t>1,4547 –</t>
  </si>
  <si>
    <t>Duplex steel (ASTM A182 2205) is an extremely corrosion resistant, work hardenable stainless steel, whose microstructure consists of a mixture of austenite and ferrite phases,</t>
  </si>
  <si>
    <t>Due to this particular chemical and physical composition, duplex stainless steel UNS S31803 features the properties characteristic of both types of stainless steel materials (ferritic and austenitic),</t>
  </si>
  <si>
    <t>Generally speaking, duplex stainless steel is way tougher than ferritic stainless steels, has a superior strength than austenitic steels (series 300 and 400) and has superior resistance to corrosion when compared to SS304 and SS316 (high intragranular corrosion, also in chloride and sulfide environments),</t>
  </si>
  <si>
    <t>Whilst austenitic stainless steels are non-magnetic, duplex stainless steel shows magnetic properties,</t>
  </si>
  <si>
    <t>Duplex and super duplex flanges match with ASTM A790 seamless pipes (or A928 welded duplex pipes),</t>
  </si>
  <si>
    <t>0-0,03</t>
  </si>
  <si>
    <t>0,03 max</t>
  </si>
  <si>
    <t>1,05,2021</t>
  </si>
  <si>
    <t>0-0,02</t>
  </si>
  <si>
    <t>2,5-3,5</t>
  </si>
  <si>
    <t>3,0-5,0</t>
  </si>
  <si>
    <t>4,5-6,5</t>
  </si>
  <si>
    <t>5,5-8,0</t>
  </si>
  <si>
    <t>0,08-0,2</t>
  </si>
  <si>
    <t>0,2-0,35</t>
  </si>
  <si>
    <t>0,5-3,0</t>
  </si>
  <si>
    <t>The most widely used grade for Duplex flange is 2205, due to its superior resistance to corrosion and mechanical strength,</t>
  </si>
  <si>
    <t>The designation “2205” is related to the chemical composition of this material, which features 22% of chromium and 5% of nickel,</t>
  </si>
  <si>
    <t>Super Duplex flange show an even superior strength and a higher corrosion resistance than standard duplex steel (and austenitic grades, of course),</t>
  </si>
  <si>
    <t>The main difference between a duplex and a super duplex grade is the addition of copper to the alloy (in addition to increased amounts of Chromium, Moly, and Nickel),</t>
  </si>
  <si>
    <t>The addition of copper gives Super Duplex Stainless Steel an improved resistance to hot chlorides and strong reducing acids, like sulphuric acid, compared to a standard Duplex grade,</t>
  </si>
  <si>
    <t>Whilst UNS S31803, UNS 32205 (duplex) and UNS S32750, UNS S32760 are standard designations, most manufacturers of superalloys attribute proprietary names to these steels (example UR52N+ is a Usinor/Arcelor Super Duplex steel, Ferralium, Zeron, Sandvik SAF 2205 22Cr, etc),</t>
  </si>
  <si>
    <t>Proof Stress 0,2% (in MPa)</t>
  </si>
  <si>
    <t>Density (g,cm3)</t>
  </si>
  <si>
    <t>Electrical Resistivity (Ω,m)</t>
  </si>
  <si>
    <t>0,085×10-6</t>
  </si>
  <si>
    <t>Thermal Conductivity (W/m,K)</t>
  </si>
  <si>
    <t>Thermal Expansion (m/m,K)</t>
  </si>
  <si>
    <t>13,7×10-6 to 100°C</t>
  </si>
  <si>
    <t>13,5×10-6 to 200°C</t>
  </si>
  <si>
    <t>The significant addition of Chromium in Duplex Steel grades, that protects the alloy against corrosion, is a source of steel embrittlement at temperatures over about 300°C, However, at lower temperatures duplex steels show better ductility properties than ferritic and martensitic stainless steels (they can easily be used at a temperature below -50 C°),</t>
  </si>
  <si>
    <t>99,5(a)</t>
  </si>
  <si>
    <t>99,6(a)</t>
  </si>
  <si>
    <t>66,5(a)</t>
  </si>
  <si>
    <t>31,05,2021</t>
  </si>
  <si>
    <t>1,01,2025</t>
  </si>
  <si>
    <t>29,05,2021</t>
  </si>
  <si>
    <t>0,05 max</t>
  </si>
  <si>
    <t>1,09,2025</t>
  </si>
  <si>
    <t>15,05,2021</t>
  </si>
  <si>
    <t>76,0(a)</t>
  </si>
  <si>
    <t>5,05,2021</t>
  </si>
  <si>
    <t>21,05,2021</t>
  </si>
  <si>
    <t>61,0(a)</t>
  </si>
  <si>
    <t>2,05,2021</t>
  </si>
  <si>
    <t>1,02,2025</t>
  </si>
  <si>
    <t>6,05,2021</t>
  </si>
  <si>
    <t>19,05,2021</t>
  </si>
  <si>
    <t>3,05,2021</t>
  </si>
  <si>
    <t>70000-95000</t>
  </si>
  <si>
    <t>https://blog.projectmaterials.com/flanges/flange-materials-carbon-alloy-stainless-duplex/#elementor-toc__heading-anchor-0</t>
  </si>
  <si>
    <t>0,35 max</t>
  </si>
  <si>
    <t>0,6/1,05</t>
  </si>
  <si>
    <t>MSS SP-44</t>
  </si>
  <si>
    <t>22**</t>
  </si>
  <si>
    <t>FİTTİNG</t>
  </si>
  <si>
    <t>E=</t>
  </si>
  <si>
    <t>T=</t>
  </si>
  <si>
    <t>NOTE:</t>
  </si>
  <si>
    <t>ASTM A182 F304(1)</t>
  </si>
  <si>
    <t>ASTM A182 F304H</t>
  </si>
  <si>
    <t>ASTM A182 F304L(1)</t>
  </si>
  <si>
    <t>ASTM A182 F304N(2)</t>
  </si>
  <si>
    <t>ASTM A182 F304LN(2)</t>
  </si>
  <si>
    <t>ASTM A182 F309H</t>
  </si>
  <si>
    <t>ASTM A182 F310</t>
  </si>
  <si>
    <t>ASTM A182 F310H</t>
  </si>
  <si>
    <t>ASTM A182 F310MoLN</t>
  </si>
  <si>
    <t>ASTM A182 F316H</t>
  </si>
  <si>
    <t>ASTM A182 F316L(1)</t>
  </si>
  <si>
    <t>ASTM A182 F316N(2)</t>
  </si>
  <si>
    <t>ASTM A182 F316LN(2)</t>
  </si>
  <si>
    <t>ASTM A182 F316Ti</t>
  </si>
  <si>
    <t>ASTM A182 F317</t>
  </si>
  <si>
    <t>ASTM A182 F317L</t>
  </si>
  <si>
    <t>ASTM A182 F321H</t>
  </si>
  <si>
    <t>ASTM A182 F347</t>
  </si>
  <si>
    <t>ASTM A182 F347H</t>
  </si>
  <si>
    <t>ASTM A182 F348</t>
  </si>
  <si>
    <t>ASTM A182 F348H</t>
  </si>
  <si>
    <t>Minimum Tensile Strength in MPa</t>
  </si>
  <si>
    <t>Minimum Yield point in Mpa</t>
  </si>
  <si>
    <t>Minimum Elongation in %</t>
  </si>
  <si>
    <t>Minimum Reduction of in min, %</t>
  </si>
  <si>
    <t>Co 0,20 / Ta 0,10</t>
  </si>
  <si>
    <t>Heat Analysis</t>
  </si>
  <si>
    <t>Product Analysis</t>
  </si>
  <si>
    <t>Composition, %</t>
  </si>
  <si>
    <t>Chemical Requirements</t>
  </si>
  <si>
    <t>Element</t>
  </si>
  <si>
    <t>Phosphores</t>
  </si>
  <si>
    <t>0.35 max</t>
  </si>
  <si>
    <t>0.60-1.05</t>
  </si>
  <si>
    <t>0.035 max</t>
  </si>
  <si>
    <t>0.040 max</t>
  </si>
  <si>
    <t>0.10-0.35</t>
  </si>
  <si>
    <t>0.40 max</t>
  </si>
  <si>
    <t>0.30 max</t>
  </si>
  <si>
    <t>0.12 max</t>
  </si>
  <si>
    <t>0.05 max</t>
  </si>
  <si>
    <t>0.02 max</t>
  </si>
  <si>
    <t>ASTM A105 Chemical Requirements</t>
  </si>
  <si>
    <t>ASTM A350 Chemical Requirements</t>
  </si>
  <si>
    <t>Grade LF1</t>
  </si>
  <si>
    <t>Grade LF2</t>
  </si>
  <si>
    <t>Grade LF3</t>
  </si>
  <si>
    <t>Grade LF5</t>
  </si>
  <si>
    <t>Grade LF6</t>
  </si>
  <si>
    <t>Grade LF9</t>
  </si>
  <si>
    <t>Grade LF787</t>
  </si>
  <si>
    <t>Nitrogen</t>
  </si>
  <si>
    <t>0.30</t>
  </si>
  <si>
    <t>0.20</t>
  </si>
  <si>
    <t>0.22</t>
  </si>
  <si>
    <t>0.07</t>
  </si>
  <si>
    <t>0.60-1.35</t>
  </si>
  <si>
    <t>0.90</t>
  </si>
  <si>
    <t>1.15-1.50</t>
  </si>
  <si>
    <t>0.40-1.06</t>
  </si>
  <si>
    <t>0.40-0.70</t>
  </si>
  <si>
    <t>0.035</t>
  </si>
  <si>
    <t>0.025</t>
  </si>
  <si>
    <t>0.040</t>
  </si>
  <si>
    <t>0.2-0.30</t>
  </si>
  <si>
    <t>0.15-0.30</t>
  </si>
  <si>
    <t>0.20-0.35</t>
  </si>
  <si>
    <t>0.40</t>
  </si>
  <si>
    <t>0.35</t>
  </si>
  <si>
    <t>3.3-3.7</t>
  </si>
  <si>
    <t>1.0-2.0</t>
  </si>
  <si>
    <t>1.60-2.24</t>
  </si>
  <si>
    <t>0.70-1.00</t>
  </si>
  <si>
    <t>0.60-0.90</t>
  </si>
  <si>
    <t>0.12</t>
  </si>
  <si>
    <t>0.02</t>
  </si>
  <si>
    <t>0.15-0.25</t>
  </si>
  <si>
    <t>0.75-1.25</t>
  </si>
  <si>
    <t>1.00-1.30</t>
  </si>
  <si>
    <t>0.02 min</t>
  </si>
  <si>
    <t>0.05</t>
  </si>
  <si>
    <t>0.06</t>
  </si>
  <si>
    <t>0.03</t>
  </si>
  <si>
    <t>0.04-0.11</t>
  </si>
  <si>
    <t>0.01-0.030</t>
  </si>
  <si>
    <t>Limit or Max of Specified Range</t>
  </si>
  <si>
    <t>to 100 in^2 (645 cm^2)</t>
  </si>
  <si>
    <t>0.01</t>
  </si>
  <si>
    <t>0.04</t>
  </si>
  <si>
    <t>0.90-1.35</t>
  </si>
  <si>
    <t>1.35-1.50</t>
  </si>
  <si>
    <t>over max</t>
  </si>
  <si>
    <t>1.00-2.00</t>
  </si>
  <si>
    <t>2.00-5.20</t>
  </si>
  <si>
    <t>1.00</t>
  </si>
  <si>
    <t>0.75</t>
  </si>
  <si>
    <t>0.20-0.40</t>
  </si>
  <si>
    <t>0.10</t>
  </si>
  <si>
    <t>0.11-0.25</t>
  </si>
  <si>
    <t>0.02-0.19</t>
  </si>
  <si>
    <t>0.75-1.30</t>
  </si>
  <si>
    <t>100-200 in^2 ( 645-1290 m^2)</t>
  </si>
  <si>
    <t>200-400 in^2 (1290-2580^2)</t>
  </si>
  <si>
    <t>400-800 in^2 (2580-510 cm^2)</t>
  </si>
  <si>
    <t>0.005</t>
  </si>
  <si>
    <t>0.010</t>
  </si>
  <si>
    <t>Elemet</t>
  </si>
  <si>
    <t>ASTM A350 Product Analysis Tolarances</t>
  </si>
  <si>
    <t>LF1 and LF5 Class 1</t>
  </si>
  <si>
    <t>LF2 Classes 1 and 2</t>
  </si>
  <si>
    <t>LF3 and LF5 Class 2</t>
  </si>
  <si>
    <t>LF6</t>
  </si>
  <si>
    <t>Class 1</t>
  </si>
  <si>
    <t>Class 2</t>
  </si>
  <si>
    <t>LF9</t>
  </si>
  <si>
    <t>LF787</t>
  </si>
  <si>
    <t>Class 3</t>
  </si>
  <si>
    <t>Elongation</t>
  </si>
  <si>
    <t>48t+13</t>
  </si>
  <si>
    <t>70-95</t>
  </si>
  <si>
    <t>48t+15</t>
  </si>
  <si>
    <t>37.5</t>
  </si>
  <si>
    <t>455-630</t>
  </si>
  <si>
    <t>65-85</t>
  </si>
  <si>
    <t>435-585</t>
  </si>
  <si>
    <t>75-95</t>
  </si>
  <si>
    <t>515-655</t>
  </si>
  <si>
    <t>A350 Tensile Proporties at Room Temperature</t>
  </si>
  <si>
    <t>LF1 and LF9</t>
  </si>
  <si>
    <t>LF2, Class 1</t>
  </si>
  <si>
    <t>LF3</t>
  </si>
  <si>
    <t>LF5, Class 1 and 2</t>
  </si>
  <si>
    <t>LF787 Classes 2 and 3</t>
  </si>
  <si>
    <t>LF6, Class 1</t>
  </si>
  <si>
    <t>LF2, Class 2</t>
  </si>
  <si>
    <t>LF3, Class 2</t>
  </si>
  <si>
    <t>LF6, Classes 2 and 3</t>
  </si>
  <si>
    <t>Charpy V-Notch Energy Requirements for Standard Size Specimes</t>
  </si>
  <si>
    <t>LF1</t>
  </si>
  <si>
    <t>LF2 Class 1</t>
  </si>
  <si>
    <t>LF2 Class 2</t>
  </si>
  <si>
    <t>LF5, Classes 1 and 2</t>
  </si>
  <si>
    <t>LF6, Classes 1 and 2</t>
  </si>
  <si>
    <t>LF6 Class 3</t>
  </si>
  <si>
    <t>LF787 Class 2</t>
  </si>
  <si>
    <t>LF787 Class 3</t>
  </si>
  <si>
    <t>Table 5</t>
  </si>
  <si>
    <t>Minimum Equivalent Absorbed Energy</t>
  </si>
  <si>
    <t>Size of Bar</t>
  </si>
  <si>
    <t>Standard</t>
  </si>
  <si>
    <t>0.354</t>
  </si>
  <si>
    <t>0.325</t>
  </si>
  <si>
    <t>3/% size</t>
  </si>
  <si>
    <t>2/X size</t>
  </si>
  <si>
    <t>1/- size</t>
  </si>
  <si>
    <t>1/X size</t>
  </si>
  <si>
    <t>1/% size</t>
  </si>
  <si>
    <t>0.295</t>
  </si>
  <si>
    <t>0.276</t>
  </si>
  <si>
    <t>0.262</t>
  </si>
  <si>
    <t>0.236</t>
  </si>
  <si>
    <t>0.197</t>
  </si>
  <si>
    <t>0.158</t>
  </si>
  <si>
    <t>0.131</t>
  </si>
  <si>
    <t>0.118</t>
  </si>
  <si>
    <t>0.099</t>
  </si>
  <si>
    <t>Table 8</t>
  </si>
  <si>
    <t>Table 7</t>
  </si>
  <si>
    <t>LF2</t>
  </si>
  <si>
    <t>LF6 CL2</t>
  </si>
  <si>
    <t>LF6 CL1</t>
  </si>
  <si>
    <t>Max Thickness Greater Than 2 in</t>
  </si>
  <si>
    <t>Table 9</t>
  </si>
  <si>
    <t>Max Thickness Less Than or Equal to 2 in</t>
  </si>
  <si>
    <t>Grade Symbol</t>
  </si>
  <si>
    <t>Reduction of Area min %</t>
  </si>
  <si>
    <t>Low Alloy Steels</t>
  </si>
  <si>
    <t>F1</t>
  </si>
  <si>
    <t>F2</t>
  </si>
  <si>
    <t>F5a</t>
  </si>
  <si>
    <t>F91</t>
  </si>
  <si>
    <t>F92</t>
  </si>
  <si>
    <t>F911</t>
  </si>
  <si>
    <t>F11 Class1</t>
  </si>
  <si>
    <t>F11 Class2</t>
  </si>
  <si>
    <t>F11 Class3</t>
  </si>
  <si>
    <t>F12 Class1</t>
  </si>
  <si>
    <t>F12 Class2</t>
  </si>
  <si>
    <t>F21</t>
  </si>
  <si>
    <t>F22 Class1</t>
  </si>
  <si>
    <t>F22 Class3</t>
  </si>
  <si>
    <t>F22V</t>
  </si>
  <si>
    <t>FR</t>
  </si>
  <si>
    <t>85-110</t>
  </si>
  <si>
    <t>585-760</t>
  </si>
  <si>
    <t>585-780</t>
  </si>
  <si>
    <t>143-192</t>
  </si>
  <si>
    <t>143-217</t>
  </si>
  <si>
    <t>187-248</t>
  </si>
  <si>
    <t>179-217</t>
  </si>
  <si>
    <t>121-174</t>
  </si>
  <si>
    <t>143-207</t>
  </si>
  <si>
    <t>156-207</t>
  </si>
  <si>
    <t>174-237</t>
  </si>
  <si>
    <t>Martensitic Stainless Steels</t>
  </si>
  <si>
    <t>F6a Class1</t>
  </si>
  <si>
    <t>F6a Class2</t>
  </si>
  <si>
    <t>F6a Class3</t>
  </si>
  <si>
    <t>F 6a Class4</t>
  </si>
  <si>
    <t>F6b</t>
  </si>
  <si>
    <t>F6NM</t>
  </si>
  <si>
    <t>110-135</t>
  </si>
  <si>
    <t>760-930</t>
  </si>
  <si>
    <t>167-229</t>
  </si>
  <si>
    <t>235-302</t>
  </si>
  <si>
    <t>263-321</t>
  </si>
  <si>
    <t>235-285</t>
  </si>
  <si>
    <t>F3V and F 3VCb</t>
  </si>
  <si>
    <t>FXM-27Cb</t>
  </si>
  <si>
    <t>F429</t>
  </si>
  <si>
    <t>F430</t>
  </si>
  <si>
    <t>Feritic Stainless Steels</t>
  </si>
  <si>
    <t>Austenitic Stainless Steels</t>
  </si>
  <si>
    <t>F304</t>
  </si>
  <si>
    <t>F304H</t>
  </si>
  <si>
    <t>F304L</t>
  </si>
  <si>
    <t>F304N</t>
  </si>
  <si>
    <t>F304LN</t>
  </si>
  <si>
    <t>F309H</t>
  </si>
  <si>
    <t>F310</t>
  </si>
  <si>
    <t>F310MoLn</t>
  </si>
  <si>
    <t>F310H</t>
  </si>
  <si>
    <t>F316</t>
  </si>
  <si>
    <t>F316H</t>
  </si>
  <si>
    <t>F316L</t>
  </si>
  <si>
    <t>F316N</t>
  </si>
  <si>
    <t>F316LN</t>
  </si>
  <si>
    <t>F317</t>
  </si>
  <si>
    <t>F317L</t>
  </si>
  <si>
    <t>F347</t>
  </si>
  <si>
    <t>F347H</t>
  </si>
  <si>
    <t>F348</t>
  </si>
  <si>
    <t>F348H</t>
  </si>
  <si>
    <t>F321</t>
  </si>
  <si>
    <t>F321H</t>
  </si>
  <si>
    <t>FXM-11</t>
  </si>
  <si>
    <t>FXM-19</t>
  </si>
  <si>
    <t>F10</t>
  </si>
  <si>
    <t>F20</t>
  </si>
  <si>
    <t>F44</t>
  </si>
  <si>
    <t>F45</t>
  </si>
  <si>
    <t>F47</t>
  </si>
  <si>
    <t>F49</t>
  </si>
  <si>
    <t>F58</t>
  </si>
  <si>
    <t>Ferritic-Austenitic Stainless Steels</t>
  </si>
  <si>
    <t>F51</t>
  </si>
  <si>
    <t>F53</t>
  </si>
  <si>
    <t>F54</t>
  </si>
  <si>
    <t>F55</t>
  </si>
  <si>
    <t>F57</t>
  </si>
  <si>
    <t>F59</t>
  </si>
  <si>
    <t>F61</t>
  </si>
  <si>
    <t>100-130</t>
  </si>
  <si>
    <t>109-130</t>
  </si>
  <si>
    <t>690-900</t>
  </si>
  <si>
    <t>750-895</t>
  </si>
  <si>
    <t>Elements</t>
  </si>
  <si>
    <t>Columbium-tantalum</t>
  </si>
  <si>
    <t>Tantalum</t>
  </si>
  <si>
    <t>Cobalt</t>
  </si>
  <si>
    <t>Colimbium</t>
  </si>
  <si>
    <t>Cerium</t>
  </si>
  <si>
    <t>Tungsten</t>
  </si>
  <si>
    <t>Limit or Max of Specified Range, %</t>
  </si>
  <si>
    <t>Tolarance Over the Max Limit or Under the Min Limit</t>
  </si>
  <si>
    <t>0,030-0,20</t>
  </si>
  <si>
    <t>1,00-3,00</t>
  </si>
  <si>
    <t>3,00-6,00</t>
  </si>
  <si>
    <t>6,00-10,00</t>
  </si>
  <si>
    <t>1,00-5,00</t>
  </si>
  <si>
    <t>4,00-10,00</t>
  </si>
  <si>
    <t>10,00-15,00</t>
  </si>
  <si>
    <t>15,00-20,00</t>
  </si>
  <si>
    <t>20,00-27,50</t>
  </si>
  <si>
    <t>5,00-10,00</t>
  </si>
  <si>
    <t>10,00-20,00</t>
  </si>
  <si>
    <t>20,00-22,00</t>
  </si>
  <si>
    <t>0,2-0,6</t>
  </si>
  <si>
    <t>0,6-2</t>
  </si>
  <si>
    <t>2,00-7,00</t>
  </si>
  <si>
    <t>All Ranges</t>
  </si>
  <si>
    <t>0,05-0,2</t>
  </si>
  <si>
    <t>0,19-0,25</t>
  </si>
  <si>
    <t>0,25-0,35</t>
  </si>
  <si>
    <t>0,35-0,45</t>
  </si>
  <si>
    <t>0,45-0,60</t>
  </si>
  <si>
    <t>0,1-0,25</t>
  </si>
  <si>
    <t>0,03-0,08</t>
  </si>
  <si>
    <t>Elongation: Standard round specimen</t>
  </si>
  <si>
    <t>Strip Specimen for wall thickness&gt;7,94mm</t>
  </si>
  <si>
    <t>Equation trip Specimen for wall thickness&lt;7,94mm</t>
  </si>
  <si>
    <t>Mo%</t>
  </si>
  <si>
    <t>V%</t>
  </si>
  <si>
    <t>Cu%</t>
  </si>
  <si>
    <t>Nb%</t>
  </si>
  <si>
    <t>N%</t>
  </si>
  <si>
    <t>Test Temperature F</t>
  </si>
  <si>
    <t>Test Temperature C</t>
  </si>
  <si>
    <t>Minimum İmpact Energy Required for Average of Each Set of Three Specimensft.lb</t>
  </si>
  <si>
    <t>Minimum İmpact Energy Required for Average of Each Set of Three SpecimensJ</t>
  </si>
  <si>
    <t>Minimum İmpact Energy Permited for One Specimen only of a Set J</t>
  </si>
  <si>
    <t>Minimum İmpact Energy Permited for One Specimen only of a Set ft.lb</t>
  </si>
  <si>
    <t>Thickness of the Material (in)</t>
  </si>
  <si>
    <t>Thickness of the Material (mm)</t>
  </si>
  <si>
    <t>Temperature Reduction (F)</t>
  </si>
  <si>
    <t>Temperature Reduction (C)</t>
  </si>
  <si>
    <t>Standard Size (ft.lbf)</t>
  </si>
  <si>
    <t>Standard Size (J)</t>
  </si>
  <si>
    <t>Max Test Temperature (F)</t>
  </si>
  <si>
    <t>Max Test Temperature ©</t>
  </si>
  <si>
    <t>Yield Strength, min. (psi)</t>
  </si>
  <si>
    <t>Yield Strength, min. (Mpa)</t>
  </si>
  <si>
    <t>Tensile Strength (ksi)</t>
  </si>
  <si>
    <t>Tensile Strength (Mpa)</t>
  </si>
  <si>
    <t>Elongation, min. %</t>
  </si>
  <si>
    <t>Cv, avg./min. (ft*lbs)</t>
  </si>
  <si>
    <t>Cv, avg./min. (J)</t>
  </si>
  <si>
    <t>ASTM A 234 Grade</t>
  </si>
  <si>
    <t>ASTM A352 Grade</t>
  </si>
  <si>
    <t>Tensile (ksi)</t>
  </si>
  <si>
    <t>Tensile (Mpa)</t>
  </si>
  <si>
    <t>Yield (ksi)</t>
  </si>
  <si>
    <t>Yield (Mpa)</t>
  </si>
  <si>
    <t>Brinell Hardness</t>
  </si>
  <si>
    <t>MECHANICAL PROPERTIES A105, A350, A694, A182</t>
  </si>
  <si>
    <t>CHEMICAL COMPOSITION ASTM A105, A350, A694, A182</t>
  </si>
  <si>
    <t>Other</t>
  </si>
  <si>
    <t>ASTM A182 F1</t>
  </si>
  <si>
    <t>ASTM A182 F2</t>
  </si>
  <si>
    <t>ASTM A182 F5a</t>
  </si>
  <si>
    <t>ASTM A182 F91</t>
  </si>
  <si>
    <t>ASTM A182 F92</t>
  </si>
  <si>
    <t>ASTM A182 F911</t>
  </si>
  <si>
    <t>ASTM A182 F11 Class1</t>
  </si>
  <si>
    <t>ASTM A182 F11 Class2</t>
  </si>
  <si>
    <t>ASTM A182 F11 Class3</t>
  </si>
  <si>
    <t>ASTM A182 F12 Class1</t>
  </si>
  <si>
    <t>ASTM A182 F12 Class2</t>
  </si>
  <si>
    <t>ASTM A182 F21</t>
  </si>
  <si>
    <t>ASTM A182 F3V and F 3VCb</t>
  </si>
  <si>
    <t>ASTM A182 F22 Class1</t>
  </si>
  <si>
    <t>ASTM A182 F22 Class3</t>
  </si>
  <si>
    <t>ASTM A182 F22V</t>
  </si>
  <si>
    <t>ASTM A182 FR</t>
  </si>
  <si>
    <t>ASTM A182 F6a Class1</t>
  </si>
  <si>
    <t>ASTM A182 F6a Class2</t>
  </si>
  <si>
    <t>ASTM A182 F6a Class3</t>
  </si>
  <si>
    <t>ASTM A182 F 6a Class4</t>
  </si>
  <si>
    <t>ASTM A182 F6b</t>
  </si>
  <si>
    <t>ASTM A182 F6NM</t>
  </si>
  <si>
    <t>ASTM A182 FXM-27Cb</t>
  </si>
  <si>
    <t>ASTM A182 F429</t>
  </si>
  <si>
    <t>ASTM A182 F430</t>
  </si>
  <si>
    <t>ASTM A182 F304N</t>
  </si>
  <si>
    <t>ASTM A182 F304LN</t>
  </si>
  <si>
    <t>ASTM A182 F310MoLn</t>
  </si>
  <si>
    <t>ASTM A182 F316N</t>
  </si>
  <si>
    <t>ASTM A182 F316LN</t>
  </si>
  <si>
    <t>ASTM A182 FXM-11</t>
  </si>
  <si>
    <t>ASTM A182 FXM-19</t>
  </si>
  <si>
    <t>ASTM A182 F10</t>
  </si>
  <si>
    <t>ASTM A182 F20</t>
  </si>
  <si>
    <t>ASTM A182 F44</t>
  </si>
  <si>
    <t>ASTM A182 F45</t>
  </si>
  <si>
    <t>ASTM A182 F46</t>
  </si>
  <si>
    <t>ASTM A182 F47</t>
  </si>
  <si>
    <t>ASTM A182 F48</t>
  </si>
  <si>
    <t>ASTM A182 F49</t>
  </si>
  <si>
    <t>ASTM A182 F56</t>
  </si>
  <si>
    <t>ASTM A182 F58</t>
  </si>
  <si>
    <t>ASTM A182 F60</t>
  </si>
  <si>
    <t>ASTM A182 F51</t>
  </si>
  <si>
    <t>ASTM A182 F50</t>
  </si>
  <si>
    <t>ASTM A182 F53</t>
  </si>
  <si>
    <t>ASTM A182 F54</t>
  </si>
  <si>
    <t>ASTM A182 F55</t>
  </si>
  <si>
    <t>ASTM A182 F57</t>
  </si>
  <si>
    <t>ASTM A182 F59</t>
  </si>
  <si>
    <t>ASTM A182 F61</t>
  </si>
  <si>
    <t>85000-110000</t>
  </si>
  <si>
    <t>110000-135000</t>
  </si>
  <si>
    <t>100000-130000</t>
  </si>
  <si>
    <t>109000-130000</t>
  </si>
  <si>
    <t>ASTM A350 Grade LF5</t>
  </si>
  <si>
    <t>ASTM A350 Grade LF6</t>
  </si>
  <si>
    <t>ASTM A350 Grade LF9</t>
  </si>
  <si>
    <t>ASTM A350 Grade LF787</t>
  </si>
  <si>
    <t>ASTM A350 Grade LF1</t>
  </si>
  <si>
    <t>ASTM A350 Grade LF2</t>
  </si>
  <si>
    <t>ASTM A350 Grade LF3</t>
  </si>
  <si>
    <t>ASTM A350 Grade LF2 Class 1</t>
  </si>
  <si>
    <t>ASTM A350 Grade LF2 Class 2</t>
  </si>
  <si>
    <t>ASTM A350 Grade LF5 Class 1</t>
  </si>
  <si>
    <t>ASTM A350 Grade LF5 Class 2</t>
  </si>
  <si>
    <t>Class 2 and Class 3</t>
  </si>
  <si>
    <t>ASTM A350 Grade LF6 Class 1</t>
  </si>
  <si>
    <t>ASTM A350 Grade LF6 Class 2</t>
  </si>
  <si>
    <t>ASTM A350 Grade LF6 Class 3</t>
  </si>
  <si>
    <t>60000-85000</t>
  </si>
  <si>
    <t>66000-91000</t>
  </si>
  <si>
    <t>75000-100000</t>
  </si>
  <si>
    <t>ASTM A350 Grade LF787 Class 2</t>
  </si>
  <si>
    <t>ASTM A350 Grade LF787 Class 3</t>
  </si>
  <si>
    <t>63000-88000</t>
  </si>
  <si>
    <t>65000-85000</t>
  </si>
  <si>
    <t>75000-95000</t>
  </si>
  <si>
    <t xml:space="preserve">Tensile Strength, min, psi </t>
  </si>
  <si>
    <t>Manuel Hydro Test (Bar)</t>
  </si>
  <si>
    <t>Et Kalınlığı(mm)</t>
  </si>
  <si>
    <t>Required Pipe Thickness (ASME B31.8)</t>
  </si>
  <si>
    <t>GRADE A</t>
  </si>
  <si>
    <t>L210</t>
  </si>
  <si>
    <t>Çap(inch)</t>
  </si>
  <si>
    <t>Çap(mm)</t>
  </si>
  <si>
    <t>CVN Temp C</t>
  </si>
  <si>
    <t>CVN Min</t>
  </si>
  <si>
    <t>CVN Avarage</t>
  </si>
  <si>
    <t>ASTM A350 Grade LF3  Class 2</t>
  </si>
  <si>
    <t>Sertlik HBW</t>
  </si>
  <si>
    <t>Cv Temp ©</t>
  </si>
  <si>
    <t>Phosphorus2</t>
  </si>
  <si>
    <t>Üretim Standardı</t>
  </si>
  <si>
    <t>Malzeme Standardı</t>
  </si>
  <si>
    <t>Class</t>
  </si>
  <si>
    <t>ASME B16.5</t>
  </si>
  <si>
    <t>ASME B16.47</t>
  </si>
  <si>
    <t>ASTM A350</t>
  </si>
  <si>
    <t>ASTM A707</t>
  </si>
  <si>
    <t>Üretim Standartı</t>
  </si>
  <si>
    <t>MSS Sp-44 Kimyasal Kompozisyon</t>
  </si>
  <si>
    <t>0.60/1.60</t>
  </si>
  <si>
    <t>0.15/0.35</t>
  </si>
  <si>
    <t>0.11</t>
  </si>
  <si>
    <t>Cu+Ni+Cr+Mo&lt;1.00</t>
  </si>
  <si>
    <t>MSS Sp-44 Mekanik Özellikler</t>
  </si>
  <si>
    <t>-29 to 38</t>
  </si>
  <si>
    <t>50</t>
  </si>
  <si>
    <t>Design Temp Asme B16.5</t>
  </si>
  <si>
    <t>Design Temp MSS SP-44</t>
  </si>
  <si>
    <t>Class Asme B16.5</t>
  </si>
  <si>
    <t>Class MSS SP-44</t>
  </si>
  <si>
    <t>MSS SP-44 Pressure Temperature Ratings</t>
  </si>
  <si>
    <t>Temperature  ©</t>
  </si>
  <si>
    <t>-29 to121</t>
  </si>
  <si>
    <t>150</t>
  </si>
  <si>
    <t>300</t>
  </si>
  <si>
    <t>400</t>
  </si>
  <si>
    <t>600</t>
  </si>
  <si>
    <t>900</t>
  </si>
  <si>
    <t>Hardness, maximum HBW</t>
  </si>
  <si>
    <t>CVN Min avg.</t>
  </si>
  <si>
    <t xml:space="preserve">CVN Min </t>
  </si>
  <si>
    <t>CVN Temp. Celc.</t>
  </si>
  <si>
    <t xml:space="preserve"> ASTM A 193 GR B7/ ASTM A 194 GR 2H</t>
  </si>
  <si>
    <t>ASME B 16.20</t>
  </si>
  <si>
    <t>Manuel Seçim Malzeme</t>
  </si>
  <si>
    <t>Fitting Malzeme Standart</t>
  </si>
  <si>
    <t>Fitting Üretim Standart</t>
  </si>
  <si>
    <t>MSS SP-75</t>
  </si>
  <si>
    <t>ASME B16.9</t>
  </si>
  <si>
    <t>Flanş Malzeme Standart</t>
  </si>
  <si>
    <t>Flanş Üretim Standart</t>
  </si>
  <si>
    <t>ASME B16.5 ve ASME B16.47</t>
  </si>
  <si>
    <t>Standartta Yok</t>
  </si>
  <si>
    <t>Seçilen Flanş için Malzeme Standardı Mekanik Özellikler Manuel</t>
  </si>
  <si>
    <t>CHEMICAL COMPOSITION ASTM A234-A860</t>
  </si>
  <si>
    <t>MECHANICAL PROPERTIES ASTM A234-A860</t>
  </si>
  <si>
    <t>0,29-1,06</t>
  </si>
  <si>
    <t>0,10 min</t>
  </si>
  <si>
    <t>0,29-1,07</t>
  </si>
  <si>
    <t>Columbium %</t>
  </si>
  <si>
    <t>Al %</t>
  </si>
  <si>
    <t>0,30-0,90</t>
  </si>
  <si>
    <t>0,10-0,50</t>
  </si>
  <si>
    <t>0,05-0,20</t>
  </si>
  <si>
    <t>ASTM A234 WP11 CL2</t>
  </si>
  <si>
    <t>ASTM  A234 WP22 CL1</t>
  </si>
  <si>
    <t>ASTM A234 WPR</t>
  </si>
  <si>
    <t>ASTM A234 WP11 CL3</t>
  </si>
  <si>
    <t>ASTM A234 WP22 CL3</t>
  </si>
  <si>
    <t>ASTM A234 WP911</t>
  </si>
  <si>
    <t>ASTM A234 WP12 CL1</t>
  </si>
  <si>
    <t>ASTM A234 WPC</t>
  </si>
  <si>
    <t>ASTM A234 WP1</t>
  </si>
  <si>
    <t>ASTM A234 WP11 CL1</t>
  </si>
  <si>
    <t>1,90-2,60</t>
  </si>
  <si>
    <t>ASTM A234 WP12 CL2</t>
  </si>
  <si>
    <t>0,80-1,25</t>
  </si>
  <si>
    <t>0,25-1,00</t>
  </si>
  <si>
    <t>8,00-10,00</t>
  </si>
  <si>
    <t>0,40-1,06</t>
  </si>
  <si>
    <t>1,60-2,24</t>
  </si>
  <si>
    <t>0,75-1,25</t>
  </si>
  <si>
    <t>0,08-0,12</t>
  </si>
  <si>
    <t>0,20-0,50</t>
  </si>
  <si>
    <t>8,0-9,5</t>
  </si>
  <si>
    <t>0,85-1,05</t>
  </si>
  <si>
    <t>0,18-0,25</t>
  </si>
  <si>
    <t>0,06-0,10</t>
  </si>
  <si>
    <t>0,03-0,07 N%</t>
  </si>
  <si>
    <t>0,09-0,13</t>
  </si>
  <si>
    <t>8,5-10,5</t>
  </si>
  <si>
    <t>0,04-0,09 N% / 0,0003-0,006 Boron% / 0,90-1,10 Tungsten%</t>
  </si>
  <si>
    <t>RED. TEE</t>
  </si>
  <si>
    <t>MSS SP-97</t>
  </si>
  <si>
    <t>ASME B16.11</t>
  </si>
  <si>
    <t>Tablo-1 / Tablo-2</t>
  </si>
  <si>
    <t>55000-80000</t>
  </si>
  <si>
    <t>380-550</t>
  </si>
  <si>
    <t>ASTM A234 WP9 CL1</t>
  </si>
  <si>
    <t>ASTM A234 WP5 CL1</t>
  </si>
  <si>
    <t>ASTM A234 WP91 Type1</t>
  </si>
  <si>
    <t>ASTM A234 WP91 Type2</t>
  </si>
  <si>
    <t>90000-120000</t>
  </si>
  <si>
    <t>620-840</t>
  </si>
  <si>
    <t>77000-102000</t>
  </si>
  <si>
    <t>80000-105000</t>
  </si>
  <si>
    <t>CHEMICAL COMPOSITION OF KEP</t>
  </si>
  <si>
    <t>MECHANICAL PROPERTIES OF KEP</t>
  </si>
  <si>
    <t>CHEMICAL COMPOSITION OF TEE</t>
  </si>
  <si>
    <t>MECHANICAL PROPERTIES OF TEE</t>
  </si>
  <si>
    <t>MECHANICAL PROPERTIES OF REDÜKSİYON</t>
  </si>
  <si>
    <t>CHEMICAL COMPOSITION OF REDÜKSİYON</t>
  </si>
  <si>
    <t>CHEMICAL COMPOSITION OF RED. TEE</t>
  </si>
  <si>
    <t>MECHANICAL PROPERTIES OF RED. TEE</t>
  </si>
  <si>
    <t>Malzeme Standardı Manuel</t>
  </si>
  <si>
    <t>Üretim Standartı Manuel</t>
  </si>
  <si>
    <t xml:space="preserve">Seçilen Flanş için Malzeme Standardı Mekanik Özellikler </t>
  </si>
  <si>
    <t>MSS SP-44 F36</t>
  </si>
  <si>
    <t>MSS SP-44 F42</t>
  </si>
  <si>
    <t>MSS SP-44 F46</t>
  </si>
  <si>
    <t>MSS SP-44 F48</t>
  </si>
  <si>
    <t>MSS SP-44 F50</t>
  </si>
  <si>
    <t>MSS SP-44 F52</t>
  </si>
  <si>
    <t>MSS SP-44 F56</t>
  </si>
  <si>
    <t>MSS SP-44 F60</t>
  </si>
  <si>
    <t>MSS SP-44 F65</t>
  </si>
  <si>
    <t>MSS SP-44 F70</t>
  </si>
  <si>
    <t>MSS SP-44 F80</t>
  </si>
  <si>
    <t>Boyut Kontrol Standardı</t>
  </si>
  <si>
    <t>ASTM A694 F80</t>
  </si>
  <si>
    <t>Boyutlandırma Standardı</t>
  </si>
  <si>
    <t xml:space="preserve">MSS SP-75 CHEMICAL COMPOSITION </t>
  </si>
  <si>
    <t>MSS SP-75 WPHY-42</t>
  </si>
  <si>
    <t>MSS SP-75 WPHY-46</t>
  </si>
  <si>
    <t>MSS SP-75 WPHY-52</t>
  </si>
  <si>
    <t>MSS SP-75 WPHY-56</t>
  </si>
  <si>
    <t>MSS SP-75 WPHY-60</t>
  </si>
  <si>
    <t>MSS SP-75 WPHY-65</t>
  </si>
  <si>
    <t>MSS SP-75 WPHY-70</t>
  </si>
  <si>
    <t>MSS SP-75 WPHY-80</t>
  </si>
  <si>
    <t>0,15-0,45</t>
  </si>
  <si>
    <t>0,02-0,06</t>
  </si>
  <si>
    <t>Ti&lt;0,04 / Bo&lt;0,001</t>
  </si>
  <si>
    <t>YOK</t>
  </si>
  <si>
    <t>Design Temp C</t>
  </si>
  <si>
    <t>Corr. All.</t>
  </si>
  <si>
    <t>Hot-Tap Sınır Basıncı (Bar) (Hot-Tap Şartnamesine Göre)</t>
  </si>
  <si>
    <t>D (Inch)</t>
  </si>
  <si>
    <t>D (mm)</t>
  </si>
  <si>
    <t>ET kalınlığı</t>
  </si>
  <si>
    <t>Değer Yok</t>
  </si>
  <si>
    <t>Botaş Otomatik</t>
  </si>
  <si>
    <t>Manuel</t>
  </si>
  <si>
    <t>Hacim</t>
  </si>
  <si>
    <t>Uzunluk</t>
  </si>
  <si>
    <t>Çap</t>
  </si>
  <si>
    <t>m3</t>
  </si>
  <si>
    <t xml:space="preserve">A1 </t>
  </si>
  <si>
    <t>M Req.&gt;</t>
  </si>
  <si>
    <t>Ar-A2-A1</t>
  </si>
  <si>
    <t>d*  =</t>
  </si>
  <si>
    <t>(d&gt;d* olmalı)</t>
  </si>
  <si>
    <t>(Selected Wall Thick.)</t>
  </si>
  <si>
    <t>(Min. Reinfor. wt)</t>
  </si>
  <si>
    <t>Negative Tolerans</t>
  </si>
  <si>
    <t>0,15-0,36</t>
  </si>
  <si>
    <t>Çentik Numunesi Boyutu</t>
  </si>
  <si>
    <t>Tablo 22 ye göre düzenle</t>
  </si>
  <si>
    <t>İstasyon İçi Borulama</t>
  </si>
  <si>
    <t>*Minimum et kalınlığına göre (Eksi Et kalınlığı Toleransı Dahilinde)</t>
  </si>
  <si>
    <t xml:space="preserve">Corrosion allowance for branch pipe in mm. </t>
  </si>
  <si>
    <t>Cb</t>
  </si>
  <si>
    <t>Ch</t>
  </si>
  <si>
    <t xml:space="preserve">Corrosion allowance for run pipe in mm. </t>
  </si>
  <si>
    <t>API 5L Test Pressure</t>
  </si>
  <si>
    <t>API 5L Standart Test Pressure (Bar)</t>
  </si>
  <si>
    <t>API 5L Alternative Test Pressure (Bar)</t>
  </si>
  <si>
    <t>Manuel Seçim Üretim ve Malzeme</t>
  </si>
  <si>
    <t>22-30</t>
  </si>
  <si>
    <t>Run Pipe Design Factor</t>
  </si>
  <si>
    <t>BOTAŞ</t>
  </si>
  <si>
    <t>ASME B36.10</t>
  </si>
  <si>
    <t>Kontrol Edilecek Boru:</t>
  </si>
  <si>
    <t>Akma Çekme Oranı Max.</t>
  </si>
  <si>
    <t>Design Hoop Stress</t>
  </si>
  <si>
    <t>Yield Strenght in the Header</t>
  </si>
  <si>
    <t>Ratio</t>
  </si>
  <si>
    <t>Nominal Brunch Dia.</t>
  </si>
  <si>
    <t>Nominal Header Dia.</t>
  </si>
  <si>
    <t>Hidrostatik Test Hacmi</t>
  </si>
  <si>
    <t>841.1.1 Steel Pipe Design Formula Alternative</t>
  </si>
  <si>
    <t>Alternative  Design Pressure</t>
  </si>
  <si>
    <t>Selected Reinforcing  Material</t>
  </si>
  <si>
    <t>A3 Req.*Sh/Sr</t>
  </si>
  <si>
    <t>A3*&gt;=</t>
  </si>
  <si>
    <t>A3 Req. &gt;=</t>
  </si>
  <si>
    <t>Lr</t>
  </si>
  <si>
    <t>M*</t>
  </si>
  <si>
    <t>Selected Sleeve Lenght</t>
  </si>
  <si>
    <t>Min. Sleeve Thickness acc. To Sel. Sleev. Lenght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</si>
</sst>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0.0%"/>
    <numFmt numFmtId="166" formatCode="0.000"/>
  </numFmts>
  <fonts count="68" x14ac:knownFonts="1">
    <font>
      <sz val="11"/>
      <color theme="1"/>
      <name val="Calibri"/>
      <family val="2"/>
      <charset val="162"/>
      <scheme val="minor"/>
    </font>
    <font>
      <b/>
      <sz val="11"/>
      <color theme="0"/>
      <name val="Calibri"/>
      <family val="2"/>
      <charset val="162"/>
      <scheme val="minor"/>
    </font>
    <font>
      <b/>
      <sz val="11"/>
      <color theme="1"/>
      <name val="Calibri"/>
      <family val="2"/>
      <charset val="162"/>
      <scheme val="minor"/>
    </font>
    <font>
      <sz val="11"/>
      <color theme="0"/>
      <name val="Calibri"/>
      <family val="2"/>
      <charset val="162"/>
      <scheme val="minor"/>
    </font>
    <font>
      <sz val="11"/>
      <color theme="1"/>
      <name val="Arial"/>
      <family val="2"/>
      <charset val="162"/>
    </font>
    <font>
      <b/>
      <sz val="11"/>
      <color rgb="FF0000CC"/>
      <name val="Arial"/>
      <family val="2"/>
      <charset val="162"/>
    </font>
    <font>
      <sz val="11"/>
      <name val="Arial"/>
      <family val="2"/>
      <charset val="162"/>
    </font>
    <font>
      <sz val="8"/>
      <color theme="1"/>
      <name val="Calibri"/>
      <family val="2"/>
      <charset val="162"/>
      <scheme val="minor"/>
    </font>
    <font>
      <sz val="12"/>
      <color theme="1"/>
      <name val="Calibri"/>
      <family val="2"/>
      <charset val="162"/>
      <scheme val="minor"/>
    </font>
    <font>
      <b/>
      <sz val="9"/>
      <color rgb="FF666666"/>
      <name val="Arial"/>
      <family val="2"/>
      <charset val="162"/>
    </font>
    <font>
      <b/>
      <sz val="11"/>
      <color rgb="FF666666"/>
      <name val="Arial"/>
      <family val="2"/>
      <charset val="162"/>
    </font>
    <font>
      <sz val="9"/>
      <color rgb="FF666666"/>
      <name val="Arial"/>
      <family val="2"/>
      <charset val="162"/>
    </font>
    <font>
      <b/>
      <sz val="14"/>
      <color theme="1"/>
      <name val="Calibri"/>
      <family val="2"/>
      <charset val="162"/>
      <scheme val="minor"/>
    </font>
    <font>
      <b/>
      <sz val="10"/>
      <color theme="1"/>
      <name val="Calibri"/>
      <family val="2"/>
      <charset val="162"/>
      <scheme val="minor"/>
    </font>
    <font>
      <b/>
      <sz val="9"/>
      <color theme="1"/>
      <name val="Calibri"/>
      <family val="2"/>
      <charset val="162"/>
      <scheme val="minor"/>
    </font>
    <font>
      <sz val="11"/>
      <color rgb="FF006100"/>
      <name val="Calibri"/>
      <family val="2"/>
      <charset val="162"/>
      <scheme val="minor"/>
    </font>
    <font>
      <u/>
      <sz val="11"/>
      <color theme="10"/>
      <name val="Calibri"/>
      <family val="2"/>
      <charset val="162"/>
      <scheme val="minor"/>
    </font>
    <font>
      <b/>
      <i/>
      <sz val="12"/>
      <color rgb="FF62646A"/>
      <name val="Arial"/>
      <family val="2"/>
      <charset val="162"/>
    </font>
    <font>
      <b/>
      <sz val="18"/>
      <color rgb="FF62646A"/>
      <name val="Arial"/>
      <family val="2"/>
      <charset val="162"/>
    </font>
    <font>
      <sz val="12"/>
      <color rgb="FF62646A"/>
      <name val="Arial"/>
      <family val="2"/>
      <charset val="162"/>
    </font>
    <font>
      <b/>
      <sz val="13.5"/>
      <color rgb="FF62646A"/>
      <name val="Arial"/>
      <family val="2"/>
      <charset val="162"/>
    </font>
    <font>
      <sz val="9.9"/>
      <color theme="1"/>
      <name val="Arial"/>
      <family val="2"/>
      <charset val="162"/>
    </font>
    <font>
      <b/>
      <sz val="9.9"/>
      <color theme="1"/>
      <name val="Arial"/>
      <family val="2"/>
      <charset val="162"/>
    </font>
    <font>
      <i/>
      <sz val="9.9"/>
      <color theme="1"/>
      <name val="Arial"/>
      <family val="2"/>
      <charset val="162"/>
    </font>
    <font>
      <sz val="10"/>
      <color rgb="FF62646A"/>
      <name val="Arial"/>
      <family val="2"/>
      <charset val="162"/>
    </font>
    <font>
      <sz val="9.9"/>
      <color rgb="FFFF0000"/>
      <name val="Arial"/>
      <family val="2"/>
      <charset val="162"/>
    </font>
    <font>
      <sz val="11"/>
      <color theme="1"/>
      <name val="Calibri"/>
      <family val="2"/>
      <charset val="162"/>
      <scheme val="minor"/>
    </font>
    <font>
      <b/>
      <i/>
      <u/>
      <sz val="10"/>
      <name val="Arial"/>
      <family val="2"/>
    </font>
    <font>
      <b/>
      <i/>
      <sz val="10"/>
      <name val="Arial"/>
      <family val="2"/>
      <charset val="162"/>
    </font>
    <font>
      <b/>
      <sz val="10"/>
      <color indexed="8"/>
      <name val="Arial"/>
      <family val="2"/>
    </font>
    <font>
      <sz val="10"/>
      <color indexed="8"/>
      <name val="Arial"/>
      <family val="2"/>
    </font>
    <font>
      <b/>
      <sz val="10"/>
      <name val="Arial"/>
      <family val="2"/>
      <charset val="162"/>
    </font>
    <font>
      <b/>
      <i/>
      <sz val="9"/>
      <name val="Arial"/>
      <family val="2"/>
    </font>
    <font>
      <sz val="8"/>
      <name val="Arial"/>
      <family val="2"/>
      <charset val="162"/>
    </font>
    <font>
      <vertAlign val="subscript"/>
      <sz val="8"/>
      <name val="Arial"/>
      <family val="2"/>
    </font>
    <font>
      <sz val="8"/>
      <name val="Arial"/>
      <family val="2"/>
    </font>
    <font>
      <b/>
      <sz val="8"/>
      <name val="Arial"/>
      <family val="2"/>
      <charset val="162"/>
    </font>
    <font>
      <b/>
      <i/>
      <sz val="9"/>
      <name val="Bookman Old Style"/>
      <family val="1"/>
      <charset val="162"/>
    </font>
    <font>
      <b/>
      <sz val="10"/>
      <color indexed="8"/>
      <name val="Arial"/>
      <family val="2"/>
      <charset val="162"/>
    </font>
    <font>
      <b/>
      <i/>
      <sz val="8"/>
      <name val="Arial"/>
      <family val="2"/>
      <charset val="162"/>
    </font>
    <font>
      <b/>
      <i/>
      <vertAlign val="subscript"/>
      <sz val="8"/>
      <name val="Arial"/>
      <family val="2"/>
    </font>
    <font>
      <sz val="10"/>
      <color indexed="22"/>
      <name val="symbol"/>
      <family val="1"/>
      <charset val="2"/>
    </font>
    <font>
      <vertAlign val="superscript"/>
      <sz val="8"/>
      <name val="Arial"/>
      <family val="2"/>
    </font>
    <font>
      <sz val="8"/>
      <name val="Symbol"/>
      <family val="1"/>
      <charset val="2"/>
    </font>
    <font>
      <b/>
      <sz val="10"/>
      <color indexed="22"/>
      <name val="Arial"/>
      <family val="2"/>
      <charset val="162"/>
    </font>
    <font>
      <b/>
      <vertAlign val="subscript"/>
      <sz val="8"/>
      <name val="Arial"/>
      <family val="2"/>
    </font>
    <font>
      <b/>
      <sz val="8"/>
      <name val="Arial"/>
      <family val="2"/>
    </font>
    <font>
      <b/>
      <sz val="11"/>
      <name val="Arial"/>
      <family val="2"/>
      <charset val="162"/>
    </font>
    <font>
      <b/>
      <sz val="9"/>
      <name val="Arial"/>
      <family val="2"/>
      <charset val="162"/>
    </font>
    <font>
      <sz val="9"/>
      <name val="Arial"/>
      <family val="2"/>
    </font>
    <font>
      <sz val="7"/>
      <name val="Arial"/>
      <family val="2"/>
    </font>
    <font>
      <b/>
      <sz val="12"/>
      <color rgb="FF000000"/>
      <name val="Arial Black"/>
      <family val="2"/>
      <charset val="162"/>
    </font>
    <font>
      <sz val="8"/>
      <name val="Arial"/>
      <family val="2"/>
      <charset val="162"/>
    </font>
    <font>
      <sz val="11"/>
      <color theme="1"/>
      <name val="Calibri"/>
      <family val="2"/>
      <scheme val="minor"/>
    </font>
    <font>
      <i/>
      <sz val="11"/>
      <color theme="1"/>
      <name val="Calibri"/>
      <family val="2"/>
      <charset val="162"/>
      <scheme val="minor"/>
    </font>
    <font>
      <b/>
      <i/>
      <sz val="11"/>
      <color theme="1"/>
      <name val="Calibri"/>
      <family val="2"/>
      <charset val="162"/>
      <scheme val="minor"/>
    </font>
    <font>
      <b/>
      <sz val="20"/>
      <color theme="1"/>
      <name val="Calibri"/>
      <family val="2"/>
      <charset val="162"/>
      <scheme val="minor"/>
    </font>
    <font>
      <sz val="8"/>
      <color rgb="FF000000"/>
      <name val="Arial"/>
      <family val="2"/>
      <charset val="162"/>
    </font>
    <font>
      <b/>
      <sz val="8"/>
      <color rgb="FF000000"/>
      <name val="Arial"/>
      <family val="2"/>
      <charset val="162"/>
    </font>
    <font>
      <i/>
      <sz val="8"/>
      <color theme="1"/>
      <name val="Calibri"/>
      <family val="2"/>
      <charset val="162"/>
      <scheme val="minor"/>
    </font>
    <font>
      <i/>
      <sz val="8"/>
      <color rgb="FFFF0000"/>
      <name val="Calibri"/>
      <family val="2"/>
      <charset val="162"/>
      <scheme val="minor"/>
    </font>
    <font>
      <sz val="11"/>
      <name val="Calibri"/>
      <family val="2"/>
      <charset val="162"/>
      <scheme val="minor"/>
    </font>
    <font>
      <sz val="9"/>
      <color theme="1"/>
      <name val="Calibri"/>
      <family val="2"/>
      <charset val="162"/>
      <scheme val="minor"/>
    </font>
    <font>
      <i/>
      <sz val="11"/>
      <color theme="0"/>
      <name val="Calibri"/>
      <family val="2"/>
      <charset val="162"/>
      <scheme val="minor"/>
    </font>
    <font>
      <b/>
      <sz val="8"/>
      <color theme="0"/>
      <name val="Calibri"/>
      <family val="2"/>
      <charset val="162"/>
      <scheme val="minor"/>
    </font>
    <font>
      <b/>
      <sz val="12"/>
      <color theme="1"/>
      <name val="Calibri"/>
      <family val="2"/>
      <charset val="162"/>
      <scheme val="minor"/>
    </font>
    <font>
      <sz val="11"/>
      <color theme="0" tint="-0.34998626667073579"/>
      <name val="Calibri"/>
      <family val="2"/>
      <charset val="162"/>
      <scheme val="minor"/>
    </font>
    <font>
      <sz val="14"/>
      <color theme="1"/>
      <name val="Calibri"/>
      <family val="2"/>
      <charset val="162"/>
      <scheme val="minor"/>
    </font>
  </fonts>
  <fills count="39">
    <fill>
      <patternFill patternType="none"/>
    </fill>
    <fill>
      <patternFill patternType="gray125"/>
    </fill>
    <fill>
      <patternFill patternType="solid">
        <fgColor rgb="FFFFFF00"/>
        <bgColor indexed="64"/>
      </patternFill>
    </fill>
    <fill>
      <patternFill patternType="solid">
        <fgColor theme="4"/>
        <bgColor indexed="64"/>
      </patternFill>
    </fill>
    <fill>
      <patternFill patternType="solid">
        <fgColor rgb="FF92D050"/>
        <bgColor indexed="64"/>
      </patternFill>
    </fill>
    <fill>
      <patternFill patternType="solid">
        <fgColor theme="5"/>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7" tint="0.59999389629810485"/>
        <bgColor indexed="64"/>
      </patternFill>
    </fill>
    <fill>
      <patternFill patternType="solid">
        <fgColor theme="4" tint="0.39997558519241921"/>
        <bgColor indexed="64"/>
      </patternFill>
    </fill>
    <fill>
      <patternFill patternType="solid">
        <fgColor theme="8" tint="-0.249977111117893"/>
        <bgColor indexed="64"/>
      </patternFill>
    </fill>
    <fill>
      <patternFill patternType="solid">
        <fgColor theme="1"/>
        <bgColor indexed="64"/>
      </patternFill>
    </fill>
    <fill>
      <patternFill patternType="solid">
        <fgColor rgb="FFC6EFCE"/>
      </patternFill>
    </fill>
    <fill>
      <patternFill patternType="solid">
        <fgColor theme="5" tint="0.59999389629810485"/>
        <bgColor indexed="64"/>
      </patternFill>
    </fill>
    <fill>
      <patternFill patternType="solid">
        <fgColor theme="0" tint="-0.14999847407452621"/>
        <bgColor theme="0" tint="-0.14999847407452621"/>
      </patternFill>
    </fill>
    <fill>
      <patternFill patternType="solid">
        <fgColor rgb="FFEEEEEE"/>
        <bgColor indexed="64"/>
      </patternFill>
    </fill>
    <fill>
      <patternFill patternType="solid">
        <fgColor rgb="FFE9E9E9"/>
        <bgColor indexed="64"/>
      </patternFill>
    </fill>
    <fill>
      <patternFill patternType="solid">
        <fgColor indexed="9"/>
        <bgColor indexed="64"/>
      </patternFill>
    </fill>
    <fill>
      <patternFill patternType="solid">
        <fgColor indexed="49"/>
        <bgColor indexed="64"/>
      </patternFill>
    </fill>
    <fill>
      <patternFill patternType="solid">
        <fgColor indexed="26"/>
        <bgColor indexed="64"/>
      </patternFill>
    </fill>
    <fill>
      <patternFill patternType="solid">
        <fgColor theme="0" tint="-0.34998626667073579"/>
        <bgColor theme="0" tint="-0.34998626667073579"/>
      </patternFill>
    </fill>
    <fill>
      <patternFill patternType="solid">
        <fgColor theme="4" tint="0.79998168889431442"/>
        <bgColor theme="4" tint="0.79998168889431442"/>
      </patternFill>
    </fill>
    <fill>
      <patternFill patternType="solid">
        <fgColor theme="6"/>
        <bgColor theme="6"/>
      </patternFill>
    </fill>
    <fill>
      <patternFill patternType="solid">
        <fgColor theme="5" tint="-0.249977111117893"/>
        <bgColor indexed="64"/>
      </patternFill>
    </fill>
    <fill>
      <patternFill patternType="solid">
        <fgColor theme="1"/>
        <bgColor theme="1"/>
      </patternFill>
    </fill>
    <fill>
      <patternFill patternType="solid">
        <fgColor rgb="FFFFC000"/>
        <bgColor indexed="64"/>
      </patternFill>
    </fill>
    <fill>
      <patternFill patternType="solid">
        <fgColor rgb="FF00B0F0"/>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1" tint="4.9989318521683403E-2"/>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theme="0" tint="-0.499984740745262"/>
        <bgColor indexed="64"/>
      </patternFill>
    </fill>
    <fill>
      <patternFill patternType="solid">
        <fgColor theme="3" tint="0.59999389629810485"/>
        <bgColor indexed="64"/>
      </patternFill>
    </fill>
    <fill>
      <patternFill patternType="solid">
        <fgColor theme="2" tint="-9.9978637043366805E-2"/>
        <bgColor indexed="64"/>
      </patternFill>
    </fill>
    <fill>
      <patternFill patternType="solid">
        <fgColor theme="1" tint="0.499984740745262"/>
        <bgColor indexed="64"/>
      </patternFill>
    </fill>
  </fills>
  <borders count="166">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style="thin">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top/>
      <bottom style="thin">
        <color indexed="64"/>
      </bottom>
      <diagonal/>
    </border>
    <border>
      <left style="thin">
        <color indexed="64"/>
      </left>
      <right/>
      <top style="medium">
        <color indexed="64"/>
      </top>
      <bottom style="medium">
        <color indexed="64"/>
      </bottom>
      <diagonal/>
    </border>
    <border>
      <left style="medium">
        <color rgb="FFAACCCC"/>
      </left>
      <right/>
      <top style="medium">
        <color rgb="FFAACCCC"/>
      </top>
      <bottom style="medium">
        <color rgb="FFAACCCC"/>
      </bottom>
      <diagonal/>
    </border>
    <border>
      <left/>
      <right style="medium">
        <color rgb="FFAACCCC"/>
      </right>
      <top style="medium">
        <color rgb="FFAACCCC"/>
      </top>
      <bottom style="medium">
        <color rgb="FFAACCCC"/>
      </bottom>
      <diagonal/>
    </border>
    <border>
      <left style="medium">
        <color rgb="FFAACCCC"/>
      </left>
      <right style="medium">
        <color rgb="FFAACCCC"/>
      </right>
      <top/>
      <bottom style="medium">
        <color rgb="FFAACCCC"/>
      </bottom>
      <diagonal/>
    </border>
    <border>
      <left style="medium">
        <color rgb="FFAACCCC"/>
      </left>
      <right style="medium">
        <color rgb="FFAACCCC"/>
      </right>
      <top style="medium">
        <color rgb="FFDDDDDD"/>
      </top>
      <bottom style="medium">
        <color rgb="FFAACCCC"/>
      </bottom>
      <diagonal/>
    </border>
    <border>
      <left/>
      <right style="thin">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right style="medium">
        <color indexed="64"/>
      </right>
      <top style="thin">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top style="thin">
        <color indexed="64"/>
      </top>
      <bottom/>
      <diagonal/>
    </border>
    <border>
      <left/>
      <right/>
      <top style="thin">
        <color indexed="64"/>
      </top>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style="medium">
        <color rgb="FFCCCCCC"/>
      </right>
      <top/>
      <bottom style="medium">
        <color rgb="FFCCCCCC"/>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
      <left/>
      <right/>
      <top style="medium">
        <color rgb="FFCCCCCC"/>
      </top>
      <bottom style="medium">
        <color rgb="FFCCCCCC"/>
      </bottom>
      <diagonal/>
    </border>
    <border>
      <left style="thin">
        <color indexed="64"/>
      </left>
      <right/>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medium">
        <color indexed="64"/>
      </right>
      <top style="medium">
        <color indexed="64"/>
      </top>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style="medium">
        <color indexed="64"/>
      </left>
      <right style="thin">
        <color indexed="64"/>
      </right>
      <top style="medium">
        <color indexed="64"/>
      </top>
      <bottom/>
      <diagonal/>
    </border>
    <border>
      <left style="thin">
        <color theme="4" tint="0.39997558519241921"/>
      </left>
      <right style="thin">
        <color theme="1"/>
      </right>
      <top style="thin">
        <color theme="1"/>
      </top>
      <bottom style="thin">
        <color theme="1"/>
      </bottom>
      <diagonal/>
    </border>
    <border>
      <left style="thin">
        <color theme="4" tint="0.39997558519241921"/>
      </left>
      <right style="thin">
        <color theme="1"/>
      </right>
      <top style="thin">
        <color theme="1"/>
      </top>
      <bottom style="thin">
        <color theme="4" tint="0.39997558519241921"/>
      </bottom>
      <diagonal/>
    </border>
    <border>
      <left style="thin">
        <color theme="4" tint="0.39997558519241921"/>
      </left>
      <right style="thin">
        <color theme="1"/>
      </right>
      <top style="thin">
        <color theme="4" tint="0.39997558519241921"/>
      </top>
      <bottom style="thin">
        <color theme="1"/>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CCCCCC"/>
      </left>
      <right/>
      <top style="medium">
        <color rgb="FFCCCCCC"/>
      </top>
      <bottom/>
      <diagonal/>
    </border>
    <border>
      <left/>
      <right style="medium">
        <color rgb="FFCCCCCC"/>
      </right>
      <top style="medium">
        <color rgb="FFCCCCCC"/>
      </top>
      <bottom/>
      <diagonal/>
    </border>
    <border>
      <left/>
      <right style="medium">
        <color rgb="FFCCCCCC"/>
      </right>
      <top/>
      <bottom style="medium">
        <color rgb="FFCCCCCC"/>
      </bottom>
      <diagonal/>
    </border>
    <border>
      <left style="medium">
        <color rgb="FFCCCCCC"/>
      </left>
      <right/>
      <top/>
      <bottom style="medium">
        <color rgb="FFCCCCCC"/>
      </bottom>
      <diagonal/>
    </border>
    <border>
      <left/>
      <right style="thin">
        <color indexed="64"/>
      </right>
      <top/>
      <bottom/>
      <diagonal/>
    </border>
    <border>
      <left/>
      <right style="medium">
        <color rgb="FFAACCCC"/>
      </right>
      <top/>
      <bottom style="medium">
        <color rgb="FFAACCCC"/>
      </bottom>
      <diagonal/>
    </border>
    <border>
      <left style="medium">
        <color rgb="FFAACCCC"/>
      </left>
      <right/>
      <top style="medium">
        <color rgb="FFDDDDDD"/>
      </top>
      <bottom style="medium">
        <color rgb="FFAACCCC"/>
      </bottom>
      <diagonal/>
    </border>
    <border>
      <left/>
      <right style="medium">
        <color rgb="FFAACCCC"/>
      </right>
      <top/>
      <bottom/>
      <diagonal/>
    </border>
    <border>
      <left style="medium">
        <color rgb="FFAACCCC"/>
      </left>
      <right style="medium">
        <color rgb="FFAACCCC"/>
      </right>
      <top style="medium">
        <color rgb="FFDDDDDD"/>
      </top>
      <bottom/>
      <diagonal/>
    </border>
    <border>
      <left style="medium">
        <color rgb="FFAACCCC"/>
      </left>
      <right/>
      <top style="medium">
        <color rgb="FFDDDDDD"/>
      </top>
      <bottom/>
      <diagonal/>
    </border>
    <border>
      <left style="medium">
        <color rgb="FFAACCCC"/>
      </left>
      <right/>
      <top/>
      <bottom style="medium">
        <color rgb="FFAACCCC"/>
      </bottom>
      <diagonal/>
    </border>
    <border>
      <left/>
      <right style="medium">
        <color rgb="FFAACCCC"/>
      </right>
      <top style="medium">
        <color rgb="FFDDDDDD"/>
      </top>
      <bottom style="medium">
        <color rgb="FFAACCCC"/>
      </bottom>
      <diagonal/>
    </border>
    <border>
      <left style="medium">
        <color rgb="FFAACCCC"/>
      </left>
      <right style="medium">
        <color rgb="FFAACCCC"/>
      </right>
      <top style="medium">
        <color rgb="FFAACCCC"/>
      </top>
      <bottom/>
      <diagonal/>
    </border>
    <border>
      <left style="medium">
        <color rgb="FFAACCCC"/>
      </left>
      <right/>
      <top style="medium">
        <color rgb="FFAACCCC"/>
      </top>
      <bottom/>
      <diagonal/>
    </border>
    <border>
      <left/>
      <right style="medium">
        <color rgb="FFAACCCC"/>
      </right>
      <top style="medium">
        <color rgb="FFAACCCC"/>
      </top>
      <bottom/>
      <diagonal/>
    </border>
    <border>
      <left/>
      <right style="medium">
        <color rgb="FFAACCCC"/>
      </right>
      <top style="medium">
        <color rgb="FFDDDDDD"/>
      </top>
      <bottom/>
      <diagonal/>
    </border>
    <border>
      <left style="thin">
        <color theme="1"/>
      </left>
      <right style="thin">
        <color theme="1"/>
      </right>
      <top style="thin">
        <color theme="1"/>
      </top>
      <bottom style="thin">
        <color theme="1"/>
      </bottom>
      <diagonal/>
    </border>
    <border>
      <left/>
      <right/>
      <top/>
      <bottom style="medium">
        <color rgb="FFCCCCCC"/>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right style="thin">
        <color theme="0"/>
      </right>
      <top style="thin">
        <color theme="0"/>
      </top>
      <bottom/>
      <diagonal/>
    </border>
    <border>
      <left style="medium">
        <color rgb="FF000000"/>
      </left>
      <right/>
      <top/>
      <bottom/>
      <diagonal/>
    </border>
    <border>
      <left style="medium">
        <color rgb="FFAACCCC"/>
      </left>
      <right style="medium">
        <color rgb="FFAACCCC"/>
      </right>
      <top/>
      <bottom/>
      <diagonal/>
    </border>
    <border>
      <left style="thin">
        <color theme="0"/>
      </left>
      <right style="thin">
        <color theme="0"/>
      </right>
      <top/>
      <bottom/>
      <diagonal/>
    </border>
    <border>
      <left style="thin">
        <color theme="0"/>
      </left>
      <right style="thin">
        <color theme="0"/>
      </right>
      <top style="medium">
        <color theme="1"/>
      </top>
      <bottom style="thick">
        <color theme="0"/>
      </bottom>
      <diagonal/>
    </border>
    <border>
      <left style="thin">
        <color theme="0"/>
      </left>
      <right style="thin">
        <color theme="0"/>
      </right>
      <top style="medium">
        <color theme="1"/>
      </top>
      <bottom style="medium">
        <color theme="1"/>
      </bottom>
      <diagonal/>
    </border>
    <border>
      <left style="thin">
        <color theme="1"/>
      </left>
      <right style="thin">
        <color theme="0"/>
      </right>
      <top style="medium">
        <color theme="1"/>
      </top>
      <bottom style="thick">
        <color theme="0"/>
      </bottom>
      <diagonal/>
    </border>
    <border>
      <left style="thin">
        <color theme="0"/>
      </left>
      <right style="thin">
        <color theme="1"/>
      </right>
      <top style="medium">
        <color theme="1"/>
      </top>
      <bottom style="thick">
        <color theme="0"/>
      </bottom>
      <diagonal/>
    </border>
    <border>
      <left style="thin">
        <color theme="1"/>
      </left>
      <right style="thin">
        <color theme="1"/>
      </right>
      <top style="medium">
        <color theme="1"/>
      </top>
      <bottom style="medium">
        <color theme="1"/>
      </bottom>
      <diagonal/>
    </border>
    <border>
      <left style="thin">
        <color theme="1"/>
      </left>
      <right style="thin">
        <color theme="1"/>
      </right>
      <top style="thin">
        <color theme="1"/>
      </top>
      <bottom style="medium">
        <color theme="1"/>
      </bottom>
      <diagonal/>
    </border>
    <border>
      <left style="thin">
        <color theme="3" tint="0.59999389629810485"/>
      </left>
      <right style="thin">
        <color theme="3" tint="0.59999389629810485"/>
      </right>
      <top style="thin">
        <color theme="3" tint="0.59999389629810485"/>
      </top>
      <bottom style="thin">
        <color theme="3" tint="0.59999389629810485"/>
      </bottom>
      <diagonal/>
    </border>
    <border>
      <left style="thin">
        <color theme="3" tint="0.59999389629810485"/>
      </left>
      <right/>
      <top style="thin">
        <color theme="3" tint="0.59999389629810485"/>
      </top>
      <bottom/>
      <diagonal/>
    </border>
    <border>
      <left/>
      <right/>
      <top style="thin">
        <color theme="3" tint="0.59999389629810485"/>
      </top>
      <bottom/>
      <diagonal/>
    </border>
    <border>
      <left/>
      <right style="thin">
        <color theme="3" tint="0.59999389629810485"/>
      </right>
      <top style="thin">
        <color theme="3" tint="0.59999389629810485"/>
      </top>
      <bottom/>
      <diagonal/>
    </border>
    <border>
      <left style="thin">
        <color theme="3" tint="0.59999389629810485"/>
      </left>
      <right/>
      <top/>
      <bottom style="thin">
        <color theme="3" tint="0.59999389629810485"/>
      </bottom>
      <diagonal/>
    </border>
    <border>
      <left/>
      <right/>
      <top/>
      <bottom style="thin">
        <color theme="3" tint="0.59999389629810485"/>
      </bottom>
      <diagonal/>
    </border>
    <border>
      <left style="thick">
        <color theme="4" tint="-0.249977111117893"/>
      </left>
      <right style="thick">
        <color theme="4" tint="-0.249977111117893"/>
      </right>
      <top style="thin">
        <color theme="3" tint="0.59999389629810485"/>
      </top>
      <bottom/>
      <diagonal/>
    </border>
    <border>
      <left style="thick">
        <color theme="4" tint="-0.249977111117893"/>
      </left>
      <right style="thin">
        <color theme="3" tint="0.59999389629810485"/>
      </right>
      <top style="thin">
        <color theme="3" tint="0.59999389629810485"/>
      </top>
      <bottom/>
      <diagonal/>
    </border>
    <border>
      <left style="thin">
        <color theme="3" tint="0.59999389629810485"/>
      </left>
      <right/>
      <top style="thin">
        <color theme="3" tint="0.59999389629810485"/>
      </top>
      <bottom style="thin">
        <color theme="3" tint="0.59999389629810485"/>
      </bottom>
      <diagonal/>
    </border>
    <border>
      <left/>
      <right/>
      <top style="thin">
        <color theme="3" tint="0.59999389629810485"/>
      </top>
      <bottom style="thin">
        <color theme="3" tint="0.59999389629810485"/>
      </bottom>
      <diagonal/>
    </border>
    <border>
      <left style="thin">
        <color theme="3" tint="0.59999389629810485"/>
      </left>
      <right style="thin">
        <color theme="3" tint="0.59999389629810485"/>
      </right>
      <top style="thin">
        <color theme="3" tint="0.59999389629810485"/>
      </top>
      <bottom/>
      <diagonal/>
    </border>
    <border>
      <left style="thin">
        <color indexed="64"/>
      </left>
      <right style="thin">
        <color indexed="64"/>
      </right>
      <top/>
      <bottom style="thin">
        <color theme="3" tint="0.59999389629810485"/>
      </bottom>
      <diagonal/>
    </border>
    <border>
      <left style="thin">
        <color theme="3" tint="0.59999389629810485"/>
      </left>
      <right style="thin">
        <color theme="3" tint="0.59999389629810485"/>
      </right>
      <top/>
      <bottom style="thin">
        <color theme="3" tint="0.59999389629810485"/>
      </bottom>
      <diagonal/>
    </border>
    <border>
      <left style="medium">
        <color theme="3" tint="0.59999389629810485"/>
      </left>
      <right style="thick">
        <color theme="4" tint="-0.249977111117893"/>
      </right>
      <top style="medium">
        <color theme="3" tint="0.59999389629810485"/>
      </top>
      <bottom/>
      <diagonal/>
    </border>
    <border>
      <left style="thick">
        <color theme="4" tint="-0.249977111117893"/>
      </left>
      <right style="thick">
        <color theme="4" tint="-0.249977111117893"/>
      </right>
      <top style="medium">
        <color theme="3" tint="0.59999389629810485"/>
      </top>
      <bottom/>
      <diagonal/>
    </border>
    <border>
      <left style="thick">
        <color theme="4" tint="-0.249977111117893"/>
      </left>
      <right style="medium">
        <color theme="3" tint="0.59999389629810485"/>
      </right>
      <top style="medium">
        <color theme="3" tint="0.59999389629810485"/>
      </top>
      <bottom/>
      <diagonal/>
    </border>
    <border>
      <left style="medium">
        <color theme="3" tint="0.59999389629810485"/>
      </left>
      <right style="thin">
        <color theme="3" tint="0.59999389629810485"/>
      </right>
      <top style="thin">
        <color theme="3" tint="0.59999389629810485"/>
      </top>
      <bottom style="thin">
        <color theme="3" tint="0.59999389629810485"/>
      </bottom>
      <diagonal/>
    </border>
    <border>
      <left style="thin">
        <color theme="3" tint="0.59999389629810485"/>
      </left>
      <right style="medium">
        <color theme="3" tint="0.59999389629810485"/>
      </right>
      <top style="thin">
        <color theme="3" tint="0.59999389629810485"/>
      </top>
      <bottom/>
      <diagonal/>
    </border>
    <border>
      <left style="medium">
        <color theme="3" tint="0.59999389629810485"/>
      </left>
      <right/>
      <top style="thin">
        <color theme="3" tint="0.59999389629810485"/>
      </top>
      <bottom style="thin">
        <color theme="3" tint="0.59999389629810485"/>
      </bottom>
      <diagonal/>
    </border>
    <border>
      <left style="thin">
        <color theme="3" tint="0.59999389629810485"/>
      </left>
      <right style="medium">
        <color theme="3" tint="0.59999389629810485"/>
      </right>
      <top style="thin">
        <color theme="3" tint="0.59999389629810485"/>
      </top>
      <bottom style="thin">
        <color theme="3" tint="0.59999389629810485"/>
      </bottom>
      <diagonal/>
    </border>
    <border>
      <left style="medium">
        <color theme="3" tint="0.59999389629810485"/>
      </left>
      <right/>
      <top/>
      <bottom style="thin">
        <color theme="3" tint="0.59999389629810485"/>
      </bottom>
      <diagonal/>
    </border>
    <border>
      <left/>
      <right style="medium">
        <color theme="3" tint="0.59999389629810485"/>
      </right>
      <top/>
      <bottom style="thin">
        <color theme="3" tint="0.59999389629810485"/>
      </bottom>
      <diagonal/>
    </border>
    <border>
      <left/>
      <right style="medium">
        <color theme="3" tint="0.59999389629810485"/>
      </right>
      <top style="thin">
        <color theme="3" tint="0.59999389629810485"/>
      </top>
      <bottom/>
      <diagonal/>
    </border>
    <border>
      <left style="medium">
        <color theme="3" tint="0.59999389629810485"/>
      </left>
      <right/>
      <top/>
      <bottom/>
      <diagonal/>
    </border>
    <border>
      <left/>
      <right style="medium">
        <color theme="3" tint="0.59999389629810485"/>
      </right>
      <top style="thin">
        <color theme="3" tint="0.59999389629810485"/>
      </top>
      <bottom style="thin">
        <color theme="3" tint="0.59999389629810485"/>
      </bottom>
      <diagonal/>
    </border>
    <border>
      <left style="medium">
        <color theme="3" tint="0.59999389629810485"/>
      </left>
      <right style="thin">
        <color indexed="64"/>
      </right>
      <top/>
      <bottom style="thin">
        <color theme="3" tint="0.59999389629810485"/>
      </bottom>
      <diagonal/>
    </border>
    <border>
      <left style="thin">
        <color indexed="64"/>
      </left>
      <right style="medium">
        <color theme="3" tint="0.59999389629810485"/>
      </right>
      <top/>
      <bottom style="thin">
        <color theme="3" tint="0.59999389629810485"/>
      </bottom>
      <diagonal/>
    </border>
    <border>
      <left style="medium">
        <color theme="3" tint="0.59999389629810485"/>
      </left>
      <right/>
      <top style="thin">
        <color theme="3" tint="0.59999389629810485"/>
      </top>
      <bottom/>
      <diagonal/>
    </border>
    <border>
      <left style="medium">
        <color theme="3" tint="0.59999389629810485"/>
      </left>
      <right style="thick">
        <color theme="4" tint="-0.249977111117893"/>
      </right>
      <top style="thin">
        <color theme="3" tint="0.59999389629810485"/>
      </top>
      <bottom/>
      <diagonal/>
    </border>
    <border>
      <left style="thin">
        <color theme="3" tint="0.59999389629810485"/>
      </left>
      <right style="medium">
        <color theme="3" tint="0.59999389629810485"/>
      </right>
      <top/>
      <bottom/>
      <diagonal/>
    </border>
    <border>
      <left style="medium">
        <color theme="3" tint="0.59999389629810485"/>
      </left>
      <right style="thick">
        <color theme="4" tint="-0.249977111117893"/>
      </right>
      <top/>
      <bottom style="medium">
        <color theme="3" tint="0.59999389629810485"/>
      </bottom>
      <diagonal/>
    </border>
    <border>
      <left style="thick">
        <color theme="4" tint="-0.249977111117893"/>
      </left>
      <right style="thick">
        <color theme="4" tint="-0.249977111117893"/>
      </right>
      <top/>
      <bottom style="medium">
        <color theme="3" tint="0.59999389629810485"/>
      </bottom>
      <diagonal/>
    </border>
    <border>
      <left style="thick">
        <color theme="4" tint="-0.249977111117893"/>
      </left>
      <right/>
      <top/>
      <bottom style="medium">
        <color theme="3" tint="0.59999389629810485"/>
      </bottom>
      <diagonal/>
    </border>
    <border>
      <left style="thin">
        <color theme="3" tint="0.59999389629810485"/>
      </left>
      <right style="medium">
        <color theme="3" tint="0.59999389629810485"/>
      </right>
      <top style="thin">
        <color theme="3" tint="0.59999389629810485"/>
      </top>
      <bottom style="medium">
        <color theme="3" tint="0.59999389629810485"/>
      </bottom>
      <diagonal/>
    </border>
    <border>
      <left/>
      <right/>
      <top style="thin">
        <color theme="1"/>
      </top>
      <bottom style="thin">
        <color theme="1"/>
      </bottom>
      <diagonal/>
    </border>
    <border>
      <left style="thin">
        <color theme="3" tint="0.59999389629810485"/>
      </left>
      <right/>
      <top style="medium">
        <color indexed="64"/>
      </top>
      <bottom/>
      <diagonal/>
    </border>
    <border>
      <left/>
      <right style="thin">
        <color theme="3" tint="0.59999389629810485"/>
      </right>
      <top style="medium">
        <color indexed="64"/>
      </top>
      <bottom/>
      <diagonal/>
    </border>
    <border>
      <left/>
      <right/>
      <top/>
      <bottom style="thin">
        <color theme="1"/>
      </bottom>
      <diagonal/>
    </border>
    <border>
      <left/>
      <right/>
      <top style="thin">
        <color theme="1"/>
      </top>
      <bottom/>
      <diagonal/>
    </border>
    <border>
      <left/>
      <right/>
      <top style="medium">
        <color theme="3" tint="0.59999389629810485"/>
      </top>
      <bottom/>
      <diagonal/>
    </border>
    <border>
      <left/>
      <right style="thin">
        <color indexed="64"/>
      </right>
      <top style="medium">
        <color indexed="64"/>
      </top>
      <bottom style="thin">
        <color indexed="64"/>
      </bottom>
      <diagonal/>
    </border>
  </borders>
  <cellStyleXfs count="5">
    <xf numFmtId="0" fontId="0" fillId="0" borderId="0"/>
    <xf numFmtId="0" fontId="15" fillId="14" borderId="0" applyNumberFormat="0" applyBorder="0" applyAlignment="0" applyProtection="0"/>
    <xf numFmtId="0" fontId="16" fillId="0" borderId="0" applyNumberFormat="0" applyFill="0" applyBorder="0" applyAlignment="0" applyProtection="0"/>
    <xf numFmtId="9" fontId="26" fillId="0" borderId="0" applyFont="0" applyFill="0" applyBorder="0" applyAlignment="0" applyProtection="0"/>
    <xf numFmtId="0" fontId="53" fillId="0" borderId="0"/>
  </cellStyleXfs>
  <cellXfs count="1143">
    <xf numFmtId="0" fontId="0" fillId="0" borderId="0" xfId="0"/>
    <xf numFmtId="1" fontId="0" fillId="0" borderId="0" xfId="0" applyNumberFormat="1"/>
    <xf numFmtId="0" fontId="0" fillId="0" borderId="1" xfId="0" applyBorder="1"/>
    <xf numFmtId="164" fontId="0" fillId="0" borderId="1" xfId="0" applyNumberFormat="1" applyBorder="1" applyAlignment="1">
      <alignment horizontal="center" vertical="center"/>
    </xf>
    <xf numFmtId="0" fontId="0" fillId="0" borderId="1" xfId="0" applyBorder="1" applyAlignment="1">
      <alignment horizontal="center" vertical="center"/>
    </xf>
    <xf numFmtId="1" fontId="0" fillId="0" borderId="0" xfId="0" applyNumberFormat="1" applyBorder="1"/>
    <xf numFmtId="0" fontId="0" fillId="0" borderId="12" xfId="0" applyBorder="1"/>
    <xf numFmtId="0" fontId="0" fillId="0" borderId="0" xfId="0" applyBorder="1"/>
    <xf numFmtId="2" fontId="0" fillId="0" borderId="0" xfId="0" applyNumberFormat="1" applyBorder="1"/>
    <xf numFmtId="0" fontId="0" fillId="0" borderId="15" xfId="0" applyBorder="1"/>
    <xf numFmtId="2" fontId="0" fillId="0" borderId="15" xfId="0" applyNumberFormat="1" applyBorder="1"/>
    <xf numFmtId="1" fontId="0" fillId="0" borderId="12" xfId="0" applyNumberFormat="1" applyBorder="1"/>
    <xf numFmtId="1" fontId="0" fillId="0" borderId="13" xfId="0" applyNumberFormat="1" applyBorder="1"/>
    <xf numFmtId="1" fontId="0" fillId="0" borderId="15" xfId="0" applyNumberFormat="1" applyBorder="1"/>
    <xf numFmtId="0" fontId="0" fillId="0" borderId="0" xfId="0" applyAlignment="1">
      <alignment wrapText="1"/>
    </xf>
    <xf numFmtId="0" fontId="0" fillId="0" borderId="7" xfId="0" applyBorder="1"/>
    <xf numFmtId="0" fontId="0" fillId="0" borderId="3" xfId="0" applyBorder="1"/>
    <xf numFmtId="164" fontId="0" fillId="0" borderId="17" xfId="0" applyNumberFormat="1" applyBorder="1" applyAlignment="1">
      <alignment horizontal="center" vertical="center"/>
    </xf>
    <xf numFmtId="0" fontId="0" fillId="0" borderId="18" xfId="0" applyBorder="1" applyAlignment="1">
      <alignment horizontal="center" vertical="center"/>
    </xf>
    <xf numFmtId="164" fontId="0" fillId="0" borderId="18" xfId="0" applyNumberFormat="1" applyBorder="1" applyAlignment="1">
      <alignment horizontal="center" vertical="center"/>
    </xf>
    <xf numFmtId="164" fontId="0" fillId="0" borderId="7" xfId="0" applyNumberFormat="1" applyBorder="1" applyAlignment="1">
      <alignment horizontal="center" vertical="center"/>
    </xf>
    <xf numFmtId="164" fontId="0" fillId="0" borderId="3" xfId="0" applyNumberFormat="1"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xf numFmtId="0" fontId="0" fillId="0" borderId="9" xfId="0" applyBorder="1" applyAlignment="1">
      <alignment wrapText="1"/>
    </xf>
    <xf numFmtId="0" fontId="0" fillId="0" borderId="10" xfId="0" applyBorder="1" applyAlignment="1">
      <alignment wrapText="1"/>
    </xf>
    <xf numFmtId="0" fontId="0" fillId="0" borderId="11" xfId="0" applyBorder="1" applyAlignment="1">
      <alignment wrapText="1"/>
    </xf>
    <xf numFmtId="0" fontId="0" fillId="0" borderId="9" xfId="0" applyBorder="1" applyAlignment="1">
      <alignment horizontal="center" wrapText="1"/>
    </xf>
    <xf numFmtId="0" fontId="0" fillId="0" borderId="10" xfId="0" applyBorder="1" applyAlignment="1">
      <alignment horizontal="center" wrapText="1"/>
    </xf>
    <xf numFmtId="0" fontId="0" fillId="0" borderId="11" xfId="0" applyBorder="1" applyAlignment="1">
      <alignment horizontal="center" wrapText="1"/>
    </xf>
    <xf numFmtId="0" fontId="0" fillId="0" borderId="0" xfId="0" applyAlignment="1">
      <alignment horizontal="right" vertical="center"/>
    </xf>
    <xf numFmtId="0" fontId="0" fillId="0" borderId="0" xfId="0" applyAlignment="1">
      <alignment horizontal="center" vertical="center"/>
    </xf>
    <xf numFmtId="0" fontId="0" fillId="3" borderId="0" xfId="0" applyFill="1"/>
    <xf numFmtId="0" fontId="0" fillId="0" borderId="2" xfId="0" applyBorder="1"/>
    <xf numFmtId="0" fontId="2" fillId="0" borderId="32" xfId="0" applyFont="1" applyBorder="1"/>
    <xf numFmtId="0" fontId="5" fillId="7" borderId="17" xfId="0" applyFont="1" applyFill="1" applyBorder="1" applyAlignment="1">
      <alignment horizontal="center" wrapText="1"/>
    </xf>
    <xf numFmtId="0" fontId="6" fillId="7" borderId="1" xfId="0" applyFont="1" applyFill="1" applyBorder="1" applyAlignment="1">
      <alignment horizontal="center"/>
    </xf>
    <xf numFmtId="0" fontId="4" fillId="7" borderId="1" xfId="0" applyFont="1" applyFill="1" applyBorder="1" applyAlignment="1">
      <alignment horizontal="center"/>
    </xf>
    <xf numFmtId="0" fontId="6" fillId="7" borderId="1" xfId="0" applyFont="1" applyFill="1" applyBorder="1" applyAlignment="1">
      <alignment horizontal="center" wrapText="1"/>
    </xf>
    <xf numFmtId="0" fontId="0" fillId="0" borderId="4" xfId="0" applyBorder="1" applyAlignment="1">
      <alignment horizontal="center" vertical="center"/>
    </xf>
    <xf numFmtId="0" fontId="0" fillId="0" borderId="5" xfId="0" applyBorder="1" applyAlignment="1">
      <alignment horizontal="center" vertical="center"/>
    </xf>
    <xf numFmtId="3" fontId="4" fillId="0" borderId="5" xfId="0" applyNumberFormat="1" applyFont="1" applyFill="1" applyBorder="1" applyAlignment="1">
      <alignment horizontal="center" vertical="center"/>
    </xf>
    <xf numFmtId="3" fontId="4" fillId="0" borderId="19" xfId="0" applyNumberFormat="1" applyFont="1" applyFill="1" applyBorder="1" applyAlignment="1">
      <alignment horizontal="center" vertical="center"/>
    </xf>
    <xf numFmtId="0" fontId="0" fillId="0" borderId="17" xfId="0" applyBorder="1" applyAlignment="1">
      <alignment horizontal="center" vertical="center"/>
    </xf>
    <xf numFmtId="3" fontId="4" fillId="0" borderId="1" xfId="0" applyNumberFormat="1" applyFont="1" applyFill="1" applyBorder="1" applyAlignment="1">
      <alignment horizontal="center" vertical="center"/>
    </xf>
    <xf numFmtId="3" fontId="4" fillId="0" borderId="20" xfId="0" applyNumberFormat="1" applyFont="1" applyFill="1" applyBorder="1" applyAlignment="1">
      <alignment horizontal="center" vertical="center"/>
    </xf>
    <xf numFmtId="0" fontId="0" fillId="0" borderId="7" xfId="0" applyBorder="1" applyAlignment="1">
      <alignment horizontal="center" vertical="center"/>
    </xf>
    <xf numFmtId="3" fontId="4" fillId="0" borderId="3" xfId="0" applyNumberFormat="1" applyFont="1" applyFill="1" applyBorder="1" applyAlignment="1">
      <alignment horizontal="center" vertical="center"/>
    </xf>
    <xf numFmtId="3" fontId="4" fillId="0" borderId="21" xfId="0" applyNumberFormat="1" applyFont="1" applyFill="1" applyBorder="1" applyAlignment="1">
      <alignment horizontal="center" vertical="center"/>
    </xf>
    <xf numFmtId="0" fontId="0" fillId="0" borderId="12" xfId="0" applyBorder="1" applyAlignment="1">
      <alignment horizontal="center" vertical="center"/>
    </xf>
    <xf numFmtId="164" fontId="0" fillId="0" borderId="0" xfId="0" applyNumberFormat="1" applyBorder="1" applyAlignment="1">
      <alignment horizontal="center" vertical="center"/>
    </xf>
    <xf numFmtId="0" fontId="0" fillId="0" borderId="0" xfId="0" applyBorder="1" applyAlignment="1">
      <alignment horizontal="center" vertical="center"/>
    </xf>
    <xf numFmtId="164" fontId="0" fillId="0" borderId="13" xfId="0" applyNumberFormat="1" applyBorder="1" applyAlignment="1">
      <alignment horizontal="center" vertical="center"/>
    </xf>
    <xf numFmtId="2" fontId="0" fillId="0" borderId="0" xfId="0" applyNumberFormat="1" applyBorder="1" applyAlignment="1">
      <alignment horizontal="center" vertical="center"/>
    </xf>
    <xf numFmtId="0" fontId="0" fillId="0" borderId="14" xfId="0" applyBorder="1" applyAlignment="1">
      <alignment horizontal="center" vertical="center"/>
    </xf>
    <xf numFmtId="164" fontId="0" fillId="0" borderId="15" xfId="0" applyNumberFormat="1" applyBorder="1" applyAlignment="1">
      <alignment horizontal="center" vertical="center"/>
    </xf>
    <xf numFmtId="0" fontId="0" fillId="0" borderId="15" xfId="0" applyBorder="1" applyAlignment="1">
      <alignment horizontal="center" vertical="center"/>
    </xf>
    <xf numFmtId="2" fontId="0" fillId="0" borderId="15" xfId="0" applyNumberFormat="1" applyBorder="1" applyAlignment="1">
      <alignment horizontal="center" vertical="center"/>
    </xf>
    <xf numFmtId="164" fontId="0" fillId="0" borderId="16" xfId="0" applyNumberFormat="1" applyBorder="1" applyAlignment="1">
      <alignment horizontal="center" vertical="center"/>
    </xf>
    <xf numFmtId="164" fontId="0" fillId="0" borderId="0" xfId="0" applyNumberFormat="1" applyAlignment="1">
      <alignment horizontal="center" vertical="center"/>
    </xf>
    <xf numFmtId="1" fontId="0" fillId="0" borderId="1" xfId="0" applyNumberFormat="1" applyBorder="1" applyAlignment="1">
      <alignment horizontal="center" vertical="center"/>
    </xf>
    <xf numFmtId="1" fontId="0" fillId="0" borderId="0" xfId="0" applyNumberFormat="1" applyBorder="1" applyAlignment="1">
      <alignment horizontal="center" vertical="center"/>
    </xf>
    <xf numFmtId="1" fontId="0" fillId="0" borderId="3" xfId="0" applyNumberFormat="1" applyBorder="1" applyAlignment="1">
      <alignment horizontal="center" vertical="center"/>
    </xf>
    <xf numFmtId="1" fontId="0" fillId="0" borderId="15" xfId="0" applyNumberFormat="1" applyBorder="1" applyAlignment="1">
      <alignment horizontal="center" vertical="center"/>
    </xf>
    <xf numFmtId="2" fontId="0" fillId="0" borderId="13" xfId="0" applyNumberFormat="1" applyBorder="1"/>
    <xf numFmtId="0" fontId="5" fillId="7" borderId="33" xfId="0" applyFont="1" applyFill="1" applyBorder="1" applyAlignment="1">
      <alignment horizontal="center" wrapText="1"/>
    </xf>
    <xf numFmtId="0" fontId="4" fillId="7" borderId="34" xfId="0" applyFont="1" applyFill="1" applyBorder="1" applyAlignment="1">
      <alignment horizontal="center"/>
    </xf>
    <xf numFmtId="0" fontId="0" fillId="0" borderId="34" xfId="0" applyBorder="1"/>
    <xf numFmtId="0" fontId="0" fillId="6" borderId="36" xfId="0" applyFill="1" applyBorder="1" applyAlignment="1">
      <alignment vertical="center" wrapText="1"/>
    </xf>
    <xf numFmtId="0" fontId="0" fillId="6" borderId="37" xfId="0" applyFill="1" applyBorder="1" applyAlignment="1">
      <alignment vertical="center" wrapText="1"/>
    </xf>
    <xf numFmtId="0" fontId="0" fillId="6" borderId="38" xfId="0" applyFill="1" applyBorder="1" applyAlignment="1">
      <alignment vertical="center" wrapText="1"/>
    </xf>
    <xf numFmtId="0" fontId="0" fillId="0" borderId="0" xfId="0" applyFill="1" applyBorder="1"/>
    <xf numFmtId="0" fontId="0" fillId="0" borderId="1" xfId="0" applyFill="1" applyBorder="1"/>
    <xf numFmtId="0" fontId="0" fillId="0" borderId="18" xfId="0" applyFill="1" applyBorder="1"/>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31" xfId="0" applyFont="1" applyBorder="1" applyAlignment="1">
      <alignment horizontal="center" vertical="center"/>
    </xf>
    <xf numFmtId="0" fontId="8" fillId="0" borderId="43" xfId="0" applyFont="1" applyBorder="1" applyAlignment="1">
      <alignment horizontal="center" vertical="center"/>
    </xf>
    <xf numFmtId="0" fontId="8" fillId="0" borderId="44" xfId="0" applyFont="1" applyBorder="1" applyAlignment="1">
      <alignment horizontal="center" vertical="center"/>
    </xf>
    <xf numFmtId="0" fontId="0" fillId="8" borderId="0" xfId="0" applyFill="1"/>
    <xf numFmtId="0" fontId="0" fillId="9" borderId="0" xfId="0" applyFill="1"/>
    <xf numFmtId="0" fontId="0" fillId="5" borderId="0" xfId="0" applyFill="1"/>
    <xf numFmtId="0" fontId="0" fillId="8" borderId="0" xfId="0" applyFill="1" applyBorder="1" applyAlignment="1">
      <alignment horizontal="center" vertical="center" wrapText="1"/>
    </xf>
    <xf numFmtId="0" fontId="0" fillId="8" borderId="1" xfId="0" applyFill="1" applyBorder="1" applyAlignment="1">
      <alignment horizontal="center" vertical="center" wrapText="1"/>
    </xf>
    <xf numFmtId="0" fontId="0" fillId="8" borderId="1" xfId="0" applyFill="1" applyBorder="1" applyAlignment="1">
      <alignment horizontal="center" vertical="center"/>
    </xf>
    <xf numFmtId="0" fontId="0" fillId="8" borderId="1" xfId="0" applyFill="1" applyBorder="1" applyAlignment="1">
      <alignment horizontal="center"/>
    </xf>
    <xf numFmtId="0" fontId="0" fillId="5" borderId="4" xfId="0" applyFill="1" applyBorder="1"/>
    <xf numFmtId="0" fontId="0" fillId="5" borderId="7" xfId="0" applyFill="1" applyBorder="1"/>
    <xf numFmtId="0" fontId="0" fillId="5" borderId="3" xfId="0" applyFill="1" applyBorder="1"/>
    <xf numFmtId="0" fontId="0" fillId="5" borderId="2" xfId="0" applyFill="1" applyBorder="1"/>
    <xf numFmtId="0" fontId="0" fillId="10" borderId="0" xfId="0" applyFill="1"/>
    <xf numFmtId="0" fontId="0" fillId="0" borderId="0" xfId="0" applyFill="1"/>
    <xf numFmtId="0" fontId="0" fillId="8" borderId="0" xfId="0" applyFill="1" applyAlignment="1">
      <alignment wrapText="1"/>
    </xf>
    <xf numFmtId="0" fontId="0" fillId="8" borderId="34" xfId="0" applyFill="1" applyBorder="1" applyAlignment="1">
      <alignment horizontal="center" vertical="center" wrapText="1"/>
    </xf>
    <xf numFmtId="0" fontId="0" fillId="10" borderId="0" xfId="0" applyFill="1" applyAlignment="1">
      <alignment wrapText="1"/>
    </xf>
    <xf numFmtId="0" fontId="11" fillId="10" borderId="49" xfId="0" applyFont="1" applyFill="1" applyBorder="1" applyAlignment="1">
      <alignment horizontal="center" vertical="top" wrapText="1"/>
    </xf>
    <xf numFmtId="0" fontId="11" fillId="10" borderId="50" xfId="0" applyFont="1" applyFill="1" applyBorder="1" applyAlignment="1">
      <alignment horizontal="center" vertical="top" wrapText="1"/>
    </xf>
    <xf numFmtId="0" fontId="11" fillId="10" borderId="50" xfId="0" applyFont="1" applyFill="1" applyBorder="1" applyAlignment="1">
      <alignment horizontal="center" vertical="top"/>
    </xf>
    <xf numFmtId="0" fontId="0" fillId="11" borderId="0" xfId="0" applyFill="1"/>
    <xf numFmtId="0" fontId="0" fillId="11" borderId="8" xfId="0" applyFill="1" applyBorder="1"/>
    <xf numFmtId="0" fontId="0" fillId="3" borderId="8" xfId="0" applyFill="1" applyBorder="1"/>
    <xf numFmtId="0" fontId="0" fillId="11" borderId="4" xfId="0" applyFill="1" applyBorder="1"/>
    <xf numFmtId="0" fontId="0" fillId="11" borderId="5" xfId="0" applyFill="1" applyBorder="1"/>
    <xf numFmtId="0" fontId="0" fillId="11" borderId="6" xfId="0" applyFill="1" applyBorder="1"/>
    <xf numFmtId="0" fontId="0" fillId="11" borderId="17" xfId="0" applyFill="1" applyBorder="1"/>
    <xf numFmtId="0" fontId="0" fillId="11" borderId="1" xfId="0" applyFill="1" applyBorder="1"/>
    <xf numFmtId="0" fontId="0" fillId="11" borderId="18" xfId="0" applyFill="1" applyBorder="1"/>
    <xf numFmtId="0" fontId="0" fillId="3" borderId="1" xfId="0" applyFill="1" applyBorder="1" applyAlignment="1">
      <alignment horizontal="center" vertical="center" wrapText="1"/>
    </xf>
    <xf numFmtId="0" fontId="0" fillId="11" borderId="7" xfId="0" applyFill="1" applyBorder="1"/>
    <xf numFmtId="0" fontId="0" fillId="11" borderId="3" xfId="0" applyFill="1" applyBorder="1"/>
    <xf numFmtId="0" fontId="0" fillId="11" borderId="2" xfId="0" applyFill="1" applyBorder="1"/>
    <xf numFmtId="0" fontId="0" fillId="12" borderId="0" xfId="0" applyFill="1"/>
    <xf numFmtId="0" fontId="0" fillId="12" borderId="4" xfId="0" applyFill="1" applyBorder="1"/>
    <xf numFmtId="0" fontId="0" fillId="12" borderId="17" xfId="0" applyFill="1" applyBorder="1"/>
    <xf numFmtId="0" fontId="0" fillId="12" borderId="1" xfId="0" applyFill="1" applyBorder="1"/>
    <xf numFmtId="0" fontId="0" fillId="12" borderId="18" xfId="0" applyFill="1" applyBorder="1"/>
    <xf numFmtId="0" fontId="0" fillId="12" borderId="7" xfId="0" applyFill="1" applyBorder="1"/>
    <xf numFmtId="0" fontId="0" fillId="12" borderId="3" xfId="0" applyFill="1" applyBorder="1"/>
    <xf numFmtId="0" fontId="0" fillId="12" borderId="2" xfId="0" applyFill="1" applyBorder="1"/>
    <xf numFmtId="0" fontId="3" fillId="0" borderId="0" xfId="0" applyFont="1"/>
    <xf numFmtId="0" fontId="0" fillId="0" borderId="34" xfId="0" applyFill="1" applyBorder="1"/>
    <xf numFmtId="0" fontId="0" fillId="0" borderId="35" xfId="0" applyFill="1" applyBorder="1"/>
    <xf numFmtId="0" fontId="15" fillId="14" borderId="0" xfId="1"/>
    <xf numFmtId="0" fontId="0" fillId="15" borderId="0" xfId="0" applyFill="1"/>
    <xf numFmtId="0" fontId="16" fillId="0" borderId="0" xfId="2" applyAlignment="1">
      <alignment horizontal="left" vertical="center" indent="2"/>
    </xf>
    <xf numFmtId="0" fontId="16" fillId="0" borderId="0" xfId="2" applyAlignment="1">
      <alignment horizontal="left" vertical="center" indent="3"/>
    </xf>
    <xf numFmtId="0" fontId="17" fillId="0" borderId="0" xfId="0" applyFont="1" applyAlignment="1">
      <alignment vertical="center"/>
    </xf>
    <xf numFmtId="0" fontId="0" fillId="0" borderId="0" xfId="0" applyAlignment="1">
      <alignment vertical="center"/>
    </xf>
    <xf numFmtId="0" fontId="18" fillId="0" borderId="0" xfId="0" applyFont="1" applyAlignment="1">
      <alignment vertical="center"/>
    </xf>
    <xf numFmtId="0" fontId="16" fillId="0" borderId="0" xfId="2" applyAlignment="1">
      <alignment vertical="center"/>
    </xf>
    <xf numFmtId="0" fontId="0" fillId="0" borderId="0" xfId="0" applyAlignment="1">
      <alignment horizontal="left" vertical="center" indent="3"/>
    </xf>
    <xf numFmtId="0" fontId="19" fillId="0" borderId="0" xfId="0" applyFont="1" applyAlignment="1">
      <alignment horizontal="left" vertical="center" indent="3"/>
    </xf>
    <xf numFmtId="0" fontId="19" fillId="0" borderId="0" xfId="0" applyFont="1" applyAlignment="1">
      <alignment vertical="center"/>
    </xf>
    <xf numFmtId="0" fontId="20" fillId="0" borderId="0" xfId="0" applyFont="1" applyAlignment="1">
      <alignment vertical="center"/>
    </xf>
    <xf numFmtId="0" fontId="21" fillId="17" borderId="63" xfId="0" applyFont="1" applyFill="1" applyBorder="1" applyAlignment="1">
      <alignment vertical="top" wrapText="1" indent="1"/>
    </xf>
    <xf numFmtId="0" fontId="22" fillId="17" borderId="63" xfId="0" applyFont="1" applyFill="1" applyBorder="1" applyAlignment="1">
      <alignment horizontal="center" vertical="top" wrapText="1"/>
    </xf>
    <xf numFmtId="0" fontId="21" fillId="0" borderId="63" xfId="0" applyFont="1" applyBorder="1" applyAlignment="1">
      <alignment horizontal="center" vertical="top" wrapText="1"/>
    </xf>
    <xf numFmtId="0" fontId="21" fillId="17" borderId="63" xfId="0" applyFont="1" applyFill="1" applyBorder="1" applyAlignment="1">
      <alignment horizontal="center" vertical="top" wrapText="1"/>
    </xf>
    <xf numFmtId="0" fontId="22" fillId="17" borderId="63" xfId="0" applyFont="1" applyFill="1" applyBorder="1" applyAlignment="1">
      <alignment vertical="top" wrapText="1" indent="1"/>
    </xf>
    <xf numFmtId="0" fontId="21" fillId="17" borderId="63" xfId="0" applyFont="1" applyFill="1" applyBorder="1" applyAlignment="1">
      <alignment horizontal="left" vertical="top" wrapText="1" indent="1"/>
    </xf>
    <xf numFmtId="0" fontId="21" fillId="0" borderId="63" xfId="0" applyFont="1" applyBorder="1" applyAlignment="1">
      <alignment horizontal="left" vertical="top" wrapText="1" indent="1"/>
    </xf>
    <xf numFmtId="0" fontId="22" fillId="0" borderId="63" xfId="0" applyFont="1" applyBorder="1" applyAlignment="1">
      <alignment horizontal="center" vertical="top" wrapText="1"/>
    </xf>
    <xf numFmtId="0" fontId="21" fillId="0" borderId="63" xfId="0" applyFont="1" applyBorder="1" applyAlignment="1">
      <alignment vertical="top" wrapText="1" indent="1"/>
    </xf>
    <xf numFmtId="0" fontId="24" fillId="0" borderId="0" xfId="0" applyFont="1" applyAlignment="1">
      <alignment vertical="center"/>
    </xf>
    <xf numFmtId="0" fontId="24" fillId="0" borderId="0" xfId="0" applyFont="1" applyAlignment="1">
      <alignment horizontal="left" vertical="center" indent="3"/>
    </xf>
    <xf numFmtId="0" fontId="22" fillId="17" borderId="64" xfId="0" applyFont="1" applyFill="1" applyBorder="1" applyAlignment="1">
      <alignment horizontal="center" vertical="top" wrapText="1"/>
    </xf>
    <xf numFmtId="0" fontId="22" fillId="17" borderId="65" xfId="0" applyFont="1" applyFill="1" applyBorder="1" applyAlignment="1">
      <alignment horizontal="center" vertical="top" wrapText="1"/>
    </xf>
    <xf numFmtId="0" fontId="0" fillId="0" borderId="0" xfId="0" applyAlignment="1">
      <alignment horizontal="left" vertical="center" indent="2"/>
    </xf>
    <xf numFmtId="0" fontId="19" fillId="0" borderId="0" xfId="0" applyFont="1" applyAlignment="1">
      <alignment horizontal="left" vertical="center" indent="2"/>
    </xf>
    <xf numFmtId="0" fontId="22" fillId="17" borderId="64" xfId="0" applyFont="1" applyFill="1" applyBorder="1" applyAlignment="1">
      <alignment horizontal="center" vertical="center" wrapText="1"/>
    </xf>
    <xf numFmtId="0" fontId="22" fillId="17" borderId="65" xfId="0" applyFont="1" applyFill="1" applyBorder="1" applyAlignment="1">
      <alignment horizontal="center" vertical="center" wrapText="1"/>
    </xf>
    <xf numFmtId="0" fontId="22" fillId="0" borderId="63" xfId="0" applyFont="1" applyBorder="1" applyAlignment="1">
      <alignment horizontal="center" vertical="center" wrapText="1"/>
    </xf>
    <xf numFmtId="0" fontId="21" fillId="0" borderId="63" xfId="0" applyFont="1" applyBorder="1" applyAlignment="1">
      <alignment horizontal="center" vertical="center" wrapText="1"/>
    </xf>
    <xf numFmtId="0" fontId="22" fillId="17" borderId="63" xfId="0" applyFont="1" applyFill="1" applyBorder="1" applyAlignment="1">
      <alignment horizontal="center" vertical="center" wrapText="1"/>
    </xf>
    <xf numFmtId="0" fontId="21" fillId="17" borderId="63" xfId="0" applyFont="1" applyFill="1" applyBorder="1" applyAlignment="1">
      <alignment horizontal="center" vertical="center" wrapText="1"/>
    </xf>
    <xf numFmtId="16" fontId="21" fillId="17" borderId="63" xfId="0" applyNumberFormat="1" applyFont="1" applyFill="1" applyBorder="1" applyAlignment="1">
      <alignment horizontal="center" vertical="center" wrapText="1"/>
    </xf>
    <xf numFmtId="0" fontId="25" fillId="17" borderId="63" xfId="0" applyFont="1" applyFill="1" applyBorder="1" applyAlignment="1">
      <alignment horizontal="center" vertical="center" wrapText="1"/>
    </xf>
    <xf numFmtId="3" fontId="21" fillId="0" borderId="63" xfId="0" applyNumberFormat="1" applyFont="1" applyBorder="1" applyAlignment="1">
      <alignment horizontal="center" vertical="center" wrapText="1"/>
    </xf>
    <xf numFmtId="0" fontId="18" fillId="0" borderId="0" xfId="0" applyFont="1" applyAlignment="1">
      <alignment horizontal="left" vertical="center"/>
    </xf>
    <xf numFmtId="0" fontId="16" fillId="17" borderId="63" xfId="2" applyFill="1" applyBorder="1" applyAlignment="1">
      <alignment vertical="top" wrapText="1" indent="1"/>
    </xf>
    <xf numFmtId="0" fontId="16" fillId="0" borderId="63" xfId="2" applyBorder="1" applyAlignment="1">
      <alignment vertical="top" wrapText="1" indent="1"/>
    </xf>
    <xf numFmtId="16" fontId="21" fillId="17" borderId="63" xfId="0" applyNumberFormat="1" applyFont="1" applyFill="1" applyBorder="1" applyAlignment="1">
      <alignment horizontal="center" vertical="top" wrapText="1"/>
    </xf>
    <xf numFmtId="17" fontId="21" fillId="17" borderId="63" xfId="0" applyNumberFormat="1" applyFont="1" applyFill="1" applyBorder="1" applyAlignment="1">
      <alignment horizontal="center" vertical="top" wrapText="1"/>
    </xf>
    <xf numFmtId="16" fontId="21" fillId="0" borderId="63" xfId="0" applyNumberFormat="1" applyFont="1" applyBorder="1" applyAlignment="1">
      <alignment horizontal="center" vertical="top" wrapText="1"/>
    </xf>
    <xf numFmtId="17" fontId="21" fillId="0" borderId="63" xfId="0" applyNumberFormat="1" applyFont="1" applyBorder="1" applyAlignment="1">
      <alignment horizontal="center" vertical="top" wrapText="1"/>
    </xf>
    <xf numFmtId="0" fontId="21" fillId="18" borderId="63" xfId="0" applyFont="1" applyFill="1" applyBorder="1" applyAlignment="1">
      <alignment vertical="top" wrapText="1" indent="1"/>
    </xf>
    <xf numFmtId="0" fontId="21" fillId="18" borderId="63" xfId="0" applyFont="1" applyFill="1" applyBorder="1" applyAlignment="1">
      <alignment horizontal="center" vertical="top" wrapText="1"/>
    </xf>
    <xf numFmtId="164" fontId="0" fillId="0" borderId="1" xfId="0" applyNumberFormat="1" applyBorder="1"/>
    <xf numFmtId="0" fontId="0" fillId="2" borderId="1" xfId="0" applyFill="1" applyBorder="1" applyAlignment="1">
      <alignment horizontal="center" vertical="center"/>
    </xf>
    <xf numFmtId="0" fontId="0" fillId="0" borderId="13" xfId="0" applyBorder="1"/>
    <xf numFmtId="1" fontId="0" fillId="0" borderId="16" xfId="0" applyNumberFormat="1" applyBorder="1"/>
    <xf numFmtId="0" fontId="0" fillId="2" borderId="17" xfId="0" applyFill="1" applyBorder="1" applyAlignment="1">
      <alignment horizontal="center" vertical="center"/>
    </xf>
    <xf numFmtId="0" fontId="0" fillId="2" borderId="18" xfId="0" applyFill="1" applyBorder="1" applyAlignment="1">
      <alignment horizontal="center" vertical="center"/>
    </xf>
    <xf numFmtId="1" fontId="0" fillId="0" borderId="17" xfId="0" applyNumberFormat="1" applyBorder="1" applyAlignment="1">
      <alignment horizontal="center" vertical="center"/>
    </xf>
    <xf numFmtId="1" fontId="0" fillId="0" borderId="13" xfId="0" applyNumberFormat="1" applyBorder="1" applyAlignment="1">
      <alignment horizontal="center" vertical="center"/>
    </xf>
    <xf numFmtId="1" fontId="0" fillId="0" borderId="16" xfId="0" applyNumberFormat="1" applyBorder="1" applyAlignment="1">
      <alignment horizontal="center" vertical="center"/>
    </xf>
    <xf numFmtId="0" fontId="0" fillId="2" borderId="9" xfId="0" applyFill="1" applyBorder="1"/>
    <xf numFmtId="0" fontId="0" fillId="2" borderId="10" xfId="0" applyFill="1" applyBorder="1"/>
    <xf numFmtId="0" fontId="0" fillId="2" borderId="11" xfId="0" applyFill="1" applyBorder="1"/>
    <xf numFmtId="0" fontId="27" fillId="0" borderId="9" xfId="0" quotePrefix="1" applyFont="1" applyBorder="1" applyAlignment="1" applyProtection="1">
      <alignment horizontal="left"/>
      <protection locked="0"/>
    </xf>
    <xf numFmtId="0" fontId="0" fillId="0" borderId="10" xfId="0" applyBorder="1" applyProtection="1">
      <protection locked="0"/>
    </xf>
    <xf numFmtId="0" fontId="0" fillId="0" borderId="10" xfId="0" applyBorder="1" applyAlignment="1" applyProtection="1">
      <alignment horizontal="centerContinuous"/>
      <protection locked="0"/>
    </xf>
    <xf numFmtId="0" fontId="28" fillId="0" borderId="10" xfId="0" applyFont="1" applyBorder="1" applyProtection="1">
      <protection locked="0"/>
    </xf>
    <xf numFmtId="0" fontId="29" fillId="19" borderId="10" xfId="0" applyFont="1" applyFill="1" applyBorder="1" applyProtection="1">
      <protection locked="0"/>
    </xf>
    <xf numFmtId="0" fontId="30" fillId="19" borderId="10" xfId="0" applyFont="1" applyFill="1" applyBorder="1" applyProtection="1">
      <protection locked="0"/>
    </xf>
    <xf numFmtId="0" fontId="30" fillId="19" borderId="11" xfId="0" applyFont="1" applyFill="1" applyBorder="1" applyProtection="1">
      <protection locked="0"/>
    </xf>
    <xf numFmtId="0" fontId="0" fillId="0" borderId="12" xfId="0" applyBorder="1" applyProtection="1">
      <protection locked="0"/>
    </xf>
    <xf numFmtId="0" fontId="0" fillId="0" borderId="0" xfId="0" applyProtection="1">
      <protection locked="0"/>
    </xf>
    <xf numFmtId="0" fontId="0" fillId="0" borderId="0" xfId="0" applyAlignment="1" applyProtection="1">
      <alignment horizontal="centerContinuous"/>
      <protection locked="0"/>
    </xf>
    <xf numFmtId="0" fontId="0" fillId="0" borderId="0" xfId="0" quotePrefix="1" applyAlignment="1" applyProtection="1">
      <alignment horizontal="left"/>
      <protection locked="0"/>
    </xf>
    <xf numFmtId="0" fontId="31" fillId="20" borderId="0" xfId="0" applyFont="1" applyFill="1" applyAlignment="1" applyProtection="1">
      <alignment horizontal="centerContinuous"/>
      <protection locked="0"/>
    </xf>
    <xf numFmtId="0" fontId="0" fillId="0" borderId="0" xfId="0" applyBorder="1" applyProtection="1">
      <protection locked="0"/>
    </xf>
    <xf numFmtId="0" fontId="30" fillId="19" borderId="0" xfId="0" applyFont="1" applyFill="1" applyBorder="1" applyProtection="1">
      <protection locked="0"/>
    </xf>
    <xf numFmtId="0" fontId="30" fillId="19" borderId="13" xfId="0" applyFont="1" applyFill="1" applyBorder="1" applyProtection="1">
      <protection locked="0"/>
    </xf>
    <xf numFmtId="0" fontId="32" fillId="0" borderId="12" xfId="0" applyFont="1" applyBorder="1" applyProtection="1">
      <protection locked="0"/>
    </xf>
    <xf numFmtId="0" fontId="31" fillId="0" borderId="0" xfId="0" applyFont="1" applyBorder="1" applyAlignment="1" applyProtection="1">
      <alignment horizontal="center" vertical="center"/>
      <protection locked="0"/>
    </xf>
    <xf numFmtId="0" fontId="31" fillId="0" borderId="0" xfId="0" applyFont="1" applyBorder="1" applyAlignment="1" applyProtection="1">
      <alignment horizontal="centerContinuous" vertical="center"/>
      <protection locked="0"/>
    </xf>
    <xf numFmtId="0" fontId="0" fillId="0" borderId="0" xfId="0" quotePrefix="1" applyBorder="1" applyAlignment="1" applyProtection="1">
      <alignment horizontal="left"/>
      <protection locked="0"/>
    </xf>
    <xf numFmtId="0" fontId="33" fillId="0" borderId="12" xfId="0" applyFont="1" applyBorder="1" applyAlignment="1" applyProtection="1">
      <alignment horizontal="center" vertical="center"/>
      <protection locked="0"/>
    </xf>
    <xf numFmtId="0" fontId="33" fillId="0" borderId="0" xfId="0" applyFont="1" applyBorder="1" applyAlignment="1" applyProtection="1">
      <alignment horizontal="left" vertical="justify"/>
      <protection locked="0"/>
    </xf>
    <xf numFmtId="0" fontId="0" fillId="19" borderId="0" xfId="0" applyFill="1" applyProtection="1">
      <protection locked="0"/>
    </xf>
    <xf numFmtId="0" fontId="30" fillId="19" borderId="0" xfId="0" applyFont="1" applyFill="1" applyBorder="1" applyAlignment="1" applyProtection="1">
      <alignment horizontal="centerContinuous"/>
      <protection locked="0"/>
    </xf>
    <xf numFmtId="0" fontId="30" fillId="20" borderId="0" xfId="0" applyFont="1" applyFill="1" applyBorder="1" applyAlignment="1" applyProtection="1">
      <alignment horizontal="centerContinuous"/>
      <protection locked="0"/>
    </xf>
    <xf numFmtId="0" fontId="33" fillId="0" borderId="0" xfId="0" applyFont="1" applyBorder="1" applyAlignment="1" applyProtection="1">
      <alignment horizontal="left" vertical="center"/>
      <protection locked="0"/>
    </xf>
    <xf numFmtId="0" fontId="33" fillId="0" borderId="0" xfId="0" quotePrefix="1" applyFont="1" applyBorder="1" applyAlignment="1" applyProtection="1">
      <alignment horizontal="left" vertical="center"/>
      <protection locked="0"/>
    </xf>
    <xf numFmtId="0" fontId="30" fillId="19" borderId="0" xfId="0" quotePrefix="1" applyFont="1" applyFill="1" applyBorder="1" applyAlignment="1" applyProtection="1">
      <alignment horizontal="centerContinuous"/>
      <protection locked="0"/>
    </xf>
    <xf numFmtId="0" fontId="30" fillId="20" borderId="0" xfId="0" quotePrefix="1" applyFont="1" applyFill="1" applyBorder="1" applyAlignment="1" applyProtection="1">
      <alignment horizontal="centerContinuous"/>
      <protection locked="0"/>
    </xf>
    <xf numFmtId="0" fontId="30" fillId="19" borderId="0" xfId="0" applyFont="1" applyFill="1" applyBorder="1" applyAlignment="1" applyProtection="1">
      <alignment horizontal="center"/>
      <protection locked="0"/>
    </xf>
    <xf numFmtId="0" fontId="30" fillId="19" borderId="13" xfId="0" applyFont="1" applyFill="1" applyBorder="1" applyAlignment="1" applyProtection="1">
      <alignment horizontal="center"/>
      <protection locked="0"/>
    </xf>
    <xf numFmtId="0" fontId="33" fillId="0" borderId="0" xfId="0" applyFont="1" applyBorder="1" applyAlignment="1" applyProtection="1">
      <alignment vertical="justify"/>
      <protection locked="0"/>
    </xf>
    <xf numFmtId="0" fontId="33" fillId="0" borderId="0" xfId="0" quotePrefix="1" applyFont="1" applyBorder="1" applyAlignment="1" applyProtection="1">
      <alignment horizontal="left" vertical="justify"/>
      <protection locked="0"/>
    </xf>
    <xf numFmtId="2" fontId="30" fillId="19" borderId="0" xfId="0" applyNumberFormat="1" applyFont="1" applyFill="1" applyBorder="1" applyProtection="1">
      <protection locked="0"/>
    </xf>
    <xf numFmtId="2" fontId="30" fillId="19" borderId="13" xfId="0" applyNumberFormat="1" applyFont="1" applyFill="1" applyBorder="1" applyProtection="1">
      <protection locked="0"/>
    </xf>
    <xf numFmtId="0" fontId="35" fillId="0" borderId="0" xfId="0" applyFont="1" applyAlignment="1" applyProtection="1">
      <alignment vertical="center"/>
      <protection locked="0"/>
    </xf>
    <xf numFmtId="0" fontId="0" fillId="19" borderId="0" xfId="0" applyFill="1" applyAlignment="1" applyProtection="1">
      <alignment vertical="center"/>
      <protection locked="0"/>
    </xf>
    <xf numFmtId="0" fontId="30" fillId="19" borderId="0" xfId="0" applyFont="1" applyFill="1" applyBorder="1" applyAlignment="1" applyProtection="1">
      <alignment horizontal="centerContinuous" vertical="center"/>
      <protection locked="0"/>
    </xf>
    <xf numFmtId="0" fontId="30" fillId="20" borderId="0" xfId="0" applyFont="1" applyFill="1" applyBorder="1" applyAlignment="1" applyProtection="1">
      <alignment horizontal="centerContinuous" vertical="center"/>
      <protection locked="0"/>
    </xf>
    <xf numFmtId="0" fontId="35" fillId="0" borderId="0" xfId="0" quotePrefix="1" applyFont="1" applyBorder="1" applyAlignment="1" applyProtection="1">
      <alignment horizontal="left"/>
      <protection locked="0"/>
    </xf>
    <xf numFmtId="2" fontId="0" fillId="20" borderId="0" xfId="0" applyNumberFormat="1" applyFill="1" applyBorder="1" applyProtection="1">
      <protection locked="0"/>
    </xf>
    <xf numFmtId="0" fontId="35" fillId="0" borderId="0" xfId="0" applyFont="1" applyBorder="1" applyProtection="1">
      <protection locked="0"/>
    </xf>
    <xf numFmtId="0" fontId="0" fillId="0" borderId="13" xfId="0" applyBorder="1" applyProtection="1">
      <protection locked="0"/>
    </xf>
    <xf numFmtId="0" fontId="36" fillId="0" borderId="12" xfId="0" applyFont="1" applyBorder="1" applyAlignment="1" applyProtection="1">
      <alignment horizontal="center" vertical="center"/>
      <protection locked="0"/>
    </xf>
    <xf numFmtId="0" fontId="37" fillId="0" borderId="0" xfId="0" applyFont="1" applyProtection="1">
      <protection locked="0"/>
    </xf>
    <xf numFmtId="0" fontId="38" fillId="19" borderId="0" xfId="0" applyFont="1" applyFill="1" applyAlignment="1" applyProtection="1">
      <alignment horizontal="centerContinuous"/>
      <protection locked="0"/>
    </xf>
    <xf numFmtId="0" fontId="38" fillId="20" borderId="0" xfId="0" applyFont="1" applyFill="1" applyAlignment="1" applyProtection="1">
      <alignment horizontal="left"/>
      <protection locked="0"/>
    </xf>
    <xf numFmtId="0" fontId="39" fillId="0" borderId="12" xfId="0" applyFont="1" applyBorder="1" applyProtection="1">
      <protection locked="0"/>
    </xf>
    <xf numFmtId="0" fontId="41" fillId="19" borderId="0" xfId="0" applyFont="1" applyFill="1" applyBorder="1" applyAlignment="1" applyProtection="1">
      <alignment horizontal="centerContinuous"/>
      <protection locked="0"/>
    </xf>
    <xf numFmtId="4" fontId="30" fillId="19" borderId="0" xfId="0" applyNumberFormat="1" applyFont="1" applyFill="1" applyBorder="1" applyAlignment="1" applyProtection="1">
      <alignment horizontal="centerContinuous"/>
      <protection locked="0"/>
    </xf>
    <xf numFmtId="4" fontId="30" fillId="20" borderId="0" xfId="0" applyNumberFormat="1" applyFont="1" applyFill="1" applyBorder="1" applyAlignment="1" applyProtection="1">
      <alignment horizontal="centerContinuous"/>
      <protection locked="0"/>
    </xf>
    <xf numFmtId="0" fontId="0" fillId="19" borderId="0" xfId="0" applyFill="1" applyBorder="1" applyProtection="1">
      <protection locked="0"/>
    </xf>
    <xf numFmtId="0" fontId="43" fillId="0" borderId="0" xfId="0" applyFont="1" applyBorder="1" applyAlignment="1" applyProtection="1">
      <alignment vertical="justify"/>
      <protection locked="0"/>
    </xf>
    <xf numFmtId="0" fontId="39" fillId="0" borderId="12" xfId="0" quotePrefix="1" applyFont="1" applyBorder="1" applyAlignment="1" applyProtection="1">
      <alignment horizontal="left"/>
      <protection locked="0"/>
    </xf>
    <xf numFmtId="0" fontId="44" fillId="19" borderId="0" xfId="0" quotePrefix="1" applyFont="1" applyFill="1" applyBorder="1" applyAlignment="1" applyProtection="1">
      <alignment horizontal="centerContinuous"/>
      <protection locked="0"/>
    </xf>
    <xf numFmtId="0" fontId="33" fillId="0" borderId="0" xfId="0" quotePrefix="1" applyFont="1" applyBorder="1" applyAlignment="1" applyProtection="1">
      <alignment horizontal="left" vertical="justify" wrapText="1"/>
      <protection locked="0"/>
    </xf>
    <xf numFmtId="1" fontId="30" fillId="20" borderId="0" xfId="0" applyNumberFormat="1" applyFont="1" applyFill="1" applyBorder="1" applyAlignment="1" applyProtection="1">
      <alignment horizontal="left"/>
      <protection locked="0"/>
    </xf>
    <xf numFmtId="2" fontId="0" fillId="19" borderId="0" xfId="0" applyNumberFormat="1" applyFill="1" applyBorder="1" applyProtection="1">
      <protection locked="0"/>
    </xf>
    <xf numFmtId="4" fontId="36" fillId="0" borderId="0" xfId="0" applyNumberFormat="1" applyFont="1" applyBorder="1" applyAlignment="1" applyProtection="1">
      <alignment horizontal="centerContinuous" vertical="justify" wrapText="1"/>
      <protection locked="0"/>
    </xf>
    <xf numFmtId="0" fontId="36" fillId="0" borderId="0" xfId="0" applyFont="1" applyBorder="1" applyAlignment="1" applyProtection="1">
      <alignment horizontal="left" vertical="justify" wrapText="1"/>
      <protection locked="0"/>
    </xf>
    <xf numFmtId="0" fontId="0" fillId="0" borderId="0" xfId="0" applyBorder="1" applyAlignment="1" applyProtection="1">
      <alignment horizontal="centerContinuous"/>
      <protection locked="0"/>
    </xf>
    <xf numFmtId="166" fontId="0" fillId="20" borderId="0" xfId="0" applyNumberFormat="1" applyFill="1" applyBorder="1" applyProtection="1">
      <protection locked="0"/>
    </xf>
    <xf numFmtId="0" fontId="39" fillId="0" borderId="0" xfId="0" applyFont="1" applyBorder="1" applyAlignment="1" applyProtection="1">
      <alignment horizontal="centerContinuous"/>
      <protection locked="0"/>
    </xf>
    <xf numFmtId="0" fontId="29" fillId="19" borderId="0" xfId="0" quotePrefix="1" applyFont="1" applyFill="1" applyBorder="1" applyAlignment="1" applyProtection="1">
      <alignment horizontal="centerContinuous"/>
      <protection locked="0"/>
    </xf>
    <xf numFmtId="0" fontId="29" fillId="20" borderId="0" xfId="0" quotePrefix="1" applyFont="1" applyFill="1" applyBorder="1" applyAlignment="1" applyProtection="1">
      <alignment horizontal="center"/>
      <protection locked="0"/>
    </xf>
    <xf numFmtId="0" fontId="0" fillId="20" borderId="0" xfId="0" applyFill="1" applyBorder="1" applyProtection="1">
      <protection locked="0"/>
    </xf>
    <xf numFmtId="0" fontId="0" fillId="20" borderId="0" xfId="0" applyFill="1" applyProtection="1">
      <protection locked="0"/>
    </xf>
    <xf numFmtId="2" fontId="46" fillId="20" borderId="0" xfId="0" applyNumberFormat="1" applyFont="1" applyFill="1" applyBorder="1" applyAlignment="1" applyProtection="1">
      <alignment horizontal="centerContinuous"/>
      <protection locked="0"/>
    </xf>
    <xf numFmtId="4" fontId="36" fillId="0" borderId="0" xfId="0" quotePrefix="1" applyNumberFormat="1" applyFont="1" applyBorder="1" applyAlignment="1" applyProtection="1">
      <alignment horizontal="left" vertical="justify" wrapText="1"/>
      <protection locked="0"/>
    </xf>
    <xf numFmtId="0" fontId="44" fillId="19" borderId="0" xfId="0" applyFont="1" applyFill="1" applyBorder="1" applyAlignment="1" applyProtection="1">
      <alignment horizontal="right"/>
      <protection locked="0"/>
    </xf>
    <xf numFmtId="0" fontId="44" fillId="19" borderId="0" xfId="0" quotePrefix="1" applyFont="1" applyFill="1" applyBorder="1" applyAlignment="1" applyProtection="1">
      <alignment horizontal="right"/>
      <protection locked="0"/>
    </xf>
    <xf numFmtId="0" fontId="44" fillId="19" borderId="0" xfId="0" quotePrefix="1" applyFont="1" applyFill="1" applyBorder="1" applyAlignment="1" applyProtection="1">
      <alignment horizontal="left"/>
      <protection locked="0"/>
    </xf>
    <xf numFmtId="0" fontId="44" fillId="19" borderId="0" xfId="0" applyFont="1" applyFill="1" applyBorder="1" applyAlignment="1" applyProtection="1">
      <alignment horizontal="center"/>
      <protection locked="0"/>
    </xf>
    <xf numFmtId="0" fontId="33" fillId="19" borderId="0" xfId="0" applyFont="1" applyFill="1" applyBorder="1" applyAlignment="1" applyProtection="1">
      <alignment horizontal="left" vertical="justify" wrapText="1"/>
      <protection locked="0"/>
    </xf>
    <xf numFmtId="0" fontId="32" fillId="0" borderId="12" xfId="0" applyFont="1" applyBorder="1" applyAlignment="1" applyProtection="1">
      <alignment horizontal="center" vertical="center"/>
      <protection locked="0"/>
    </xf>
    <xf numFmtId="0" fontId="33" fillId="21" borderId="0" xfId="0" applyFont="1" applyFill="1" applyBorder="1" applyAlignment="1" applyProtection="1">
      <alignment horizontal="left" vertical="center" wrapText="1"/>
      <protection locked="0"/>
    </xf>
    <xf numFmtId="0" fontId="33" fillId="21" borderId="0" xfId="0" quotePrefix="1" applyFont="1" applyFill="1" applyBorder="1" applyAlignment="1" applyProtection="1">
      <alignment horizontal="left" vertical="center" wrapText="1"/>
      <protection locked="0"/>
    </xf>
    <xf numFmtId="0" fontId="35" fillId="21" borderId="0" xfId="0" applyFont="1" applyFill="1" applyBorder="1" applyProtection="1">
      <protection locked="0"/>
    </xf>
    <xf numFmtId="0" fontId="0" fillId="21" borderId="0" xfId="0" applyFill="1" applyBorder="1" applyProtection="1">
      <protection locked="0"/>
    </xf>
    <xf numFmtId="1" fontId="0" fillId="21" borderId="0" xfId="0" applyNumberFormat="1" applyFill="1" applyBorder="1" applyProtection="1">
      <protection locked="0"/>
    </xf>
    <xf numFmtId="0" fontId="0" fillId="21" borderId="0" xfId="0" applyFill="1" applyAlignment="1" applyProtection="1">
      <alignment vertical="center"/>
      <protection locked="0"/>
    </xf>
    <xf numFmtId="0" fontId="29" fillId="21" borderId="0" xfId="0" applyFont="1" applyFill="1" applyBorder="1" applyAlignment="1" applyProtection="1">
      <alignment horizontal="right" vertical="center"/>
      <protection locked="0"/>
    </xf>
    <xf numFmtId="0" fontId="47" fillId="21" borderId="0" xfId="0" applyFont="1" applyFill="1" applyAlignment="1" applyProtection="1">
      <alignment horizontal="center" vertical="center"/>
      <protection locked="0"/>
    </xf>
    <xf numFmtId="0" fontId="47" fillId="21" borderId="0" xfId="0" applyFont="1" applyFill="1" applyAlignment="1" applyProtection="1">
      <alignment horizontal="left" vertical="center"/>
      <protection locked="0"/>
    </xf>
    <xf numFmtId="0" fontId="35" fillId="19" borderId="0" xfId="0" applyFont="1" applyFill="1" applyBorder="1" applyProtection="1">
      <protection locked="0"/>
    </xf>
    <xf numFmtId="0" fontId="48" fillId="0" borderId="9" xfId="0" applyFont="1" applyBorder="1" applyProtection="1">
      <protection locked="0"/>
    </xf>
    <xf numFmtId="0" fontId="49" fillId="0" borderId="23" xfId="0" applyFont="1" applyBorder="1" applyProtection="1">
      <protection locked="0"/>
    </xf>
    <xf numFmtId="0" fontId="49" fillId="0" borderId="9" xfId="0" applyFont="1" applyBorder="1" applyProtection="1">
      <protection locked="0"/>
    </xf>
    <xf numFmtId="0" fontId="49" fillId="0" borderId="10" xfId="0" applyFont="1" applyBorder="1" applyProtection="1">
      <protection locked="0"/>
    </xf>
    <xf numFmtId="0" fontId="35" fillId="0" borderId="32" xfId="0" applyFont="1" applyBorder="1" applyAlignment="1" applyProtection="1">
      <alignment horizontal="center"/>
      <protection locked="0"/>
    </xf>
    <xf numFmtId="0" fontId="35" fillId="0" borderId="10" xfId="0" quotePrefix="1" applyFont="1" applyBorder="1" applyAlignment="1" applyProtection="1">
      <alignment horizontal="left" vertical="top"/>
      <protection locked="0"/>
    </xf>
    <xf numFmtId="0" fontId="0" fillId="0" borderId="11" xfId="0" applyBorder="1" applyProtection="1">
      <protection locked="0"/>
    </xf>
    <xf numFmtId="0" fontId="35" fillId="0" borderId="10" xfId="0" applyFont="1" applyBorder="1" applyAlignment="1" applyProtection="1">
      <alignment vertical="top"/>
      <protection locked="0"/>
    </xf>
    <xf numFmtId="0" fontId="49" fillId="0" borderId="32" xfId="0" applyFont="1" applyBorder="1" applyAlignment="1" applyProtection="1">
      <alignment horizontal="center" vertical="top"/>
      <protection locked="0"/>
    </xf>
    <xf numFmtId="0" fontId="49" fillId="0" borderId="14" xfId="0" applyFont="1" applyBorder="1" applyProtection="1">
      <protection locked="0"/>
    </xf>
    <xf numFmtId="0" fontId="49" fillId="0" borderId="24" xfId="0" applyFont="1" applyBorder="1" applyProtection="1">
      <protection locked="0"/>
    </xf>
    <xf numFmtId="0" fontId="0" fillId="0" borderId="79" xfId="0" applyBorder="1" applyAlignment="1" applyProtection="1">
      <alignment horizontal="center"/>
      <protection locked="0"/>
    </xf>
    <xf numFmtId="0" fontId="48" fillId="0" borderId="14" xfId="0" applyFont="1" applyBorder="1" applyProtection="1">
      <protection locked="0"/>
    </xf>
    <xf numFmtId="0" fontId="0" fillId="0" borderId="15" xfId="0" applyBorder="1" applyProtection="1">
      <protection locked="0"/>
    </xf>
    <xf numFmtId="0" fontId="49" fillId="0" borderId="14" xfId="0" quotePrefix="1" applyFont="1" applyBorder="1" applyAlignment="1" applyProtection="1">
      <alignment horizontal="left"/>
      <protection locked="0"/>
    </xf>
    <xf numFmtId="0" fontId="49" fillId="0" borderId="15" xfId="0" quotePrefix="1" applyFont="1" applyBorder="1" applyAlignment="1" applyProtection="1">
      <alignment horizontal="left"/>
      <protection locked="0"/>
    </xf>
    <xf numFmtId="0" fontId="0" fillId="0" borderId="80" xfId="0" applyBorder="1" applyAlignment="1" applyProtection="1">
      <alignment horizontal="center"/>
      <protection locked="0"/>
    </xf>
    <xf numFmtId="0" fontId="50" fillId="0" borderId="15" xfId="0" quotePrefix="1" applyFont="1" applyBorder="1" applyAlignment="1" applyProtection="1">
      <alignment horizontal="left" vertical="top"/>
      <protection locked="0"/>
    </xf>
    <xf numFmtId="0" fontId="0" fillId="0" borderId="16" xfId="0" applyBorder="1" applyProtection="1">
      <protection locked="0"/>
    </xf>
    <xf numFmtId="0" fontId="0" fillId="0" borderId="80" xfId="0" applyBorder="1" applyProtection="1">
      <protection locked="0"/>
    </xf>
    <xf numFmtId="0" fontId="35" fillId="0" borderId="0" xfId="0" applyFont="1" applyBorder="1" applyProtection="1"/>
    <xf numFmtId="0" fontId="51" fillId="0" borderId="0" xfId="0" applyFont="1"/>
    <xf numFmtId="0" fontId="52" fillId="0" borderId="0" xfId="0" quotePrefix="1" applyFont="1" applyBorder="1" applyAlignment="1" applyProtection="1">
      <alignment horizontal="left" vertical="justify"/>
      <protection locked="0"/>
    </xf>
    <xf numFmtId="0" fontId="0" fillId="0" borderId="0" xfId="0"/>
    <xf numFmtId="164" fontId="0" fillId="0" borderId="34" xfId="0" applyNumberFormat="1" applyBorder="1"/>
    <xf numFmtId="164" fontId="0" fillId="9" borderId="1" xfId="0" applyNumberFormat="1" applyFill="1" applyBorder="1"/>
    <xf numFmtId="164" fontId="54" fillId="0" borderId="0" xfId="0" applyNumberFormat="1" applyFont="1"/>
    <xf numFmtId="0" fontId="54" fillId="0" borderId="0" xfId="0" applyFont="1"/>
    <xf numFmtId="0" fontId="54" fillId="0" borderId="0" xfId="0" applyFont="1" applyAlignment="1">
      <alignment horizontal="center" vertical="center"/>
    </xf>
    <xf numFmtId="0" fontId="54" fillId="0" borderId="0" xfId="0" quotePrefix="1" applyFont="1" applyAlignment="1">
      <alignment horizontal="center" vertical="center"/>
    </xf>
    <xf numFmtId="0" fontId="55" fillId="22" borderId="87" xfId="0" applyFont="1" applyFill="1" applyBorder="1"/>
    <xf numFmtId="0" fontId="55" fillId="16" borderId="85" xfId="0" applyFont="1" applyFill="1" applyBorder="1"/>
    <xf numFmtId="0" fontId="55" fillId="22" borderId="85" xfId="0" applyFont="1" applyFill="1" applyBorder="1"/>
    <xf numFmtId="0" fontId="55" fillId="16" borderId="86" xfId="0" applyFont="1" applyFill="1" applyBorder="1"/>
    <xf numFmtId="0" fontId="54" fillId="0" borderId="0" xfId="0" quotePrefix="1" applyFont="1"/>
    <xf numFmtId="2" fontId="0" fillId="0" borderId="0" xfId="0" applyNumberFormat="1"/>
    <xf numFmtId="0" fontId="7" fillId="0" borderId="0" xfId="0" applyFont="1"/>
    <xf numFmtId="0" fontId="7" fillId="0" borderId="0" xfId="0" applyFont="1" applyAlignment="1">
      <alignment horizontal="center" vertical="center"/>
    </xf>
    <xf numFmtId="0" fontId="7" fillId="0" borderId="0" xfId="0" applyFont="1" applyAlignment="1">
      <alignment horizontal="center" wrapText="1"/>
    </xf>
    <xf numFmtId="0" fontId="7" fillId="0" borderId="1" xfId="0" applyFont="1" applyBorder="1"/>
    <xf numFmtId="0" fontId="59" fillId="16" borderId="5" xfId="0" applyFont="1" applyFill="1" applyBorder="1" applyAlignment="1">
      <alignment horizontal="center" vertical="center"/>
    </xf>
    <xf numFmtId="0" fontId="59" fillId="0" borderId="17" xfId="0" applyFont="1" applyBorder="1" applyAlignment="1">
      <alignment horizontal="center" vertical="center"/>
    </xf>
    <xf numFmtId="0" fontId="59" fillId="0" borderId="5" xfId="0" applyFont="1" applyBorder="1" applyAlignment="1">
      <alignment horizontal="center" vertical="center"/>
    </xf>
    <xf numFmtId="0" fontId="59" fillId="0" borderId="1" xfId="0" applyFont="1" applyBorder="1" applyAlignment="1">
      <alignment horizontal="center"/>
    </xf>
    <xf numFmtId="0" fontId="59" fillId="0" borderId="1" xfId="0" applyFont="1" applyBorder="1"/>
    <xf numFmtId="0" fontId="59" fillId="16" borderId="17" xfId="0" applyFont="1" applyFill="1" applyBorder="1" applyAlignment="1">
      <alignment horizontal="center" vertical="center"/>
    </xf>
    <xf numFmtId="0" fontId="59" fillId="16" borderId="1" xfId="0" applyFont="1" applyFill="1" applyBorder="1" applyAlignment="1">
      <alignment horizontal="center" vertical="center"/>
    </xf>
    <xf numFmtId="0" fontId="59" fillId="0" borderId="1" xfId="0" applyFont="1" applyBorder="1" applyAlignment="1">
      <alignment horizontal="center" vertical="center"/>
    </xf>
    <xf numFmtId="0" fontId="60" fillId="0" borderId="1" xfId="0" applyFont="1" applyBorder="1"/>
    <xf numFmtId="0" fontId="59" fillId="0" borderId="0" xfId="0" applyFont="1" applyBorder="1"/>
    <xf numFmtId="0" fontId="59" fillId="0" borderId="22" xfId="0" applyFont="1" applyBorder="1" applyAlignment="1">
      <alignment horizontal="center" vertical="center"/>
    </xf>
    <xf numFmtId="0" fontId="59" fillId="16" borderId="22" xfId="0" applyFont="1" applyFill="1" applyBorder="1" applyAlignment="1">
      <alignment horizontal="center" vertical="center"/>
    </xf>
    <xf numFmtId="0" fontId="59" fillId="16" borderId="77" xfId="0" applyFont="1" applyFill="1" applyBorder="1" applyAlignment="1">
      <alignment horizontal="center" vertical="center"/>
    </xf>
    <xf numFmtId="0" fontId="59" fillId="16" borderId="34" xfId="0" applyFont="1" applyFill="1" applyBorder="1" applyAlignment="1">
      <alignment horizontal="center" vertical="center"/>
    </xf>
    <xf numFmtId="0" fontId="59" fillId="0" borderId="52" xfId="0" applyFont="1" applyBorder="1" applyAlignment="1">
      <alignment horizontal="center" vertical="center"/>
    </xf>
    <xf numFmtId="0" fontId="59" fillId="16" borderId="52" xfId="0" applyFont="1" applyFill="1" applyBorder="1" applyAlignment="1">
      <alignment horizontal="center" vertical="center"/>
    </xf>
    <xf numFmtId="0" fontId="59" fillId="16" borderId="12" xfId="0" applyFont="1" applyFill="1" applyBorder="1" applyAlignment="1">
      <alignment horizontal="center" vertical="center"/>
    </xf>
    <xf numFmtId="0" fontId="59" fillId="16" borderId="78" xfId="0" applyFont="1" applyFill="1" applyBorder="1" applyAlignment="1">
      <alignment horizontal="center" vertical="center"/>
    </xf>
    <xf numFmtId="0" fontId="59" fillId="16" borderId="27" xfId="0" applyFont="1" applyFill="1" applyBorder="1" applyAlignment="1">
      <alignment horizontal="center" vertical="center"/>
    </xf>
    <xf numFmtId="0" fontId="57" fillId="0" borderId="0" xfId="0" applyFont="1" applyBorder="1" applyAlignment="1">
      <alignment horizontal="center" vertical="center" wrapText="1"/>
    </xf>
    <xf numFmtId="3" fontId="57" fillId="0" borderId="0" xfId="0" applyNumberFormat="1" applyFont="1" applyBorder="1" applyAlignment="1">
      <alignment horizontal="center" vertical="center" wrapText="1"/>
    </xf>
    <xf numFmtId="0" fontId="57" fillId="23" borderId="0" xfId="0" applyFont="1" applyFill="1" applyBorder="1" applyAlignment="1">
      <alignment horizontal="center" vertical="center" wrapText="1"/>
    </xf>
    <xf numFmtId="0" fontId="57" fillId="23" borderId="0" xfId="0" applyFont="1" applyFill="1" applyBorder="1" applyAlignment="1">
      <alignment horizontal="left" vertical="center" wrapText="1"/>
    </xf>
    <xf numFmtId="0" fontId="57" fillId="0" borderId="0" xfId="0" applyFont="1" applyBorder="1" applyAlignment="1">
      <alignment horizontal="left" vertical="center" wrapText="1"/>
    </xf>
    <xf numFmtId="0" fontId="57" fillId="0" borderId="0" xfId="0" applyFont="1" applyBorder="1" applyAlignment="1">
      <alignment horizontal="justify" vertical="center" wrapText="1"/>
    </xf>
    <xf numFmtId="0" fontId="57" fillId="23" borderId="0" xfId="0" applyFont="1" applyFill="1" applyBorder="1" applyAlignment="1">
      <alignment horizontal="justify" vertical="center" wrapText="1"/>
    </xf>
    <xf numFmtId="3" fontId="57" fillId="23" borderId="0" xfId="0" applyNumberFormat="1" applyFont="1" applyFill="1" applyBorder="1" applyAlignment="1">
      <alignment horizontal="center" vertical="center" wrapText="1"/>
    </xf>
    <xf numFmtId="0" fontId="0" fillId="0" borderId="0" xfId="0" applyAlignment="1"/>
    <xf numFmtId="0" fontId="61" fillId="0" borderId="0" xfId="0" applyFont="1"/>
    <xf numFmtId="0" fontId="22" fillId="17" borderId="64" xfId="0" applyFont="1" applyFill="1" applyBorder="1" applyAlignment="1">
      <alignment horizontal="center" vertical="top" wrapText="1"/>
    </xf>
    <xf numFmtId="0" fontId="21" fillId="17" borderId="64" xfId="0" applyFont="1" applyFill="1" applyBorder="1" applyAlignment="1">
      <alignment horizontal="center" vertical="top" wrapText="1"/>
    </xf>
    <xf numFmtId="0" fontId="21" fillId="17" borderId="64" xfId="0" applyFont="1" applyFill="1" applyBorder="1" applyAlignment="1">
      <alignment vertical="top" wrapText="1" indent="1"/>
    </xf>
    <xf numFmtId="0" fontId="22" fillId="0" borderId="64" xfId="0" applyFont="1" applyBorder="1" applyAlignment="1">
      <alignment horizontal="center" vertical="top" wrapText="1"/>
    </xf>
    <xf numFmtId="0" fontId="22" fillId="0" borderId="65" xfId="0" applyFont="1" applyBorder="1" applyAlignment="1">
      <alignment horizontal="center" vertical="top" wrapText="1"/>
    </xf>
    <xf numFmtId="0" fontId="21" fillId="0" borderId="64" xfId="0" applyFont="1" applyBorder="1" applyAlignment="1">
      <alignment vertical="top" wrapText="1" indent="1"/>
    </xf>
    <xf numFmtId="0" fontId="21" fillId="0" borderId="64" xfId="0" applyFont="1" applyBorder="1" applyAlignment="1">
      <alignment horizontal="center" vertical="top" wrapText="1"/>
    </xf>
    <xf numFmtId="0" fontId="21" fillId="17" borderId="67" xfId="0" applyFont="1" applyFill="1" applyBorder="1" applyAlignment="1">
      <alignment horizontal="left" vertical="top" wrapText="1" indent="1"/>
    </xf>
    <xf numFmtId="0" fontId="21" fillId="0" borderId="67" xfId="0" applyFont="1" applyBorder="1" applyAlignment="1">
      <alignment horizontal="left" vertical="top" wrapText="1" indent="1"/>
    </xf>
    <xf numFmtId="0" fontId="21" fillId="0" borderId="95" xfId="0" applyFont="1" applyBorder="1" applyAlignment="1">
      <alignment horizontal="left" vertical="top" wrapText="1" indent="1"/>
    </xf>
    <xf numFmtId="0" fontId="21" fillId="17" borderId="95" xfId="0" applyFont="1" applyFill="1" applyBorder="1" applyAlignment="1">
      <alignment horizontal="left" vertical="top" wrapText="1" indent="1"/>
    </xf>
    <xf numFmtId="0" fontId="21" fillId="17" borderId="66" xfId="0" applyFont="1" applyFill="1" applyBorder="1" applyAlignment="1">
      <alignment vertical="top" wrapText="1" indent="1"/>
    </xf>
    <xf numFmtId="0" fontId="21" fillId="0" borderId="66" xfId="0" applyFont="1" applyBorder="1" applyAlignment="1">
      <alignment vertical="top" wrapText="1" indent="1"/>
    </xf>
    <xf numFmtId="0" fontId="21" fillId="0" borderId="94" xfId="0" applyFont="1" applyBorder="1" applyAlignment="1">
      <alignment vertical="top" wrapText="1" indent="1"/>
    </xf>
    <xf numFmtId="0" fontId="21" fillId="17" borderId="94" xfId="0" applyFont="1" applyFill="1" applyBorder="1" applyAlignment="1">
      <alignment vertical="top" wrapText="1" indent="1"/>
    </xf>
    <xf numFmtId="0" fontId="22" fillId="0" borderId="96" xfId="0" applyFont="1" applyBorder="1" applyAlignment="1">
      <alignment horizontal="center" vertical="top" wrapText="1"/>
    </xf>
    <xf numFmtId="0" fontId="22" fillId="0" borderId="97" xfId="0" applyFont="1" applyBorder="1" applyAlignment="1">
      <alignment horizontal="center" vertical="top" wrapText="1"/>
    </xf>
    <xf numFmtId="0" fontId="0" fillId="3" borderId="0" xfId="0" applyFill="1" applyBorder="1" applyAlignment="1">
      <alignment horizontal="center" vertical="center" wrapText="1"/>
    </xf>
    <xf numFmtId="164" fontId="0" fillId="3" borderId="0" xfId="0" applyNumberFormat="1" applyFill="1" applyBorder="1" applyAlignment="1">
      <alignment horizontal="center" vertical="center" wrapText="1"/>
    </xf>
    <xf numFmtId="0" fontId="0" fillId="5" borderId="9" xfId="0" applyFill="1" applyBorder="1"/>
    <xf numFmtId="0" fontId="0" fillId="5" borderId="34" xfId="0" applyFill="1" applyBorder="1" applyAlignment="1">
      <alignment vertical="center"/>
    </xf>
    <xf numFmtId="0" fontId="0" fillId="5" borderId="35" xfId="0" applyFill="1" applyBorder="1" applyAlignment="1">
      <alignment vertical="center"/>
    </xf>
    <xf numFmtId="0" fontId="0" fillId="15" borderId="1" xfId="0" applyFill="1" applyBorder="1" applyAlignment="1">
      <alignment horizontal="center"/>
    </xf>
    <xf numFmtId="0" fontId="0" fillId="15" borderId="0" xfId="0" applyFill="1" applyBorder="1"/>
    <xf numFmtId="0" fontId="0" fillId="15" borderId="1" xfId="0" applyFill="1" applyBorder="1" applyAlignment="1">
      <alignment vertical="center"/>
    </xf>
    <xf numFmtId="0" fontId="0" fillId="15" borderId="1" xfId="0" applyFill="1" applyBorder="1" applyAlignment="1">
      <alignment horizontal="center" vertical="center"/>
    </xf>
    <xf numFmtId="0" fontId="0" fillId="15" borderId="0" xfId="0" applyFill="1" applyBorder="1" applyAlignment="1">
      <alignment vertical="center"/>
    </xf>
    <xf numFmtId="0" fontId="0" fillId="15" borderId="0" xfId="0" applyFill="1" applyBorder="1" applyAlignment="1">
      <alignment horizontal="center" vertical="center"/>
    </xf>
    <xf numFmtId="0" fontId="0" fillId="15" borderId="0" xfId="0" applyFill="1" applyBorder="1" applyAlignment="1"/>
    <xf numFmtId="0" fontId="0" fillId="15" borderId="1" xfId="0" applyFill="1" applyBorder="1" applyAlignment="1">
      <alignment horizontal="center" vertical="center"/>
    </xf>
    <xf numFmtId="0" fontId="0" fillId="15" borderId="0" xfId="0" applyFill="1" applyBorder="1" applyAlignment="1">
      <alignment horizontal="left"/>
    </xf>
    <xf numFmtId="0" fontId="0" fillId="15" borderId="0" xfId="0" applyFill="1" applyAlignment="1"/>
    <xf numFmtId="0" fontId="0" fillId="15" borderId="0" xfId="0" applyFill="1" applyAlignment="1">
      <alignment horizontal="center"/>
    </xf>
    <xf numFmtId="0" fontId="0" fillId="0" borderId="1" xfId="0" applyBorder="1" applyAlignment="1">
      <alignment horizontal="left"/>
    </xf>
    <xf numFmtId="0" fontId="0" fillId="0" borderId="1" xfId="0" applyFill="1" applyBorder="1" applyAlignment="1">
      <alignment horizontal="left"/>
    </xf>
    <xf numFmtId="0" fontId="0" fillId="0" borderId="1" xfId="0" applyFill="1" applyBorder="1" applyAlignment="1">
      <alignment horizontal="center" vertical="center"/>
    </xf>
    <xf numFmtId="0" fontId="0" fillId="0" borderId="1" xfId="0" applyBorder="1" applyAlignment="1">
      <alignment horizontal="left" vertical="center"/>
    </xf>
    <xf numFmtId="0" fontId="0" fillId="8" borderId="1" xfId="0" applyNumberFormat="1" applyFill="1" applyBorder="1" applyAlignment="1">
      <alignment horizontal="center"/>
    </xf>
    <xf numFmtId="16" fontId="0" fillId="15" borderId="1" xfId="0" applyNumberFormat="1" applyFill="1" applyBorder="1" applyAlignment="1">
      <alignment horizontal="center"/>
    </xf>
    <xf numFmtId="0" fontId="0" fillId="15" borderId="34" xfId="0" applyFill="1" applyBorder="1" applyAlignment="1">
      <alignment horizontal="center" vertical="center"/>
    </xf>
    <xf numFmtId="0" fontId="0" fillId="5" borderId="1" xfId="0"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0" fillId="15" borderId="1" xfId="0" applyFill="1" applyBorder="1" applyAlignment="1">
      <alignment horizontal="center" vertical="center"/>
    </xf>
    <xf numFmtId="0" fontId="0" fillId="15" borderId="20" xfId="0" applyFill="1" applyBorder="1" applyAlignment="1">
      <alignment horizontal="center" vertical="center"/>
    </xf>
    <xf numFmtId="0" fontId="0" fillId="15" borderId="22" xfId="0" applyFill="1" applyBorder="1" applyAlignment="1">
      <alignment horizontal="center" vertical="center"/>
    </xf>
    <xf numFmtId="0" fontId="0" fillId="5" borderId="1" xfId="0" applyFill="1" applyBorder="1" applyAlignment="1">
      <alignment horizontal="center"/>
    </xf>
    <xf numFmtId="0" fontId="0" fillId="5" borderId="0" xfId="0" applyFill="1"/>
    <xf numFmtId="0" fontId="0" fillId="15" borderId="1" xfId="0" applyFill="1" applyBorder="1" applyAlignment="1">
      <alignment horizontal="center"/>
    </xf>
    <xf numFmtId="0" fontId="0" fillId="15" borderId="34" xfId="0" applyFill="1" applyBorder="1" applyAlignment="1">
      <alignment horizontal="center" vertical="center" wrapText="1"/>
    </xf>
    <xf numFmtId="0" fontId="0" fillId="15" borderId="27" xfId="0" applyFill="1" applyBorder="1" applyAlignment="1">
      <alignment horizontal="center"/>
    </xf>
    <xf numFmtId="0" fontId="0" fillId="15" borderId="34" xfId="0" applyFill="1" applyBorder="1" applyAlignment="1">
      <alignment horizontal="center"/>
    </xf>
    <xf numFmtId="0" fontId="0" fillId="15" borderId="22" xfId="0" applyFill="1" applyBorder="1" applyAlignment="1">
      <alignment vertical="center"/>
    </xf>
    <xf numFmtId="0" fontId="0" fillId="0" borderId="1" xfId="0" applyFont="1" applyBorder="1" applyAlignment="1">
      <alignment horizontal="center" vertical="center"/>
    </xf>
    <xf numFmtId="0" fontId="0" fillId="5" borderId="22" xfId="0" applyFill="1" applyBorder="1" applyAlignment="1">
      <alignment horizontal="center"/>
    </xf>
    <xf numFmtId="0" fontId="0" fillId="5" borderId="20" xfId="0" applyFill="1" applyBorder="1" applyAlignment="1">
      <alignment horizontal="center"/>
    </xf>
    <xf numFmtId="0" fontId="0" fillId="5" borderId="77" xfId="0" applyFill="1" applyBorder="1"/>
    <xf numFmtId="0" fontId="0" fillId="5" borderId="34" xfId="0" applyFill="1" applyBorder="1"/>
    <xf numFmtId="0" fontId="0" fillId="5" borderId="34" xfId="0" applyFill="1" applyBorder="1" applyAlignment="1">
      <alignment horizontal="center" vertical="center"/>
    </xf>
    <xf numFmtId="0" fontId="0" fillId="5" borderId="69" xfId="0" applyFill="1" applyBorder="1"/>
    <xf numFmtId="0" fontId="0" fillId="0" borderId="39" xfId="0" applyBorder="1"/>
    <xf numFmtId="0" fontId="0" fillId="15" borderId="22" xfId="0" applyFill="1" applyBorder="1"/>
    <xf numFmtId="0" fontId="0" fillId="15" borderId="20" xfId="0" applyFill="1" applyBorder="1" applyAlignment="1">
      <alignment horizontal="center"/>
    </xf>
    <xf numFmtId="0" fontId="0" fillId="15" borderId="77" xfId="0" applyFill="1" applyBorder="1"/>
    <xf numFmtId="0" fontId="0" fillId="15" borderId="69" xfId="0" applyFill="1" applyBorder="1" applyAlignment="1">
      <alignment horizontal="center"/>
    </xf>
    <xf numFmtId="0" fontId="0" fillId="15" borderId="78" xfId="0" applyFill="1" applyBorder="1"/>
    <xf numFmtId="0" fontId="0" fillId="15" borderId="39" xfId="0" applyFill="1" applyBorder="1" applyAlignment="1">
      <alignment horizontal="center"/>
    </xf>
    <xf numFmtId="0" fontId="0" fillId="15" borderId="77" xfId="0" applyFill="1" applyBorder="1" applyAlignment="1">
      <alignment horizontal="center" vertical="center"/>
    </xf>
    <xf numFmtId="0" fontId="0" fillId="15" borderId="27" xfId="0" applyFill="1" applyBorder="1" applyAlignment="1">
      <alignment horizontal="center" vertical="center"/>
    </xf>
    <xf numFmtId="0" fontId="0" fillId="15" borderId="39" xfId="0" applyFill="1" applyBorder="1" applyAlignment="1">
      <alignment horizontal="center" vertical="center"/>
    </xf>
    <xf numFmtId="0" fontId="0" fillId="15" borderId="22" xfId="0" applyFill="1" applyBorder="1" applyAlignment="1"/>
    <xf numFmtId="0" fontId="0" fillId="15" borderId="77" xfId="0" applyFill="1" applyBorder="1" applyAlignment="1">
      <alignment vertical="center"/>
    </xf>
    <xf numFmtId="0" fontId="0" fillId="15" borderId="69" xfId="0" applyFill="1" applyBorder="1" applyAlignment="1">
      <alignment horizontal="center" vertical="center"/>
    </xf>
    <xf numFmtId="0" fontId="0" fillId="15" borderId="78" xfId="0" applyFill="1" applyBorder="1" applyAlignment="1"/>
    <xf numFmtId="164" fontId="0" fillId="15" borderId="20" xfId="0" applyNumberFormat="1" applyFill="1" applyBorder="1" applyAlignment="1">
      <alignment horizontal="center" vertical="center"/>
    </xf>
    <xf numFmtId="0" fontId="0" fillId="15" borderId="78" xfId="0" applyFill="1" applyBorder="1" applyAlignment="1">
      <alignment horizontal="center" vertical="center"/>
    </xf>
    <xf numFmtId="0" fontId="0" fillId="15" borderId="30" xfId="0" applyFill="1" applyBorder="1" applyAlignment="1">
      <alignment vertical="center"/>
    </xf>
    <xf numFmtId="0" fontId="0" fillId="15" borderId="22" xfId="0" applyFill="1" applyBorder="1" applyAlignment="1">
      <alignment horizontal="left" vertical="center"/>
    </xf>
    <xf numFmtId="0" fontId="0" fillId="15" borderId="69" xfId="0" applyFill="1" applyBorder="1" applyAlignment="1">
      <alignment horizontal="center" vertical="center" wrapText="1"/>
    </xf>
    <xf numFmtId="0" fontId="0" fillId="15" borderId="78" xfId="0" applyFill="1" applyBorder="1" applyAlignment="1">
      <alignment horizontal="left" vertical="center"/>
    </xf>
    <xf numFmtId="0" fontId="0" fillId="15" borderId="98" xfId="0" applyFill="1" applyBorder="1" applyAlignment="1">
      <alignment horizontal="center" vertical="center"/>
    </xf>
    <xf numFmtId="0" fontId="0" fillId="15" borderId="70" xfId="0" applyFill="1" applyBorder="1" applyAlignment="1">
      <alignment horizontal="center" vertical="center" wrapText="1"/>
    </xf>
    <xf numFmtId="0" fontId="0" fillId="15" borderId="45" xfId="0" applyFill="1" applyBorder="1" applyAlignment="1">
      <alignment horizontal="center" vertical="center"/>
    </xf>
    <xf numFmtId="0" fontId="7" fillId="0" borderId="0" xfId="0" applyFont="1" applyAlignment="1">
      <alignment wrapText="1"/>
    </xf>
    <xf numFmtId="0" fontId="11" fillId="10" borderId="99" xfId="0" applyFont="1" applyFill="1" applyBorder="1" applyAlignment="1">
      <alignment horizontal="center" vertical="top"/>
    </xf>
    <xf numFmtId="0" fontId="11" fillId="10" borderId="100" xfId="0" applyFont="1" applyFill="1" applyBorder="1" applyAlignment="1">
      <alignment horizontal="center" vertical="top" wrapText="1"/>
    </xf>
    <xf numFmtId="0" fontId="11" fillId="10" borderId="101" xfId="0" applyFont="1" applyFill="1" applyBorder="1" applyAlignment="1">
      <alignment horizontal="center" vertical="top"/>
    </xf>
    <xf numFmtId="0" fontId="11" fillId="10" borderId="102" xfId="0" applyFont="1" applyFill="1" applyBorder="1" applyAlignment="1">
      <alignment horizontal="center" vertical="top"/>
    </xf>
    <xf numFmtId="0" fontId="11" fillId="10" borderId="103" xfId="0" applyFont="1" applyFill="1" applyBorder="1" applyAlignment="1">
      <alignment horizontal="center" vertical="top" wrapText="1"/>
    </xf>
    <xf numFmtId="0" fontId="11" fillId="10" borderId="99" xfId="0" applyFont="1" applyFill="1" applyBorder="1" applyAlignment="1">
      <alignment horizontal="center" vertical="top" wrapText="1"/>
    </xf>
    <xf numFmtId="0" fontId="11" fillId="10" borderId="105" xfId="0" applyFont="1" applyFill="1" applyBorder="1" applyAlignment="1">
      <alignment horizontal="center" vertical="top" wrapText="1"/>
    </xf>
    <xf numFmtId="0" fontId="11" fillId="10" borderId="104" xfId="0" applyFont="1" applyFill="1" applyBorder="1" applyAlignment="1">
      <alignment horizontal="center" vertical="top" wrapText="1"/>
    </xf>
    <xf numFmtId="0" fontId="10" fillId="10" borderId="106" xfId="0" applyFont="1" applyFill="1" applyBorder="1" applyAlignment="1">
      <alignment horizontal="center" vertical="center" wrapText="1"/>
    </xf>
    <xf numFmtId="0" fontId="9" fillId="10" borderId="106" xfId="0" applyFont="1" applyFill="1" applyBorder="1" applyAlignment="1">
      <alignment horizontal="center" vertical="center" wrapText="1"/>
    </xf>
    <xf numFmtId="0" fontId="11" fillId="10" borderId="109" xfId="0" applyFont="1" applyFill="1" applyBorder="1" applyAlignment="1">
      <alignment horizontal="center" vertical="top" wrapText="1"/>
    </xf>
    <xf numFmtId="0" fontId="11" fillId="10" borderId="102" xfId="0" applyFont="1" applyFill="1" applyBorder="1" applyAlignment="1">
      <alignment horizontal="center" vertical="top" wrapText="1"/>
    </xf>
    <xf numFmtId="0" fontId="0" fillId="8" borderId="77" xfId="0" applyFill="1" applyBorder="1" applyAlignment="1">
      <alignment horizontal="left" vertical="center" wrapText="1"/>
    </xf>
    <xf numFmtId="0" fontId="0" fillId="8" borderId="22" xfId="0" applyFill="1" applyBorder="1" applyAlignment="1">
      <alignment horizontal="left" vertical="center" wrapText="1"/>
    </xf>
    <xf numFmtId="0" fontId="0" fillId="8" borderId="69" xfId="0" applyFill="1" applyBorder="1" applyAlignment="1">
      <alignment horizontal="center" vertical="center" wrapText="1"/>
    </xf>
    <xf numFmtId="1" fontId="0" fillId="8" borderId="20" xfId="0" applyNumberFormat="1" applyFill="1" applyBorder="1" applyAlignment="1">
      <alignment horizontal="center" vertical="center" wrapText="1"/>
    </xf>
    <xf numFmtId="0" fontId="2" fillId="8" borderId="84" xfId="0" applyFont="1" applyFill="1" applyBorder="1" applyAlignment="1">
      <alignment wrapText="1"/>
    </xf>
    <xf numFmtId="0" fontId="0" fillId="8" borderId="78" xfId="0" applyFill="1" applyBorder="1" applyAlignment="1">
      <alignment horizontal="left" vertical="center" wrapText="1"/>
    </xf>
    <xf numFmtId="0" fontId="0" fillId="8" borderId="27" xfId="0" applyFill="1" applyBorder="1" applyAlignment="1">
      <alignment horizontal="center" vertical="center" wrapText="1"/>
    </xf>
    <xf numFmtId="1" fontId="0" fillId="8" borderId="39" xfId="0" applyNumberFormat="1" applyFill="1" applyBorder="1" applyAlignment="1">
      <alignment horizontal="center" vertical="center" wrapText="1"/>
    </xf>
    <xf numFmtId="0" fontId="0" fillId="3" borderId="22" xfId="0" applyFill="1" applyBorder="1"/>
    <xf numFmtId="164" fontId="0" fillId="3" borderId="20" xfId="0" applyNumberFormat="1" applyFill="1" applyBorder="1" applyAlignment="1">
      <alignment horizontal="center" vertical="center" wrapText="1"/>
    </xf>
    <xf numFmtId="0" fontId="0" fillId="3" borderId="77" xfId="0" applyFill="1" applyBorder="1"/>
    <xf numFmtId="0" fontId="0" fillId="3" borderId="34" xfId="0" applyFill="1" applyBorder="1" applyAlignment="1">
      <alignment horizontal="center" vertical="center" wrapText="1"/>
    </xf>
    <xf numFmtId="0" fontId="0" fillId="3" borderId="69" xfId="0" applyFill="1" applyBorder="1" applyAlignment="1">
      <alignment horizontal="center" vertical="center" wrapText="1"/>
    </xf>
    <xf numFmtId="0" fontId="0" fillId="3" borderId="78" xfId="0" applyFill="1" applyBorder="1"/>
    <xf numFmtId="0" fontId="0" fillId="3" borderId="27" xfId="0" applyFill="1" applyBorder="1" applyAlignment="1">
      <alignment horizontal="center" vertical="center" wrapText="1"/>
    </xf>
    <xf numFmtId="164" fontId="0" fillId="3" borderId="39" xfId="0" applyNumberFormat="1" applyFill="1" applyBorder="1" applyAlignment="1">
      <alignment horizontal="center" vertical="center" wrapText="1"/>
    </xf>
    <xf numFmtId="0" fontId="0" fillId="0" borderId="34" xfId="0" applyBorder="1" applyAlignment="1">
      <alignment vertical="center" wrapText="1"/>
    </xf>
    <xf numFmtId="0" fontId="0" fillId="0" borderId="34" xfId="0" applyBorder="1" applyAlignment="1">
      <alignment horizontal="center"/>
    </xf>
    <xf numFmtId="0" fontId="0" fillId="0" borderId="0" xfId="0" applyBorder="1" applyAlignment="1">
      <alignment vertical="center" wrapText="1"/>
    </xf>
    <xf numFmtId="0" fontId="0" fillId="0" borderId="0" xfId="0" applyBorder="1" applyAlignment="1">
      <alignment vertical="center"/>
    </xf>
    <xf numFmtId="0" fontId="0" fillId="0" borderId="77" xfId="0" applyBorder="1" applyAlignment="1">
      <alignment vertical="center" wrapText="1"/>
    </xf>
    <xf numFmtId="0" fontId="0" fillId="0" borderId="22" xfId="0" applyBorder="1" applyAlignment="1">
      <alignment horizontal="left"/>
    </xf>
    <xf numFmtId="0" fontId="0" fillId="0" borderId="22" xfId="0" applyFill="1" applyBorder="1" applyAlignment="1">
      <alignment horizontal="left"/>
    </xf>
    <xf numFmtId="0" fontId="0" fillId="0" borderId="22" xfId="0" applyBorder="1"/>
    <xf numFmtId="0" fontId="0" fillId="0" borderId="69" xfId="0" applyBorder="1" applyAlignment="1">
      <alignment vertical="center" wrapText="1"/>
    </xf>
    <xf numFmtId="0" fontId="0" fillId="0" borderId="20" xfId="0" applyBorder="1" applyAlignment="1">
      <alignment horizontal="center"/>
    </xf>
    <xf numFmtId="0" fontId="0" fillId="0" borderId="20" xfId="0" applyBorder="1" applyAlignment="1">
      <alignment horizontal="center" vertical="center"/>
    </xf>
    <xf numFmtId="0" fontId="0" fillId="0" borderId="20" xfId="0" applyFill="1" applyBorder="1" applyAlignment="1">
      <alignment horizontal="center" vertical="center"/>
    </xf>
    <xf numFmtId="0" fontId="0" fillId="0" borderId="20" xfId="0" applyBorder="1"/>
    <xf numFmtId="0" fontId="0" fillId="0" borderId="78" xfId="0" applyFill="1" applyBorder="1" applyAlignment="1">
      <alignment horizontal="left"/>
    </xf>
    <xf numFmtId="0" fontId="0" fillId="0" borderId="27" xfId="0" applyFill="1" applyBorder="1" applyAlignment="1">
      <alignment horizontal="center" vertical="center"/>
    </xf>
    <xf numFmtId="0" fontId="0" fillId="9" borderId="0" xfId="0" applyFill="1" applyBorder="1" applyAlignment="1">
      <alignment vertical="center" textRotation="90" wrapText="1"/>
    </xf>
    <xf numFmtId="0" fontId="0" fillId="9" borderId="0" xfId="0" applyFill="1" applyBorder="1"/>
    <xf numFmtId="0" fontId="0" fillId="8" borderId="22" xfId="0" applyFill="1" applyBorder="1"/>
    <xf numFmtId="0" fontId="0" fillId="8" borderId="20" xfId="0" applyFill="1" applyBorder="1"/>
    <xf numFmtId="0" fontId="0" fillId="8" borderId="77" xfId="0" applyFill="1" applyBorder="1"/>
    <xf numFmtId="0" fontId="0" fillId="8" borderId="34" xfId="0" applyFill="1" applyBorder="1" applyAlignment="1">
      <alignment vertical="center" wrapText="1"/>
    </xf>
    <xf numFmtId="0" fontId="0" fillId="8" borderId="69" xfId="0" applyFill="1" applyBorder="1" applyAlignment="1">
      <alignment horizontal="center" wrapText="1"/>
    </xf>
    <xf numFmtId="0" fontId="0" fillId="8" borderId="78" xfId="0" applyFill="1" applyBorder="1"/>
    <xf numFmtId="0" fontId="0" fillId="8" borderId="27" xfId="0" applyFill="1" applyBorder="1" applyAlignment="1">
      <alignment horizontal="center" vertical="center"/>
    </xf>
    <xf numFmtId="0" fontId="0" fillId="8" borderId="27" xfId="0" applyFill="1" applyBorder="1" applyAlignment="1">
      <alignment horizontal="center"/>
    </xf>
    <xf numFmtId="0" fontId="0" fillId="8" borderId="39" xfId="0" applyFill="1" applyBorder="1"/>
    <xf numFmtId="0" fontId="0" fillId="8" borderId="22" xfId="0" applyNumberFormat="1" applyFill="1" applyBorder="1"/>
    <xf numFmtId="0" fontId="0" fillId="8" borderId="20" xfId="0" applyNumberFormat="1" applyFill="1" applyBorder="1" applyAlignment="1">
      <alignment horizontal="center"/>
    </xf>
    <xf numFmtId="0" fontId="0" fillId="8" borderId="77" xfId="0" applyNumberFormat="1" applyFill="1" applyBorder="1" applyAlignment="1">
      <alignment horizontal="center" vertical="center"/>
    </xf>
    <xf numFmtId="0" fontId="0" fillId="8" borderId="34" xfId="0" applyNumberFormat="1" applyFill="1" applyBorder="1" applyAlignment="1">
      <alignment horizontal="center" vertical="center"/>
    </xf>
    <xf numFmtId="0" fontId="0" fillId="8" borderId="69" xfId="0" applyNumberFormat="1" applyFill="1" applyBorder="1" applyAlignment="1">
      <alignment horizontal="center" vertical="center"/>
    </xf>
    <xf numFmtId="0" fontId="0" fillId="8" borderId="78" xfId="0" applyNumberFormat="1" applyFill="1" applyBorder="1"/>
    <xf numFmtId="0" fontId="0" fillId="0" borderId="1" xfId="0" applyFill="1" applyBorder="1" applyAlignment="1">
      <alignment vertical="center"/>
    </xf>
    <xf numFmtId="0" fontId="0" fillId="0" borderId="1" xfId="0" applyFont="1" applyFill="1" applyBorder="1" applyAlignment="1">
      <alignment horizontal="center" vertical="center"/>
    </xf>
    <xf numFmtId="0" fontId="0" fillId="0" borderId="1" xfId="0" applyFont="1" applyFill="1" applyBorder="1" applyAlignment="1">
      <alignment vertical="center"/>
    </xf>
    <xf numFmtId="2" fontId="0" fillId="0" borderId="16" xfId="0" applyNumberFormat="1" applyBorder="1"/>
    <xf numFmtId="0" fontId="0" fillId="0" borderId="34" xfId="0" applyBorder="1" applyAlignment="1">
      <alignment horizontal="center" vertical="center"/>
    </xf>
    <xf numFmtId="0" fontId="0" fillId="0" borderId="22" xfId="0" applyFill="1" applyBorder="1" applyAlignment="1">
      <alignment vertical="center"/>
    </xf>
    <xf numFmtId="0" fontId="0" fillId="0" borderId="20" xfId="0" applyFill="1" applyBorder="1" applyAlignment="1">
      <alignment vertical="center"/>
    </xf>
    <xf numFmtId="0" fontId="2" fillId="0" borderId="22" xfId="0" applyFont="1" applyFill="1" applyBorder="1" applyAlignment="1">
      <alignment vertical="center"/>
    </xf>
    <xf numFmtId="0" fontId="2" fillId="0" borderId="20" xfId="0" applyFont="1" applyFill="1" applyBorder="1" applyAlignment="1">
      <alignment vertical="center"/>
    </xf>
    <xf numFmtId="0" fontId="2" fillId="0" borderId="78" xfId="0" applyFont="1" applyFill="1" applyBorder="1" applyAlignment="1">
      <alignment vertical="center"/>
    </xf>
    <xf numFmtId="0" fontId="0" fillId="0" borderId="27" xfId="0" applyFont="1" applyFill="1" applyBorder="1" applyAlignment="1">
      <alignment horizontal="center" vertical="center"/>
    </xf>
    <xf numFmtId="0" fontId="0" fillId="0" borderId="27" xfId="0" applyFont="1" applyFill="1" applyBorder="1" applyAlignment="1">
      <alignment vertical="center"/>
    </xf>
    <xf numFmtId="0" fontId="2" fillId="0" borderId="39" xfId="0" applyFont="1" applyFill="1" applyBorder="1" applyAlignment="1">
      <alignment vertical="center"/>
    </xf>
    <xf numFmtId="0" fontId="0" fillId="9" borderId="7" xfId="0" applyFill="1" applyBorder="1" applyAlignment="1">
      <alignment horizontal="center" vertical="center"/>
    </xf>
    <xf numFmtId="164" fontId="0" fillId="0" borderId="5" xfId="0" applyNumberFormat="1" applyBorder="1"/>
    <xf numFmtId="0" fontId="63" fillId="0" borderId="0" xfId="0" applyFont="1"/>
    <xf numFmtId="0" fontId="0" fillId="0" borderId="1" xfId="0" applyBorder="1" applyAlignment="1">
      <alignment horizontal="center" vertical="center"/>
    </xf>
    <xf numFmtId="0" fontId="0" fillId="0" borderId="110" xfId="0" applyFont="1" applyBorder="1" applyAlignment="1">
      <alignment horizontal="center" vertical="center"/>
    </xf>
    <xf numFmtId="0" fontId="0" fillId="6" borderId="40" xfId="0" applyFill="1" applyBorder="1" applyAlignment="1">
      <alignment vertical="center" wrapText="1"/>
    </xf>
    <xf numFmtId="0" fontId="0" fillId="6" borderId="53" xfId="0" applyFill="1" applyBorder="1" applyAlignment="1">
      <alignment vertical="center" wrapText="1"/>
    </xf>
    <xf numFmtId="0" fontId="22" fillId="9" borderId="0" xfId="0" applyFont="1" applyFill="1" applyBorder="1" applyAlignment="1">
      <alignment horizontal="left" vertical="top" wrapText="1" indent="1"/>
    </xf>
    <xf numFmtId="0" fontId="20" fillId="0" borderId="0" xfId="0" applyFont="1" applyBorder="1" applyAlignment="1">
      <alignment vertical="center"/>
    </xf>
    <xf numFmtId="0" fontId="7" fillId="0" borderId="0" xfId="0" applyFont="1" applyAlignment="1">
      <alignment horizontal="center"/>
    </xf>
    <xf numFmtId="0" fontId="64" fillId="24" borderId="112" xfId="0" applyFont="1" applyFill="1" applyBorder="1" applyAlignment="1">
      <alignment horizontal="center" vertical="center"/>
    </xf>
    <xf numFmtId="0" fontId="64" fillId="24" borderId="113" xfId="0" applyFont="1" applyFill="1" applyBorder="1" applyAlignment="1">
      <alignment horizontal="center" vertical="center"/>
    </xf>
    <xf numFmtId="0" fontId="64" fillId="24" borderId="114" xfId="0" applyFont="1" applyFill="1" applyBorder="1" applyAlignment="1">
      <alignment horizontal="center" vertical="center"/>
    </xf>
    <xf numFmtId="0" fontId="7" fillId="0" borderId="0" xfId="0" applyFont="1" applyAlignment="1">
      <alignment horizontal="center" vertical="center" wrapText="1"/>
    </xf>
    <xf numFmtId="0" fontId="64" fillId="24" borderId="112" xfId="0" applyFont="1" applyFill="1" applyBorder="1" applyAlignment="1">
      <alignment horizontal="center" vertical="center" wrapText="1"/>
    </xf>
    <xf numFmtId="0" fontId="64" fillId="24" borderId="113" xfId="0" applyFont="1" applyFill="1" applyBorder="1" applyAlignment="1">
      <alignment horizontal="center" vertical="center" wrapText="1"/>
    </xf>
    <xf numFmtId="0" fontId="64" fillId="24" borderId="114" xfId="0" applyFont="1" applyFill="1" applyBorder="1" applyAlignment="1">
      <alignment horizontal="center" vertical="center" wrapText="1"/>
    </xf>
    <xf numFmtId="0" fontId="7" fillId="0" borderId="0" xfId="0" applyFont="1" applyAlignment="1">
      <alignment vertical="center"/>
    </xf>
    <xf numFmtId="0" fontId="0" fillId="0" borderId="27" xfId="0" applyBorder="1" applyAlignment="1">
      <alignment horizontal="center" vertical="center"/>
    </xf>
    <xf numFmtId="0" fontId="0" fillId="0" borderId="0" xfId="0" applyBorder="1" applyAlignment="1">
      <alignment horizontal="center" vertical="center" wrapText="1"/>
    </xf>
    <xf numFmtId="0" fontId="0" fillId="0" borderId="0" xfId="0"/>
    <xf numFmtId="0" fontId="0" fillId="0" borderId="1" xfId="0" applyBorder="1" applyAlignment="1">
      <alignment horizontal="center" vertical="center"/>
    </xf>
    <xf numFmtId="0" fontId="0" fillId="0" borderId="0" xfId="0" applyAlignment="1">
      <alignment wrapText="1"/>
    </xf>
    <xf numFmtId="0" fontId="0" fillId="0" borderId="0" xfId="0" applyAlignment="1">
      <alignment horizontal="center" vertical="center"/>
    </xf>
    <xf numFmtId="0" fontId="0" fillId="0" borderId="0" xfId="0" applyBorder="1" applyAlignment="1">
      <alignment horizontal="center" vertical="center"/>
    </xf>
    <xf numFmtId="0" fontId="0" fillId="8" borderId="0" xfId="0" applyFill="1"/>
    <xf numFmtId="0" fontId="0" fillId="9" borderId="0" xfId="0" applyFill="1"/>
    <xf numFmtId="0" fontId="0" fillId="8" borderId="1" xfId="0" applyFill="1" applyBorder="1" applyAlignment="1">
      <alignment horizontal="center" vertical="center" wrapText="1"/>
    </xf>
    <xf numFmtId="0" fontId="11" fillId="10" borderId="49" xfId="0" applyFont="1" applyFill="1" applyBorder="1" applyAlignment="1">
      <alignment horizontal="center" vertical="top" wrapText="1"/>
    </xf>
    <xf numFmtId="0" fontId="0" fillId="15" borderId="0" xfId="0" applyFill="1"/>
    <xf numFmtId="2" fontId="0" fillId="0" borderId="0" xfId="0" applyNumberFormat="1"/>
    <xf numFmtId="0" fontId="7" fillId="0" borderId="0" xfId="0" applyFont="1"/>
    <xf numFmtId="0" fontId="7" fillId="0" borderId="0" xfId="0" applyFont="1" applyAlignment="1">
      <alignment horizontal="center" vertical="center"/>
    </xf>
    <xf numFmtId="0" fontId="7" fillId="0" borderId="0" xfId="0" applyFont="1" applyAlignment="1">
      <alignment horizontal="center" wrapText="1"/>
    </xf>
    <xf numFmtId="0" fontId="57" fillId="0" borderId="0" xfId="0" applyFont="1" applyBorder="1" applyAlignment="1">
      <alignment horizontal="center" vertical="center" wrapText="1"/>
    </xf>
    <xf numFmtId="0" fontId="57" fillId="23" borderId="0" xfId="0" applyFont="1" applyFill="1" applyBorder="1" applyAlignment="1">
      <alignment horizontal="center" vertical="center" wrapText="1"/>
    </xf>
    <xf numFmtId="0" fontId="0" fillId="8" borderId="0" xfId="0" applyFill="1" applyBorder="1"/>
    <xf numFmtId="0" fontId="0" fillId="15" borderId="0" xfId="0" applyFill="1" applyBorder="1"/>
    <xf numFmtId="0" fontId="0" fillId="0" borderId="1" xfId="0" applyFill="1" applyBorder="1" applyAlignment="1">
      <alignment horizontal="center" vertical="center"/>
    </xf>
    <xf numFmtId="0" fontId="0" fillId="8" borderId="22" xfId="0" applyFill="1" applyBorder="1" applyAlignment="1">
      <alignment horizontal="left" vertical="center" wrapText="1"/>
    </xf>
    <xf numFmtId="1" fontId="0" fillId="8" borderId="20" xfId="0" applyNumberFormat="1" applyFill="1" applyBorder="1" applyAlignment="1">
      <alignment horizontal="center" vertical="center" wrapText="1"/>
    </xf>
    <xf numFmtId="0" fontId="0" fillId="8" borderId="78" xfId="0" applyFill="1" applyBorder="1" applyAlignment="1">
      <alignment horizontal="left" vertical="center" wrapText="1"/>
    </xf>
    <xf numFmtId="0" fontId="0" fillId="8" borderId="27" xfId="0" applyFill="1" applyBorder="1" applyAlignment="1">
      <alignment horizontal="center" vertical="center" wrapText="1"/>
    </xf>
    <xf numFmtId="1" fontId="0" fillId="8" borderId="39" xfId="0" applyNumberFormat="1" applyFill="1" applyBorder="1" applyAlignment="1">
      <alignment horizontal="center" vertical="center" wrapText="1"/>
    </xf>
    <xf numFmtId="0" fontId="0" fillId="8" borderId="34" xfId="0" applyNumberFormat="1" applyFill="1" applyBorder="1" applyAlignment="1">
      <alignment horizontal="center" vertical="center"/>
    </xf>
    <xf numFmtId="0" fontId="0" fillId="0" borderId="34" xfId="0" applyBorder="1" applyAlignment="1">
      <alignment horizontal="center" vertical="center"/>
    </xf>
    <xf numFmtId="0" fontId="0" fillId="0" borderId="22" xfId="0" applyFill="1" applyBorder="1" applyAlignment="1">
      <alignment vertical="center"/>
    </xf>
    <xf numFmtId="0" fontId="0" fillId="8" borderId="0" xfId="0" applyFont="1" applyFill="1" applyBorder="1" applyAlignment="1">
      <alignment horizontal="center" vertical="center" wrapText="1"/>
    </xf>
    <xf numFmtId="0" fontId="58" fillId="0" borderId="0" xfId="0" applyFont="1" applyBorder="1" applyAlignment="1">
      <alignment horizontal="center" vertical="center" wrapText="1"/>
    </xf>
    <xf numFmtId="0" fontId="58" fillId="0" borderId="0" xfId="0" applyFont="1" applyBorder="1" applyAlignment="1">
      <alignment horizontal="left" vertical="center" wrapText="1"/>
    </xf>
    <xf numFmtId="0" fontId="0" fillId="0" borderId="0" xfId="0" applyAlignment="1">
      <alignment horizontal="center" vertical="center" wrapText="1"/>
    </xf>
    <xf numFmtId="0" fontId="7" fillId="0" borderId="0" xfId="0" applyFont="1" applyAlignment="1">
      <alignment horizontal="center"/>
    </xf>
    <xf numFmtId="0" fontId="7" fillId="0" borderId="0" xfId="0" applyFont="1" applyAlignment="1">
      <alignment horizontal="center" vertical="center" wrapText="1"/>
    </xf>
    <xf numFmtId="0" fontId="0" fillId="0" borderId="27" xfId="0" applyBorder="1" applyAlignment="1">
      <alignment horizontal="center" vertical="center"/>
    </xf>
    <xf numFmtId="0" fontId="0" fillId="0" borderId="111" xfId="0" applyBorder="1" applyAlignment="1">
      <alignment horizontal="center" vertical="center" wrapText="1"/>
    </xf>
    <xf numFmtId="0" fontId="0" fillId="25" borderId="0" xfId="0" applyFill="1"/>
    <xf numFmtId="0" fontId="7" fillId="0" borderId="0" xfId="0" applyFont="1" applyAlignment="1">
      <alignment horizontal="center"/>
    </xf>
    <xf numFmtId="0" fontId="11" fillId="10" borderId="117" xfId="0" applyFont="1" applyFill="1" applyBorder="1" applyAlignment="1">
      <alignment horizontal="center" vertical="top" wrapText="1"/>
    </xf>
    <xf numFmtId="0" fontId="7" fillId="0" borderId="0" xfId="0" applyFont="1" applyBorder="1" applyAlignment="1">
      <alignment wrapText="1"/>
    </xf>
    <xf numFmtId="0" fontId="7" fillId="0" borderId="0" xfId="0" applyFont="1" applyBorder="1" applyAlignment="1">
      <alignment horizontal="center" wrapText="1"/>
    </xf>
    <xf numFmtId="0" fontId="65" fillId="0" borderId="0" xfId="0" applyFont="1"/>
    <xf numFmtId="2" fontId="7" fillId="0" borderId="0" xfId="0" applyNumberFormat="1" applyFont="1" applyAlignment="1">
      <alignment horizontal="center" vertical="center"/>
    </xf>
    <xf numFmtId="0" fontId="0" fillId="8" borderId="34" xfId="0" applyNumberFormat="1" applyFill="1" applyBorder="1" applyAlignment="1">
      <alignment horizontal="center"/>
    </xf>
    <xf numFmtId="0" fontId="64" fillId="24" borderId="118" xfId="0" applyFont="1" applyFill="1" applyBorder="1" applyAlignment="1">
      <alignment horizontal="center" vertical="center" wrapText="1"/>
    </xf>
    <xf numFmtId="0" fontId="64" fillId="24" borderId="119" xfId="0" applyFont="1" applyFill="1" applyBorder="1" applyAlignment="1">
      <alignment horizontal="center" vertical="center" wrapText="1"/>
    </xf>
    <xf numFmtId="0" fontId="64" fillId="24" borderId="120" xfId="0" applyFont="1" applyFill="1" applyBorder="1" applyAlignment="1">
      <alignment horizontal="center" vertical="center" wrapText="1"/>
    </xf>
    <xf numFmtId="0" fontId="64" fillId="24" borderId="121" xfId="0" applyFont="1" applyFill="1" applyBorder="1" applyAlignment="1">
      <alignment horizontal="center" vertical="center" wrapText="1"/>
    </xf>
    <xf numFmtId="0" fontId="64" fillId="24" borderId="122" xfId="0" applyFont="1" applyFill="1" applyBorder="1" applyAlignment="1">
      <alignment horizontal="center" vertical="center" wrapText="1"/>
    </xf>
    <xf numFmtId="0" fontId="7" fillId="0" borderId="0" xfId="0" applyFont="1" applyBorder="1" applyAlignment="1">
      <alignment horizontal="center" vertical="center" wrapText="1"/>
    </xf>
    <xf numFmtId="0" fontId="0" fillId="22" borderId="115" xfId="0" applyFont="1" applyFill="1" applyBorder="1" applyAlignment="1">
      <alignment wrapText="1"/>
    </xf>
    <xf numFmtId="0" fontId="0" fillId="0" borderId="34" xfId="0" applyBorder="1" applyAlignment="1">
      <alignment horizontal="center" vertical="center" wrapText="1"/>
    </xf>
    <xf numFmtId="0" fontId="0" fillId="0" borderId="77" xfId="0" applyBorder="1" applyAlignment="1">
      <alignment horizontal="center" vertical="center" wrapText="1"/>
    </xf>
    <xf numFmtId="0" fontId="0" fillId="0" borderId="69" xfId="0" applyBorder="1" applyAlignment="1">
      <alignment horizontal="center" vertical="center" wrapText="1"/>
    </xf>
    <xf numFmtId="0" fontId="0" fillId="0" borderId="69" xfId="0" applyBorder="1" applyAlignment="1">
      <alignment horizontal="center" vertical="center"/>
    </xf>
    <xf numFmtId="0" fontId="0" fillId="0" borderId="0" xfId="0" applyFill="1" applyBorder="1" applyAlignment="1">
      <alignment horizontal="center" vertical="center" wrapText="1"/>
    </xf>
    <xf numFmtId="0" fontId="57" fillId="0" borderId="89" xfId="0" applyFont="1" applyBorder="1" applyAlignment="1">
      <alignment horizontal="left" vertical="center"/>
    </xf>
    <xf numFmtId="0" fontId="57" fillId="0" borderId="88" xfId="0" applyFont="1" applyBorder="1" applyAlignment="1">
      <alignment horizontal="center" vertical="center"/>
    </xf>
    <xf numFmtId="0" fontId="7" fillId="0" borderId="0" xfId="0" applyFont="1" applyAlignment="1"/>
    <xf numFmtId="0" fontId="58" fillId="0" borderId="0" xfId="0" applyFont="1" applyBorder="1" applyAlignment="1">
      <alignment horizontal="center" vertical="center"/>
    </xf>
    <xf numFmtId="0" fontId="58" fillId="0" borderId="0" xfId="0" applyFont="1" applyBorder="1" applyAlignment="1">
      <alignment horizontal="left" vertical="center"/>
    </xf>
    <xf numFmtId="0" fontId="57" fillId="0" borderId="0" xfId="0" applyFont="1" applyBorder="1" applyAlignment="1">
      <alignment horizontal="center" vertical="center"/>
    </xf>
    <xf numFmtId="0" fontId="57" fillId="0" borderId="110" xfId="0" applyFont="1" applyBorder="1" applyAlignment="1">
      <alignment horizontal="center" vertical="center" wrapText="1"/>
    </xf>
    <xf numFmtId="0" fontId="1" fillId="26" borderId="123" xfId="0" applyFont="1" applyFill="1" applyBorder="1"/>
    <xf numFmtId="0" fontId="7" fillId="27" borderId="0" xfId="0" applyFont="1" applyFill="1" applyBorder="1" applyAlignment="1">
      <alignment horizontal="center" vertical="center" wrapText="1"/>
    </xf>
    <xf numFmtId="0" fontId="7" fillId="27" borderId="0" xfId="0" applyFont="1" applyFill="1" applyAlignment="1">
      <alignment horizontal="center" vertical="center" wrapText="1"/>
    </xf>
    <xf numFmtId="0" fontId="7" fillId="4" borderId="0" xfId="0" applyFont="1" applyFill="1" applyAlignment="1">
      <alignment horizontal="center" vertical="center" wrapText="1"/>
    </xf>
    <xf numFmtId="0" fontId="7" fillId="4" borderId="0" xfId="0" applyFont="1" applyFill="1" applyBorder="1" applyAlignment="1">
      <alignment horizontal="center" vertical="center" wrapText="1"/>
    </xf>
    <xf numFmtId="0" fontId="7" fillId="2" borderId="0" xfId="0" applyFont="1" applyFill="1" applyAlignment="1">
      <alignment horizontal="center" vertical="center" wrapText="1"/>
    </xf>
    <xf numFmtId="0" fontId="7" fillId="28" borderId="0" xfId="0" applyFont="1" applyFill="1" applyAlignment="1">
      <alignment horizontal="center" vertical="center" wrapText="1"/>
    </xf>
    <xf numFmtId="0" fontId="7" fillId="29" borderId="0" xfId="0" applyFont="1" applyFill="1" applyAlignment="1">
      <alignment horizontal="center" vertical="center" wrapText="1"/>
    </xf>
    <xf numFmtId="0" fontId="7" fillId="27" borderId="0" xfId="0" applyFont="1" applyFill="1" applyAlignment="1">
      <alignment horizontal="center" vertical="center"/>
    </xf>
    <xf numFmtId="2" fontId="7" fillId="4" borderId="0" xfId="0" applyNumberFormat="1" applyFont="1" applyFill="1" applyAlignment="1">
      <alignment horizontal="center" vertical="center"/>
    </xf>
    <xf numFmtId="0" fontId="7" fillId="27" borderId="0" xfId="0" applyFont="1" applyFill="1" applyAlignment="1">
      <alignment horizontal="center"/>
    </xf>
    <xf numFmtId="0" fontId="7" fillId="4" borderId="0" xfId="0" applyFont="1" applyFill="1" applyAlignment="1">
      <alignment horizontal="center"/>
    </xf>
    <xf numFmtId="0" fontId="0" fillId="16" borderId="110" xfId="0" applyFont="1" applyFill="1" applyBorder="1" applyAlignment="1">
      <alignment wrapText="1"/>
    </xf>
    <xf numFmtId="0" fontId="0" fillId="0" borderId="110" xfId="0" applyFont="1" applyBorder="1" applyAlignment="1">
      <alignment wrapText="1"/>
    </xf>
    <xf numFmtId="0" fontId="0" fillId="16" borderId="124" xfId="0" applyFont="1" applyFill="1" applyBorder="1" applyAlignment="1">
      <alignment wrapText="1"/>
    </xf>
    <xf numFmtId="2" fontId="7" fillId="0" borderId="0" xfId="0" applyNumberFormat="1" applyFont="1" applyAlignment="1">
      <alignment horizontal="center" vertical="center" wrapText="1"/>
    </xf>
    <xf numFmtId="0" fontId="7" fillId="0" borderId="0" xfId="0" applyFont="1" applyAlignment="1">
      <alignment horizontal="center" wrapText="1"/>
    </xf>
    <xf numFmtId="0" fontId="7" fillId="4" borderId="0" xfId="0" applyFont="1" applyFill="1"/>
    <xf numFmtId="0" fontId="7" fillId="4" borderId="0" xfId="0" applyFont="1" applyFill="1" applyAlignment="1">
      <alignment horizontal="center" vertical="center"/>
    </xf>
    <xf numFmtId="0" fontId="7" fillId="27" borderId="0" xfId="0" applyFont="1" applyFill="1"/>
    <xf numFmtId="0" fontId="7" fillId="2" borderId="0" xfId="0" applyFont="1" applyFill="1"/>
    <xf numFmtId="0" fontId="7" fillId="2" borderId="0" xfId="0" applyFont="1" applyFill="1" applyAlignment="1">
      <alignment horizontal="center" vertical="center"/>
    </xf>
    <xf numFmtId="0" fontId="7" fillId="28" borderId="0" xfId="0" applyFont="1" applyFill="1" applyAlignment="1">
      <alignment horizontal="center" vertical="center"/>
    </xf>
    <xf numFmtId="0" fontId="7" fillId="28" borderId="0" xfId="0" applyFont="1" applyFill="1"/>
    <xf numFmtId="0" fontId="7" fillId="28" borderId="0" xfId="0" applyNumberFormat="1" applyFont="1" applyFill="1" applyAlignment="1">
      <alignment horizontal="center" vertical="center"/>
    </xf>
    <xf numFmtId="0" fontId="13" fillId="31" borderId="19" xfId="0" applyFont="1" applyFill="1" applyBorder="1" applyAlignment="1">
      <alignment horizontal="center" vertical="center" wrapText="1"/>
    </xf>
    <xf numFmtId="0" fontId="14" fillId="31" borderId="21" xfId="0" applyFont="1" applyFill="1" applyBorder="1" applyAlignment="1">
      <alignment horizontal="center" vertical="center" wrapText="1"/>
    </xf>
    <xf numFmtId="0" fontId="7" fillId="31" borderId="21" xfId="0" applyFont="1" applyFill="1" applyBorder="1" applyAlignment="1">
      <alignment horizontal="right" vertical="center"/>
    </xf>
    <xf numFmtId="0" fontId="7" fillId="31" borderId="69" xfId="0" applyFont="1" applyFill="1" applyBorder="1" applyAlignment="1">
      <alignment horizontal="right" vertical="center"/>
    </xf>
    <xf numFmtId="0" fontId="7" fillId="31" borderId="39" xfId="0" applyFont="1" applyFill="1" applyBorder="1" applyAlignment="1">
      <alignment horizontal="right" vertical="center"/>
    </xf>
    <xf numFmtId="0" fontId="2" fillId="31" borderId="20" xfId="0" applyFont="1" applyFill="1" applyBorder="1" applyAlignment="1">
      <alignment horizontal="right" vertical="center"/>
    </xf>
    <xf numFmtId="0" fontId="2" fillId="31" borderId="39" xfId="0" applyFont="1" applyFill="1" applyBorder="1" applyAlignment="1">
      <alignment horizontal="right" vertical="center"/>
    </xf>
    <xf numFmtId="0" fontId="2" fillId="31" borderId="19" xfId="0" applyFont="1" applyFill="1" applyBorder="1" applyAlignment="1">
      <alignment horizontal="left" vertical="center" wrapText="1"/>
    </xf>
    <xf numFmtId="0" fontId="2" fillId="31" borderId="20" xfId="0" applyFont="1" applyFill="1" applyBorder="1" applyAlignment="1">
      <alignment horizontal="left" vertical="center" wrapText="1"/>
    </xf>
    <xf numFmtId="0" fontId="2" fillId="31" borderId="39" xfId="0" applyFont="1" applyFill="1" applyBorder="1" applyAlignment="1">
      <alignment horizontal="left" vertical="center" wrapText="1"/>
    </xf>
    <xf numFmtId="2" fontId="62" fillId="30" borderId="6" xfId="0" applyNumberFormat="1" applyFont="1" applyFill="1" applyBorder="1" applyAlignment="1">
      <alignment horizontal="center" vertical="center"/>
    </xf>
    <xf numFmtId="2" fontId="62" fillId="30" borderId="2" xfId="0" applyNumberFormat="1" applyFont="1" applyFill="1" applyBorder="1" applyAlignment="1">
      <alignment horizontal="center" vertical="center"/>
    </xf>
    <xf numFmtId="0" fontId="62" fillId="7" borderId="1" xfId="0" applyFont="1" applyFill="1" applyBorder="1" applyAlignment="1">
      <alignment horizontal="right" vertical="center"/>
    </xf>
    <xf numFmtId="0" fontId="62" fillId="7" borderId="27" xfId="0" applyFont="1" applyFill="1" applyBorder="1" applyAlignment="1">
      <alignment horizontal="right" vertical="center"/>
    </xf>
    <xf numFmtId="2" fontId="62" fillId="7" borderId="4" xfId="0" applyNumberFormat="1" applyFont="1" applyFill="1" applyBorder="1" applyAlignment="1">
      <alignment horizontal="center" vertical="center"/>
    </xf>
    <xf numFmtId="2" fontId="62" fillId="7" borderId="5" xfId="0" applyNumberFormat="1" applyFont="1" applyFill="1" applyBorder="1" applyAlignment="1">
      <alignment horizontal="center" vertical="center"/>
    </xf>
    <xf numFmtId="2" fontId="62" fillId="7" borderId="6" xfId="0" applyNumberFormat="1" applyFont="1" applyFill="1" applyBorder="1" applyAlignment="1">
      <alignment horizontal="center" vertical="center"/>
    </xf>
    <xf numFmtId="2" fontId="62" fillId="7" borderId="7" xfId="0" applyNumberFormat="1" applyFont="1" applyFill="1" applyBorder="1" applyAlignment="1">
      <alignment horizontal="center" vertical="center"/>
    </xf>
    <xf numFmtId="2" fontId="62" fillId="7" borderId="3" xfId="0" applyNumberFormat="1" applyFont="1" applyFill="1" applyBorder="1" applyAlignment="1">
      <alignment horizontal="center" vertical="center"/>
    </xf>
    <xf numFmtId="2" fontId="62" fillId="7" borderId="2" xfId="0" applyNumberFormat="1" applyFont="1" applyFill="1" applyBorder="1" applyAlignment="1">
      <alignment horizontal="center" vertical="center"/>
    </xf>
    <xf numFmtId="164" fontId="62" fillId="7" borderId="4" xfId="0" applyNumberFormat="1" applyFont="1" applyFill="1" applyBorder="1" applyAlignment="1">
      <alignment horizontal="center" vertical="center"/>
    </xf>
    <xf numFmtId="164" fontId="62" fillId="7" borderId="26" xfId="0" applyNumberFormat="1" applyFont="1" applyFill="1" applyBorder="1" applyAlignment="1">
      <alignment horizontal="center" vertical="center"/>
    </xf>
    <xf numFmtId="164" fontId="62" fillId="7" borderId="27" xfId="0" applyNumberFormat="1" applyFont="1" applyFill="1" applyBorder="1" applyAlignment="1">
      <alignment horizontal="center" vertical="center"/>
    </xf>
    <xf numFmtId="164" fontId="62" fillId="7" borderId="28" xfId="0" applyNumberFormat="1" applyFont="1" applyFill="1" applyBorder="1" applyAlignment="1">
      <alignment horizontal="center" vertical="center"/>
    </xf>
    <xf numFmtId="164" fontId="14" fillId="7" borderId="7" xfId="0" applyNumberFormat="1" applyFont="1" applyFill="1" applyBorder="1" applyAlignment="1">
      <alignment horizontal="center" vertical="center"/>
    </xf>
    <xf numFmtId="164" fontId="14" fillId="7" borderId="3" xfId="0" applyNumberFormat="1" applyFont="1" applyFill="1" applyBorder="1" applyAlignment="1">
      <alignment horizontal="center" vertical="center"/>
    </xf>
    <xf numFmtId="2" fontId="62" fillId="7" borderId="33" xfId="0" applyNumberFormat="1" applyFont="1" applyFill="1" applyBorder="1" applyAlignment="1">
      <alignment horizontal="center" vertical="center"/>
    </xf>
    <xf numFmtId="2" fontId="62" fillId="7" borderId="34" xfId="0" applyNumberFormat="1" applyFont="1" applyFill="1" applyBorder="1" applyAlignment="1">
      <alignment horizontal="center" vertical="center"/>
    </xf>
    <xf numFmtId="2" fontId="62" fillId="7" borderId="35" xfId="0" applyNumberFormat="1" applyFont="1" applyFill="1" applyBorder="1" applyAlignment="1">
      <alignment horizontal="center" vertical="center"/>
    </xf>
    <xf numFmtId="164" fontId="62" fillId="7" borderId="17" xfId="0" applyNumberFormat="1" applyFont="1" applyFill="1" applyBorder="1" applyAlignment="1">
      <alignment horizontal="center" vertical="center"/>
    </xf>
    <xf numFmtId="164" fontId="62" fillId="7" borderId="1" xfId="0" applyNumberFormat="1" applyFont="1" applyFill="1" applyBorder="1" applyAlignment="1">
      <alignment horizontal="center" vertical="center"/>
    </xf>
    <xf numFmtId="164" fontId="62" fillId="7" borderId="18" xfId="0" applyNumberFormat="1" applyFont="1" applyFill="1" applyBorder="1" applyAlignment="1">
      <alignment horizontal="center" vertical="center"/>
    </xf>
    <xf numFmtId="164" fontId="62" fillId="7" borderId="36" xfId="0" applyNumberFormat="1" applyFont="1" applyFill="1" applyBorder="1" applyAlignment="1">
      <alignment horizontal="center" vertical="center"/>
    </xf>
    <xf numFmtId="164" fontId="62" fillId="7" borderId="37" xfId="0" applyNumberFormat="1" applyFont="1" applyFill="1" applyBorder="1" applyAlignment="1">
      <alignment horizontal="center" vertical="center"/>
    </xf>
    <xf numFmtId="164" fontId="62" fillId="7" borderId="38" xfId="0" applyNumberFormat="1" applyFont="1" applyFill="1" applyBorder="1" applyAlignment="1">
      <alignment horizontal="center" vertical="center"/>
    </xf>
    <xf numFmtId="0" fontId="62" fillId="7" borderId="33" xfId="0" applyFont="1" applyFill="1" applyBorder="1" applyAlignment="1">
      <alignment horizontal="right" vertical="center"/>
    </xf>
    <xf numFmtId="0" fontId="62" fillId="7" borderId="34" xfId="0" applyFont="1" applyFill="1" applyBorder="1" applyAlignment="1">
      <alignment horizontal="left"/>
    </xf>
    <xf numFmtId="0" fontId="62" fillId="7" borderId="34" xfId="0" applyFont="1" applyFill="1" applyBorder="1" applyAlignment="1">
      <alignment horizontal="right"/>
    </xf>
    <xf numFmtId="164" fontId="62" fillId="7" borderId="4" xfId="0" applyNumberFormat="1" applyFont="1" applyFill="1" applyBorder="1" applyAlignment="1">
      <alignment horizontal="center"/>
    </xf>
    <xf numFmtId="164" fontId="62" fillId="7" borderId="5" xfId="0" applyNumberFormat="1" applyFont="1" applyFill="1" applyBorder="1" applyAlignment="1">
      <alignment horizontal="center"/>
    </xf>
    <xf numFmtId="164" fontId="62" fillId="7" borderId="19" xfId="0" applyNumberFormat="1" applyFont="1" applyFill="1" applyBorder="1" applyAlignment="1">
      <alignment horizontal="center"/>
    </xf>
    <xf numFmtId="164" fontId="62" fillId="7" borderId="6" xfId="0" applyNumberFormat="1" applyFont="1" applyFill="1" applyBorder="1" applyAlignment="1">
      <alignment horizontal="center"/>
    </xf>
    <xf numFmtId="0" fontId="62" fillId="7" borderId="7" xfId="0" applyFont="1" applyFill="1" applyBorder="1" applyAlignment="1">
      <alignment horizontal="center"/>
    </xf>
    <xf numFmtId="0" fontId="62" fillId="7" borderId="3" xfId="0" applyFont="1" applyFill="1" applyBorder="1" applyAlignment="1">
      <alignment horizontal="center"/>
    </xf>
    <xf numFmtId="0" fontId="62" fillId="7" borderId="2" xfId="0" applyFont="1" applyFill="1" applyBorder="1" applyAlignment="1">
      <alignment horizontal="center"/>
    </xf>
    <xf numFmtId="0" fontId="62" fillId="7" borderId="52" xfId="0" applyFont="1" applyFill="1" applyBorder="1" applyAlignment="1">
      <alignment horizontal="center"/>
    </xf>
    <xf numFmtId="0" fontId="62" fillId="7" borderId="40" xfId="0" applyFont="1" applyFill="1" applyBorder="1" applyAlignment="1">
      <alignment horizontal="center"/>
    </xf>
    <xf numFmtId="0" fontId="62" fillId="7" borderId="53" xfId="0" applyFont="1" applyFill="1" applyBorder="1" applyAlignment="1">
      <alignment horizontal="center"/>
    </xf>
    <xf numFmtId="164" fontId="62" fillId="7" borderId="26" xfId="0" applyNumberFormat="1" applyFont="1" applyFill="1" applyBorder="1" applyAlignment="1">
      <alignment horizontal="center"/>
    </xf>
    <xf numFmtId="164" fontId="62" fillId="7" borderId="27" xfId="0" applyNumberFormat="1" applyFont="1" applyFill="1" applyBorder="1" applyAlignment="1">
      <alignment horizontal="center"/>
    </xf>
    <xf numFmtId="164" fontId="62" fillId="7" borderId="39" xfId="0" applyNumberFormat="1" applyFont="1" applyFill="1" applyBorder="1" applyAlignment="1">
      <alignment horizontal="center"/>
    </xf>
    <xf numFmtId="164" fontId="62" fillId="7" borderId="28" xfId="0" applyNumberFormat="1" applyFont="1" applyFill="1" applyBorder="1" applyAlignment="1">
      <alignment horizontal="center"/>
    </xf>
    <xf numFmtId="164" fontId="62" fillId="7" borderId="55" xfId="0" applyNumberFormat="1" applyFont="1" applyFill="1" applyBorder="1" applyAlignment="1">
      <alignment horizontal="center" vertical="center"/>
    </xf>
    <xf numFmtId="164" fontId="62" fillId="7" borderId="81" xfId="0" applyNumberFormat="1" applyFont="1" applyFill="1" applyBorder="1" applyAlignment="1">
      <alignment horizontal="center" vertical="center"/>
    </xf>
    <xf numFmtId="164" fontId="62" fillId="7" borderId="71" xfId="0" applyNumberFormat="1" applyFont="1" applyFill="1" applyBorder="1" applyAlignment="1"/>
    <xf numFmtId="164" fontId="62" fillId="7" borderId="72" xfId="0" applyNumberFormat="1" applyFont="1" applyFill="1" applyBorder="1" applyAlignment="1"/>
    <xf numFmtId="164" fontId="62" fillId="7" borderId="73" xfId="0" applyNumberFormat="1" applyFont="1" applyFill="1" applyBorder="1" applyAlignment="1"/>
    <xf numFmtId="164" fontId="62" fillId="7" borderId="33" xfId="0" applyNumberFormat="1" applyFont="1" applyFill="1" applyBorder="1"/>
    <xf numFmtId="164" fontId="62" fillId="7" borderId="34" xfId="0" applyNumberFormat="1" applyFont="1" applyFill="1" applyBorder="1"/>
    <xf numFmtId="164" fontId="62" fillId="7" borderId="35" xfId="0" applyNumberFormat="1" applyFont="1" applyFill="1" applyBorder="1"/>
    <xf numFmtId="164" fontId="62" fillId="7" borderId="17" xfId="0" applyNumberFormat="1" applyFont="1" applyFill="1" applyBorder="1"/>
    <xf numFmtId="164" fontId="62" fillId="7" borderId="1" xfId="0" applyNumberFormat="1" applyFont="1" applyFill="1" applyBorder="1"/>
    <xf numFmtId="164" fontId="62" fillId="7" borderId="18" xfId="0" applyNumberFormat="1" applyFont="1" applyFill="1" applyBorder="1"/>
    <xf numFmtId="164" fontId="62" fillId="7" borderId="7" xfId="0" applyNumberFormat="1" applyFont="1" applyFill="1" applyBorder="1"/>
    <xf numFmtId="164" fontId="62" fillId="7" borderId="3" xfId="0" applyNumberFormat="1" applyFont="1" applyFill="1" applyBorder="1"/>
    <xf numFmtId="164" fontId="62" fillId="7" borderId="2" xfId="0" applyNumberFormat="1" applyFont="1" applyFill="1" applyBorder="1"/>
    <xf numFmtId="165" fontId="62" fillId="7" borderId="84" xfId="3" applyNumberFormat="1" applyFont="1" applyFill="1" applyBorder="1"/>
    <xf numFmtId="165" fontId="62" fillId="7" borderId="55" xfId="3" applyNumberFormat="1" applyFont="1" applyFill="1" applyBorder="1"/>
    <xf numFmtId="165" fontId="62" fillId="7" borderId="81" xfId="3" applyNumberFormat="1" applyFont="1" applyFill="1" applyBorder="1"/>
    <xf numFmtId="0" fontId="62" fillId="7" borderId="84" xfId="0" applyFont="1" applyFill="1" applyBorder="1" applyAlignment="1">
      <alignment vertical="center" wrapText="1"/>
    </xf>
    <xf numFmtId="0" fontId="62" fillId="7" borderId="55" xfId="0" applyFont="1" applyFill="1" applyBorder="1" applyAlignment="1">
      <alignment vertical="center" wrapText="1"/>
    </xf>
    <xf numFmtId="0" fontId="62" fillId="7" borderId="81" xfId="0" applyFont="1" applyFill="1" applyBorder="1" applyAlignment="1">
      <alignment vertical="center" wrapText="1"/>
    </xf>
    <xf numFmtId="164" fontId="62" fillId="7" borderId="84" xfId="0" applyNumberFormat="1" applyFont="1" applyFill="1" applyBorder="1" applyAlignment="1">
      <alignment vertical="center" wrapText="1"/>
    </xf>
    <xf numFmtId="0" fontId="62" fillId="30" borderId="4" xfId="0" applyFont="1" applyFill="1" applyBorder="1" applyAlignment="1">
      <alignment horizontal="center"/>
    </xf>
    <xf numFmtId="0" fontId="62" fillId="30" borderId="6" xfId="0" applyFont="1" applyFill="1" applyBorder="1" applyAlignment="1">
      <alignment horizontal="center"/>
    </xf>
    <xf numFmtId="0" fontId="62" fillId="30" borderId="17" xfId="0" applyFont="1" applyFill="1" applyBorder="1" applyAlignment="1">
      <alignment horizontal="center"/>
    </xf>
    <xf numFmtId="0" fontId="62" fillId="30" borderId="18" xfId="0" applyFont="1" applyFill="1" applyBorder="1" applyAlignment="1">
      <alignment horizontal="center"/>
    </xf>
    <xf numFmtId="0" fontId="62" fillId="30" borderId="26" xfId="0" applyFont="1" applyFill="1" applyBorder="1" applyAlignment="1">
      <alignment horizontal="center"/>
    </xf>
    <xf numFmtId="0" fontId="62" fillId="30" borderId="28" xfId="0" applyFont="1" applyFill="1" applyBorder="1" applyAlignment="1">
      <alignment horizontal="center"/>
    </xf>
    <xf numFmtId="0" fontId="62" fillId="30" borderId="9" xfId="0" applyFont="1" applyFill="1" applyBorder="1" applyAlignment="1">
      <alignment horizontal="center" vertical="center" wrapText="1"/>
    </xf>
    <xf numFmtId="0" fontId="62" fillId="30" borderId="7" xfId="0" applyFont="1" applyFill="1" applyBorder="1" applyAlignment="1">
      <alignment horizontal="center" vertical="center" wrapText="1"/>
    </xf>
    <xf numFmtId="0" fontId="62" fillId="30" borderId="33" xfId="0" applyFont="1" applyFill="1" applyBorder="1" applyAlignment="1">
      <alignment horizontal="center"/>
    </xf>
    <xf numFmtId="0" fontId="62" fillId="30" borderId="35" xfId="0" applyFont="1" applyFill="1" applyBorder="1" applyAlignment="1">
      <alignment horizontal="center"/>
    </xf>
    <xf numFmtId="0" fontId="3" fillId="32" borderId="17" xfId="0" applyFont="1" applyFill="1" applyBorder="1" applyAlignment="1">
      <alignment horizontal="center" vertical="center"/>
    </xf>
    <xf numFmtId="0" fontId="3" fillId="32" borderId="1" xfId="0" applyFont="1" applyFill="1" applyBorder="1" applyAlignment="1">
      <alignment horizontal="center" vertical="center"/>
    </xf>
    <xf numFmtId="0" fontId="62" fillId="7" borderId="34" xfId="0" applyFont="1" applyFill="1" applyBorder="1" applyAlignment="1">
      <alignment horizontal="right" vertical="center"/>
    </xf>
    <xf numFmtId="0" fontId="0" fillId="31" borderId="26" xfId="0" applyFill="1" applyBorder="1" applyAlignment="1">
      <alignment horizontal="center" vertical="center"/>
    </xf>
    <xf numFmtId="0" fontId="0" fillId="31" borderId="27" xfId="0" applyFill="1" applyBorder="1" applyAlignment="1">
      <alignment horizontal="center" vertical="center"/>
    </xf>
    <xf numFmtId="0" fontId="0" fillId="31" borderId="28" xfId="0" applyFill="1" applyBorder="1" applyAlignment="1">
      <alignment horizontal="center" vertical="center"/>
    </xf>
    <xf numFmtId="2" fontId="0" fillId="31" borderId="36" xfId="0" applyNumberFormat="1" applyFill="1" applyBorder="1" applyAlignment="1">
      <alignment horizontal="center" vertical="center"/>
    </xf>
    <xf numFmtId="2" fontId="0" fillId="31" borderId="37" xfId="0" applyNumberFormat="1" applyFill="1" applyBorder="1" applyAlignment="1">
      <alignment horizontal="center" vertical="center"/>
    </xf>
    <xf numFmtId="0" fontId="0" fillId="34" borderId="9" xfId="0" applyFill="1" applyBorder="1"/>
    <xf numFmtId="0" fontId="0" fillId="34" borderId="160" xfId="0" applyFill="1" applyBorder="1"/>
    <xf numFmtId="0" fontId="0" fillId="34" borderId="10" xfId="0" applyFill="1" applyBorder="1"/>
    <xf numFmtId="0" fontId="0" fillId="34" borderId="161" xfId="0" applyFill="1" applyBorder="1"/>
    <xf numFmtId="0" fontId="0" fillId="34" borderId="11" xfId="0" applyFill="1" applyBorder="1"/>
    <xf numFmtId="0" fontId="0" fillId="34" borderId="12" xfId="0" applyFill="1" applyBorder="1"/>
    <xf numFmtId="0" fontId="0" fillId="34" borderId="0" xfId="0" applyFill="1" applyBorder="1"/>
    <xf numFmtId="0" fontId="61" fillId="34" borderId="0" xfId="0" applyFont="1" applyFill="1" applyBorder="1"/>
    <xf numFmtId="0" fontId="61" fillId="34" borderId="13" xfId="0" applyFont="1" applyFill="1" applyBorder="1"/>
    <xf numFmtId="0" fontId="0" fillId="34" borderId="141" xfId="0" applyFill="1" applyBorder="1" applyAlignment="1">
      <alignment horizontal="right"/>
    </xf>
    <xf numFmtId="0" fontId="0" fillId="34" borderId="125" xfId="0" applyFill="1" applyBorder="1" applyAlignment="1">
      <alignment horizontal="left" vertical="center"/>
    </xf>
    <xf numFmtId="0" fontId="0" fillId="34" borderId="135" xfId="0" applyFill="1" applyBorder="1"/>
    <xf numFmtId="0" fontId="0" fillId="34" borderId="133" xfId="0" applyFill="1" applyBorder="1"/>
    <xf numFmtId="0" fontId="0" fillId="34" borderId="142" xfId="0" applyFill="1" applyBorder="1"/>
    <xf numFmtId="0" fontId="0" fillId="34" borderId="143" xfId="0" applyFill="1" applyBorder="1" applyAlignment="1">
      <alignment horizontal="right" vertical="center"/>
    </xf>
    <xf numFmtId="0" fontId="0" fillId="34" borderId="135" xfId="0" applyFill="1" applyBorder="1" applyAlignment="1">
      <alignment horizontal="left" vertical="center"/>
    </xf>
    <xf numFmtId="0" fontId="0" fillId="34" borderId="125" xfId="0" applyFill="1" applyBorder="1"/>
    <xf numFmtId="0" fontId="0" fillId="34" borderId="144" xfId="0" applyFill="1" applyBorder="1"/>
    <xf numFmtId="0" fontId="0" fillId="34" borderId="145" xfId="0" applyFill="1" applyBorder="1" applyAlignment="1">
      <alignment horizontal="right" vertical="center"/>
    </xf>
    <xf numFmtId="0" fontId="0" fillId="34" borderId="133" xfId="0" applyFill="1" applyBorder="1" applyAlignment="1">
      <alignment horizontal="left" vertical="center"/>
    </xf>
    <xf numFmtId="0" fontId="0" fillId="34" borderId="129" xfId="0" applyFill="1" applyBorder="1"/>
    <xf numFmtId="0" fontId="0" fillId="34" borderId="146" xfId="0" applyFill="1" applyBorder="1"/>
    <xf numFmtId="0" fontId="0" fillId="34" borderId="126" xfId="0" applyFill="1" applyBorder="1" applyAlignment="1">
      <alignment horizontal="left" vertical="center"/>
    </xf>
    <xf numFmtId="0" fontId="0" fillId="34" borderId="127" xfId="0" applyFill="1" applyBorder="1"/>
    <xf numFmtId="0" fontId="0" fillId="34" borderId="137" xfId="0" applyFill="1" applyBorder="1"/>
    <xf numFmtId="0" fontId="0" fillId="34" borderId="128" xfId="0" applyFill="1" applyBorder="1"/>
    <xf numFmtId="0" fontId="0" fillId="34" borderId="147" xfId="0" applyFill="1" applyBorder="1"/>
    <xf numFmtId="0" fontId="0" fillId="34" borderId="148" xfId="0" applyFill="1" applyBorder="1" applyAlignment="1">
      <alignment horizontal="right" vertical="center"/>
    </xf>
    <xf numFmtId="0" fontId="0" fillId="34" borderId="149" xfId="0" applyFill="1" applyBorder="1"/>
    <xf numFmtId="0" fontId="0" fillId="34" borderId="152" xfId="0" applyFill="1" applyBorder="1" applyAlignment="1"/>
    <xf numFmtId="0" fontId="0" fillId="34" borderId="125" xfId="0" applyFill="1" applyBorder="1" applyAlignment="1"/>
    <xf numFmtId="0" fontId="0" fillId="34" borderId="154" xfId="0" applyFill="1" applyBorder="1"/>
    <xf numFmtId="0" fontId="0" fillId="34" borderId="158" xfId="0" applyFill="1" applyBorder="1"/>
    <xf numFmtId="0" fontId="0" fillId="34" borderId="14" xfId="0" applyFill="1" applyBorder="1"/>
    <xf numFmtId="0" fontId="0" fillId="34" borderId="15" xfId="0" applyFill="1" applyBorder="1"/>
    <xf numFmtId="0" fontId="0" fillId="34" borderId="16" xfId="0" applyFill="1" applyBorder="1"/>
    <xf numFmtId="0" fontId="66" fillId="0" borderId="0" xfId="0" applyFont="1"/>
    <xf numFmtId="0" fontId="61" fillId="35" borderId="144" xfId="0" applyFont="1" applyFill="1" applyBorder="1" applyAlignment="1">
      <alignment horizontal="center"/>
    </xf>
    <xf numFmtId="0" fontId="0" fillId="7" borderId="125" xfId="0" applyFill="1" applyBorder="1" applyAlignment="1">
      <alignment horizontal="center"/>
    </xf>
    <xf numFmtId="0" fontId="0" fillId="31" borderId="125" xfId="0" applyFill="1" applyBorder="1" applyAlignment="1">
      <alignment horizontal="center"/>
    </xf>
    <xf numFmtId="0" fontId="0" fillId="7" borderId="145" xfId="0" applyFill="1" applyBorder="1" applyAlignment="1">
      <alignment horizontal="center"/>
    </xf>
    <xf numFmtId="0" fontId="0" fillId="7" borderId="130" xfId="0" applyFill="1" applyBorder="1" applyAlignment="1">
      <alignment horizontal="center"/>
    </xf>
    <xf numFmtId="0" fontId="0" fillId="16" borderId="159" xfId="0" applyFont="1" applyFill="1" applyBorder="1" applyAlignment="1">
      <alignment horizontal="center"/>
    </xf>
    <xf numFmtId="0" fontId="0" fillId="0" borderId="159" xfId="0" applyFont="1" applyBorder="1" applyAlignment="1">
      <alignment horizontal="center"/>
    </xf>
    <xf numFmtId="0" fontId="0" fillId="16" borderId="162" xfId="0" applyFont="1" applyFill="1" applyBorder="1" applyAlignment="1">
      <alignment horizontal="center"/>
    </xf>
    <xf numFmtId="0" fontId="0" fillId="0" borderId="163" xfId="0" applyFont="1" applyBorder="1" applyAlignment="1">
      <alignment horizontal="center"/>
    </xf>
    <xf numFmtId="2" fontId="54" fillId="0" borderId="0" xfId="0" applyNumberFormat="1" applyFont="1"/>
    <xf numFmtId="2" fontId="54" fillId="0" borderId="0" xfId="0" quotePrefix="1" applyNumberFormat="1" applyFont="1"/>
    <xf numFmtId="0" fontId="0" fillId="0" borderId="0" xfId="0" applyAlignment="1">
      <alignment vertical="center" wrapText="1"/>
    </xf>
    <xf numFmtId="0" fontId="59" fillId="0" borderId="4" xfId="0" applyFont="1" applyBorder="1" applyAlignment="1">
      <alignment horizontal="center" vertical="center"/>
    </xf>
    <xf numFmtId="0" fontId="59" fillId="0" borderId="5" xfId="0" applyFont="1" applyBorder="1" applyAlignment="1">
      <alignment horizontal="center"/>
    </xf>
    <xf numFmtId="0" fontId="59" fillId="0" borderId="5" xfId="0" applyFont="1" applyBorder="1"/>
    <xf numFmtId="0" fontId="59" fillId="0" borderId="6" xfId="0" applyFont="1" applyBorder="1"/>
    <xf numFmtId="0" fontId="59" fillId="0" borderId="18" xfId="0" applyFont="1" applyBorder="1"/>
    <xf numFmtId="0" fontId="59" fillId="0" borderId="18" xfId="0" applyFont="1" applyBorder="1" applyAlignment="1">
      <alignment horizontal="center"/>
    </xf>
    <xf numFmtId="0" fontId="59" fillId="16" borderId="7" xfId="0" applyFont="1" applyFill="1" applyBorder="1" applyAlignment="1">
      <alignment horizontal="center" vertical="center"/>
    </xf>
    <xf numFmtId="0" fontId="59" fillId="0" borderId="3" xfId="0" applyFont="1" applyBorder="1"/>
    <xf numFmtId="0" fontId="60" fillId="0" borderId="3" xfId="0" applyFont="1" applyBorder="1"/>
    <xf numFmtId="0" fontId="59" fillId="0" borderId="2" xfId="0" applyFont="1" applyBorder="1" applyAlignment="1">
      <alignment horizontal="center"/>
    </xf>
    <xf numFmtId="14" fontId="7" fillId="0" borderId="0" xfId="0" applyNumberFormat="1" applyFont="1"/>
    <xf numFmtId="2" fontId="7" fillId="0" borderId="0" xfId="0" applyNumberFormat="1" applyFont="1" applyAlignment="1"/>
    <xf numFmtId="2" fontId="0" fillId="9" borderId="1" xfId="0" applyNumberFormat="1" applyFill="1" applyBorder="1"/>
    <xf numFmtId="0" fontId="0" fillId="0" borderId="77" xfId="0" applyBorder="1"/>
    <xf numFmtId="0" fontId="0" fillId="0" borderId="69" xfId="0" applyBorder="1"/>
    <xf numFmtId="0" fontId="0" fillId="0" borderId="78" xfId="0" applyBorder="1"/>
    <xf numFmtId="0" fontId="0" fillId="0" borderId="27" xfId="0" applyBorder="1"/>
    <xf numFmtId="0" fontId="0" fillId="0" borderId="45" xfId="0" applyBorder="1"/>
    <xf numFmtId="2" fontId="0" fillId="0" borderId="39" xfId="0" applyNumberFormat="1" applyBorder="1"/>
    <xf numFmtId="0" fontId="54" fillId="0" borderId="0" xfId="0" applyFont="1" applyAlignment="1">
      <alignment horizontal="center"/>
    </xf>
    <xf numFmtId="0" fontId="62" fillId="30" borderId="52" xfId="0" applyFont="1" applyFill="1" applyBorder="1" applyAlignment="1">
      <alignment horizontal="center"/>
    </xf>
    <xf numFmtId="0" fontId="62" fillId="30" borderId="53" xfId="0" applyFont="1" applyFill="1" applyBorder="1" applyAlignment="1">
      <alignment horizontal="center"/>
    </xf>
    <xf numFmtId="0" fontId="0" fillId="9" borderId="0" xfId="0" applyFill="1"/>
    <xf numFmtId="0" fontId="62" fillId="7" borderId="40" xfId="0" applyFont="1" applyFill="1" applyBorder="1" applyAlignment="1">
      <alignment horizontal="left"/>
    </xf>
    <xf numFmtId="0" fontId="62" fillId="7" borderId="40" xfId="0" applyFont="1" applyFill="1" applyBorder="1" applyAlignment="1">
      <alignment horizontal="right"/>
    </xf>
    <xf numFmtId="0" fontId="62" fillId="7" borderId="70" xfId="0" applyFont="1" applyFill="1" applyBorder="1" applyAlignment="1">
      <alignment horizontal="center"/>
    </xf>
    <xf numFmtId="0" fontId="62" fillId="7" borderId="13" xfId="0" applyFont="1" applyFill="1" applyBorder="1" applyAlignment="1">
      <alignment horizontal="center"/>
    </xf>
    <xf numFmtId="0" fontId="62" fillId="7" borderId="52" xfId="0" applyFont="1" applyFill="1" applyBorder="1" applyAlignment="1">
      <alignment horizontal="center" vertical="center" wrapText="1"/>
    </xf>
    <xf numFmtId="0" fontId="0" fillId="9" borderId="0" xfId="0" applyFill="1"/>
    <xf numFmtId="2" fontId="0" fillId="9" borderId="0" xfId="0" applyNumberFormat="1" applyFill="1"/>
    <xf numFmtId="0" fontId="62" fillId="7" borderId="33" xfId="0" applyFont="1" applyFill="1" applyBorder="1" applyAlignment="1">
      <alignment horizontal="right"/>
    </xf>
    <xf numFmtId="164" fontId="62" fillId="7" borderId="34" xfId="0" applyNumberFormat="1" applyFont="1" applyFill="1" applyBorder="1" applyAlignment="1">
      <alignment horizontal="left"/>
    </xf>
    <xf numFmtId="164" fontId="62" fillId="30" borderId="35" xfId="0" applyNumberFormat="1" applyFont="1" applyFill="1" applyBorder="1" applyAlignment="1">
      <alignment horizontal="center" vertical="center"/>
    </xf>
    <xf numFmtId="2" fontId="62" fillId="7" borderId="1" xfId="0" applyNumberFormat="1" applyFont="1" applyFill="1" applyBorder="1" applyAlignment="1">
      <alignment horizontal="center" vertical="center"/>
    </xf>
    <xf numFmtId="164" fontId="62" fillId="30" borderId="77" xfId="0" applyNumberFormat="1" applyFont="1" applyFill="1" applyBorder="1" applyAlignment="1">
      <alignment horizontal="center" vertical="center"/>
    </xf>
    <xf numFmtId="2" fontId="62" fillId="7" borderId="18" xfId="0" applyNumberFormat="1" applyFont="1" applyFill="1" applyBorder="1" applyAlignment="1">
      <alignment horizontal="center" vertical="center"/>
    </xf>
    <xf numFmtId="0" fontId="62" fillId="7" borderId="7" xfId="0" applyFont="1" applyFill="1" applyBorder="1" applyAlignment="1">
      <alignment horizontal="right"/>
    </xf>
    <xf numFmtId="164" fontId="62" fillId="7" borderId="3" xfId="0" applyNumberFormat="1" applyFont="1" applyFill="1" applyBorder="1" applyAlignment="1">
      <alignment horizontal="left"/>
    </xf>
    <xf numFmtId="0" fontId="62" fillId="7" borderId="3" xfId="0" applyFont="1" applyFill="1" applyBorder="1" applyAlignment="1">
      <alignment horizontal="right"/>
    </xf>
    <xf numFmtId="2" fontId="62" fillId="30" borderId="29" xfId="0" applyNumberFormat="1" applyFont="1" applyFill="1" applyBorder="1" applyAlignment="1">
      <alignment horizontal="center" vertical="center"/>
    </xf>
    <xf numFmtId="2" fontId="62" fillId="7" borderId="17" xfId="0" applyNumberFormat="1" applyFont="1" applyFill="1" applyBorder="1" applyAlignment="1">
      <alignment horizontal="center" vertical="center"/>
    </xf>
    <xf numFmtId="0" fontId="67" fillId="15" borderId="77" xfId="0" applyFont="1" applyFill="1" applyBorder="1" applyAlignment="1">
      <alignment horizontal="center" vertical="center"/>
    </xf>
    <xf numFmtId="0" fontId="67" fillId="15" borderId="34" xfId="0" applyFont="1" applyFill="1" applyBorder="1" applyAlignment="1">
      <alignment horizontal="center" vertical="center" wrapText="1"/>
    </xf>
    <xf numFmtId="0" fontId="0" fillId="0" borderId="1" xfId="0" applyBorder="1" applyAlignment="1">
      <alignment horizontal="center" vertical="center"/>
    </xf>
    <xf numFmtId="0" fontId="0" fillId="2" borderId="1" xfId="0" applyFill="1" applyBorder="1" applyAlignment="1">
      <alignment horizontal="center" vertical="center"/>
    </xf>
    <xf numFmtId="0" fontId="0" fillId="9" borderId="0" xfId="0" applyFill="1"/>
    <xf numFmtId="0" fontId="0" fillId="37" borderId="0" xfId="0" applyFill="1"/>
    <xf numFmtId="0" fontId="62" fillId="7" borderId="26" xfId="0" applyFont="1" applyFill="1" applyBorder="1" applyAlignment="1">
      <alignment horizontal="right"/>
    </xf>
    <xf numFmtId="164" fontId="62" fillId="7" borderId="27" xfId="0" applyNumberFormat="1" applyFont="1" applyFill="1" applyBorder="1" applyAlignment="1">
      <alignment horizontal="left"/>
    </xf>
    <xf numFmtId="0" fontId="62" fillId="7" borderId="27" xfId="0" applyFont="1" applyFill="1" applyBorder="1" applyAlignment="1">
      <alignment horizontal="right"/>
    </xf>
    <xf numFmtId="164" fontId="62" fillId="30" borderId="78" xfId="0" applyNumberFormat="1" applyFont="1" applyFill="1" applyBorder="1" applyAlignment="1">
      <alignment horizontal="center" vertical="center"/>
    </xf>
    <xf numFmtId="164" fontId="62" fillId="30" borderId="28" xfId="0" applyNumberFormat="1" applyFont="1" applyFill="1" applyBorder="1" applyAlignment="1">
      <alignment horizontal="center" vertical="center"/>
    </xf>
    <xf numFmtId="2" fontId="14" fillId="7" borderId="33" xfId="0" applyNumberFormat="1" applyFont="1" applyFill="1" applyBorder="1" applyAlignment="1">
      <alignment horizontal="center" vertical="center"/>
    </xf>
    <xf numFmtId="164" fontId="14" fillId="7" borderId="34" xfId="0" applyNumberFormat="1" applyFont="1" applyFill="1" applyBorder="1" applyAlignment="1">
      <alignment horizontal="center" vertical="center"/>
    </xf>
    <xf numFmtId="0" fontId="62" fillId="7" borderId="4" xfId="0" applyFont="1" applyFill="1" applyBorder="1" applyAlignment="1">
      <alignment horizontal="right"/>
    </xf>
    <xf numFmtId="164" fontId="62" fillId="7" borderId="5" xfId="0" applyNumberFormat="1" applyFont="1" applyFill="1" applyBorder="1" applyAlignment="1">
      <alignment horizontal="left"/>
    </xf>
    <xf numFmtId="0" fontId="62" fillId="7" borderId="5" xfId="0" applyFont="1" applyFill="1" applyBorder="1" applyAlignment="1">
      <alignment horizontal="right"/>
    </xf>
    <xf numFmtId="164" fontId="62" fillId="30" borderId="4" xfId="0" applyNumberFormat="1" applyFont="1" applyFill="1" applyBorder="1" applyAlignment="1">
      <alignment horizontal="center" vertical="center"/>
    </xf>
    <xf numFmtId="164" fontId="62" fillId="30" borderId="6" xfId="0" applyNumberFormat="1" applyFont="1" applyFill="1" applyBorder="1" applyAlignment="1">
      <alignment horizontal="center" vertical="center"/>
    </xf>
    <xf numFmtId="164" fontId="62" fillId="30" borderId="7" xfId="0" applyNumberFormat="1" applyFont="1" applyFill="1" applyBorder="1" applyAlignment="1">
      <alignment horizontal="center" vertical="center"/>
    </xf>
    <xf numFmtId="164" fontId="62" fillId="30" borderId="2" xfId="0" applyNumberFormat="1" applyFont="1" applyFill="1" applyBorder="1" applyAlignment="1">
      <alignment horizontal="center" vertical="center"/>
    </xf>
    <xf numFmtId="9" fontId="0" fillId="0" borderId="0" xfId="3" applyFont="1"/>
    <xf numFmtId="0" fontId="61" fillId="0" borderId="78" xfId="0" applyFont="1" applyBorder="1"/>
    <xf numFmtId="0" fontId="61" fillId="0" borderId="98" xfId="0" applyFont="1" applyBorder="1"/>
    <xf numFmtId="0" fontId="61" fillId="0" borderId="27" xfId="0" applyFont="1" applyBorder="1"/>
    <xf numFmtId="2" fontId="61" fillId="0" borderId="39" xfId="0" applyNumberFormat="1" applyFont="1" applyBorder="1"/>
    <xf numFmtId="0" fontId="0" fillId="0" borderId="78" xfId="0" applyNumberFormat="1" applyBorder="1"/>
    <xf numFmtId="0" fontId="54" fillId="0" borderId="0" xfId="0" applyFont="1" applyAlignment="1">
      <alignment horizontal="center" wrapText="1"/>
    </xf>
    <xf numFmtId="0" fontId="54" fillId="0" borderId="0" xfId="0" applyFont="1" applyAlignment="1">
      <alignment horizontal="center" vertical="center" wrapText="1"/>
    </xf>
    <xf numFmtId="0" fontId="0" fillId="36" borderId="155" xfId="0" applyFill="1" applyBorder="1" applyAlignment="1">
      <alignment horizontal="center"/>
    </xf>
    <xf numFmtId="0" fontId="0" fillId="36" borderId="156" xfId="0" applyFill="1" applyBorder="1" applyAlignment="1">
      <alignment horizontal="center"/>
    </xf>
    <xf numFmtId="0" fontId="0" fillId="36" borderId="157" xfId="0" applyFill="1" applyBorder="1" applyAlignment="1">
      <alignment horizontal="center"/>
    </xf>
    <xf numFmtId="0" fontId="0" fillId="10" borderId="23" xfId="0" applyFill="1" applyBorder="1" applyAlignment="1">
      <alignment horizontal="center"/>
    </xf>
    <xf numFmtId="0" fontId="0" fillId="10" borderId="24" xfId="0" applyFill="1" applyBorder="1" applyAlignment="1">
      <alignment horizontal="center"/>
    </xf>
    <xf numFmtId="0" fontId="0" fillId="10" borderId="25" xfId="0" applyFill="1" applyBorder="1" applyAlignment="1">
      <alignment horizontal="center"/>
    </xf>
    <xf numFmtId="0" fontId="0" fillId="34" borderId="143" xfId="0" applyFill="1" applyBorder="1" applyAlignment="1">
      <alignment horizontal="center"/>
    </xf>
    <xf numFmtId="0" fontId="0" fillId="34" borderId="134" xfId="0" applyFill="1" applyBorder="1" applyAlignment="1">
      <alignment horizontal="center"/>
    </xf>
    <xf numFmtId="0" fontId="0" fillId="34" borderId="149" xfId="0" applyFill="1" applyBorder="1" applyAlignment="1">
      <alignment horizontal="center"/>
    </xf>
    <xf numFmtId="0" fontId="0" fillId="34" borderId="138" xfId="0" applyFill="1" applyBorder="1" applyAlignment="1">
      <alignment horizontal="center"/>
    </xf>
    <xf numFmtId="0" fontId="0" fillId="34" borderId="139" xfId="0" applyFill="1" applyBorder="1" applyAlignment="1">
      <alignment horizontal="center"/>
    </xf>
    <xf numFmtId="0" fontId="0" fillId="34" borderId="140" xfId="0" applyFill="1" applyBorder="1" applyAlignment="1">
      <alignment horizontal="center"/>
    </xf>
    <xf numFmtId="0" fontId="0" fillId="34" borderId="150" xfId="0" applyFill="1" applyBorder="1" applyAlignment="1">
      <alignment horizontal="center" wrapText="1"/>
    </xf>
    <xf numFmtId="0" fontId="0" fillId="34" borderId="136" xfId="0" applyFill="1" applyBorder="1" applyAlignment="1">
      <alignment horizontal="center" wrapText="1"/>
    </xf>
    <xf numFmtId="0" fontId="0" fillId="34" borderId="151" xfId="0" applyFill="1" applyBorder="1" applyAlignment="1">
      <alignment horizontal="center" wrapText="1"/>
    </xf>
    <xf numFmtId="2" fontId="0" fillId="33" borderId="153" xfId="0" applyNumberFormat="1" applyFill="1" applyBorder="1" applyAlignment="1">
      <alignment horizontal="center"/>
    </xf>
    <xf numFmtId="2" fontId="0" fillId="33" borderId="131" xfId="0" applyNumberFormat="1" applyFill="1" applyBorder="1" applyAlignment="1">
      <alignment horizontal="center"/>
    </xf>
    <xf numFmtId="2" fontId="0" fillId="33" borderId="132" xfId="0" applyNumberFormat="1" applyFill="1" applyBorder="1" applyAlignment="1">
      <alignment horizontal="center"/>
    </xf>
    <xf numFmtId="0" fontId="0" fillId="34" borderId="143" xfId="0" applyFill="1" applyBorder="1" applyAlignment="1">
      <alignment horizontal="center" vertical="center" wrapText="1"/>
    </xf>
    <xf numFmtId="0" fontId="0" fillId="34" borderId="134" xfId="0" applyFill="1" applyBorder="1" applyAlignment="1">
      <alignment horizontal="center" vertical="center" wrapText="1"/>
    </xf>
    <xf numFmtId="0" fontId="0" fillId="34" borderId="149" xfId="0" applyFill="1" applyBorder="1" applyAlignment="1">
      <alignment horizontal="center" vertical="center" wrapText="1"/>
    </xf>
    <xf numFmtId="0" fontId="0" fillId="34" borderId="164" xfId="0" applyFill="1" applyBorder="1" applyAlignment="1">
      <alignment horizontal="center"/>
    </xf>
    <xf numFmtId="0" fontId="0" fillId="9" borderId="0" xfId="0" applyFill="1" applyAlignment="1">
      <alignment horizontal="center"/>
    </xf>
    <xf numFmtId="0" fontId="0" fillId="9" borderId="10" xfId="0" applyFill="1" applyBorder="1" applyAlignment="1">
      <alignment horizontal="center" wrapText="1"/>
    </xf>
    <xf numFmtId="0" fontId="0" fillId="9" borderId="0" xfId="0" applyFill="1" applyBorder="1" applyAlignment="1">
      <alignment horizontal="center" wrapText="1"/>
    </xf>
    <xf numFmtId="0" fontId="0" fillId="9" borderId="0" xfId="0" applyFill="1" applyAlignment="1">
      <alignment horizontal="center" wrapText="1"/>
    </xf>
    <xf numFmtId="0" fontId="0" fillId="9" borderId="0" xfId="0" applyFill="1" applyAlignment="1">
      <alignment horizontal="center" vertical="center" wrapText="1"/>
    </xf>
    <xf numFmtId="2" fontId="62" fillId="30" borderId="61" xfId="0" applyNumberFormat="1" applyFont="1" applyFill="1" applyBorder="1" applyAlignment="1">
      <alignment horizontal="center" vertical="center"/>
    </xf>
    <xf numFmtId="2" fontId="62" fillId="30" borderId="31" xfId="0" applyNumberFormat="1" applyFont="1" applyFill="1" applyBorder="1" applyAlignment="1">
      <alignment horizontal="center" vertical="center"/>
    </xf>
    <xf numFmtId="0" fontId="0" fillId="31" borderId="36" xfId="0" applyFill="1" applyBorder="1" applyAlignment="1">
      <alignment horizontal="right"/>
    </xf>
    <xf numFmtId="0" fontId="0" fillId="31" borderId="37" xfId="0" applyFill="1" applyBorder="1" applyAlignment="1">
      <alignment horizontal="right"/>
    </xf>
    <xf numFmtId="164" fontId="62" fillId="30" borderId="9" xfId="0" applyNumberFormat="1" applyFont="1" applyFill="1" applyBorder="1" applyAlignment="1">
      <alignment horizontal="center" vertical="center" wrapText="1"/>
    </xf>
    <xf numFmtId="164" fontId="62" fillId="30" borderId="59" xfId="0" applyNumberFormat="1" applyFont="1" applyFill="1" applyBorder="1" applyAlignment="1">
      <alignment horizontal="center" vertical="center" wrapText="1"/>
    </xf>
    <xf numFmtId="0" fontId="62" fillId="30" borderId="9" xfId="0" applyFont="1" applyFill="1" applyBorder="1" applyAlignment="1">
      <alignment horizontal="center" vertical="center" wrapText="1"/>
    </xf>
    <xf numFmtId="0" fontId="62" fillId="30" borderId="11" xfId="0" applyFont="1" applyFill="1" applyBorder="1" applyAlignment="1">
      <alignment horizontal="center" vertical="center" wrapText="1"/>
    </xf>
    <xf numFmtId="164" fontId="62" fillId="30" borderId="36" xfId="0" applyNumberFormat="1" applyFont="1" applyFill="1" applyBorder="1" applyAlignment="1">
      <alignment horizontal="center"/>
    </xf>
    <xf numFmtId="164" fontId="62" fillId="30" borderId="38" xfId="0" applyNumberFormat="1" applyFont="1" applyFill="1" applyBorder="1" applyAlignment="1">
      <alignment horizontal="center"/>
    </xf>
    <xf numFmtId="0" fontId="2" fillId="31" borderId="71" xfId="0" applyFont="1" applyFill="1" applyBorder="1" applyAlignment="1">
      <alignment horizontal="right" vertical="center"/>
    </xf>
    <xf numFmtId="0" fontId="2" fillId="31" borderId="72" xfId="0" applyFont="1" applyFill="1" applyBorder="1" applyAlignment="1">
      <alignment horizontal="right" vertical="center"/>
    </xf>
    <xf numFmtId="0" fontId="2" fillId="31" borderId="76" xfId="0" applyFont="1" applyFill="1" applyBorder="1" applyAlignment="1">
      <alignment horizontal="right" vertical="center"/>
    </xf>
    <xf numFmtId="164" fontId="62" fillId="7" borderId="57" xfId="0" applyNumberFormat="1" applyFont="1" applyFill="1" applyBorder="1" applyAlignment="1">
      <alignment horizontal="center"/>
    </xf>
    <xf numFmtId="164" fontId="62" fillId="7" borderId="58" xfId="0" applyNumberFormat="1" applyFont="1" applyFill="1" applyBorder="1" applyAlignment="1">
      <alignment horizontal="center"/>
    </xf>
    <xf numFmtId="164" fontId="62" fillId="7" borderId="54" xfId="0" applyNumberFormat="1" applyFont="1" applyFill="1" applyBorder="1" applyAlignment="1">
      <alignment horizontal="center"/>
    </xf>
    <xf numFmtId="164" fontId="62" fillId="30" borderId="17" xfId="0" applyNumberFormat="1" applyFont="1" applyFill="1" applyBorder="1" applyAlignment="1">
      <alignment horizontal="center"/>
    </xf>
    <xf numFmtId="164" fontId="62" fillId="30" borderId="18" xfId="0" applyNumberFormat="1" applyFont="1" applyFill="1" applyBorder="1" applyAlignment="1">
      <alignment horizontal="center"/>
    </xf>
    <xf numFmtId="165" fontId="62" fillId="30" borderId="7" xfId="3" applyNumberFormat="1" applyFont="1" applyFill="1" applyBorder="1" applyAlignment="1">
      <alignment horizontal="center"/>
    </xf>
    <xf numFmtId="165" fontId="62" fillId="30" borderId="2" xfId="3" applyNumberFormat="1" applyFont="1" applyFill="1" applyBorder="1" applyAlignment="1">
      <alignment horizontal="center"/>
    </xf>
    <xf numFmtId="0" fontId="2" fillId="31" borderId="84" xfId="0" applyFont="1" applyFill="1" applyBorder="1" applyAlignment="1">
      <alignment horizontal="right" vertical="center" wrapText="1"/>
    </xf>
    <xf numFmtId="0" fontId="2" fillId="31" borderId="55" xfId="0" applyFont="1" applyFill="1" applyBorder="1" applyAlignment="1">
      <alignment horizontal="right" vertical="center" wrapText="1"/>
    </xf>
    <xf numFmtId="0" fontId="2" fillId="31" borderId="56" xfId="0" applyFont="1" applyFill="1" applyBorder="1" applyAlignment="1">
      <alignment horizontal="right" vertical="center" wrapText="1"/>
    </xf>
    <xf numFmtId="164" fontId="62" fillId="30" borderId="7" xfId="0" applyNumberFormat="1" applyFont="1" applyFill="1" applyBorder="1" applyAlignment="1">
      <alignment horizontal="center"/>
    </xf>
    <xf numFmtId="164" fontId="62" fillId="30" borderId="2" xfId="0" applyNumberFormat="1" applyFont="1" applyFill="1" applyBorder="1" applyAlignment="1">
      <alignment horizontal="center"/>
    </xf>
    <xf numFmtId="0" fontId="2" fillId="31" borderId="9" xfId="0" applyFont="1" applyFill="1" applyBorder="1" applyAlignment="1">
      <alignment horizontal="right"/>
    </xf>
    <xf numFmtId="0" fontId="2" fillId="31" borderId="10" xfId="0" applyFont="1" applyFill="1" applyBorder="1" applyAlignment="1">
      <alignment horizontal="right"/>
    </xf>
    <xf numFmtId="0" fontId="2" fillId="31" borderId="7" xfId="0" applyFont="1" applyFill="1" applyBorder="1" applyAlignment="1">
      <alignment horizontal="right" vertical="center"/>
    </xf>
    <xf numFmtId="0" fontId="2" fillId="31" borderId="3" xfId="0" applyFont="1" applyFill="1" applyBorder="1" applyAlignment="1">
      <alignment horizontal="right" vertical="center"/>
    </xf>
    <xf numFmtId="0" fontId="2" fillId="31" borderId="21" xfId="0" applyFont="1" applyFill="1" applyBorder="1" applyAlignment="1">
      <alignment horizontal="right" vertical="center"/>
    </xf>
    <xf numFmtId="0" fontId="2" fillId="31" borderId="26" xfId="0" applyFont="1" applyFill="1" applyBorder="1" applyAlignment="1">
      <alignment horizontal="right" vertical="center"/>
    </xf>
    <xf numFmtId="0" fontId="2" fillId="31" borderId="27" xfId="0" applyFont="1" applyFill="1" applyBorder="1" applyAlignment="1">
      <alignment horizontal="right" vertical="center"/>
    </xf>
    <xf numFmtId="0" fontId="2" fillId="31" borderId="39" xfId="0" applyFont="1" applyFill="1" applyBorder="1" applyAlignment="1">
      <alignment horizontal="right" vertical="center"/>
    </xf>
    <xf numFmtId="0" fontId="62" fillId="7" borderId="26" xfId="0" applyFont="1" applyFill="1" applyBorder="1" applyAlignment="1">
      <alignment horizontal="center"/>
    </xf>
    <xf numFmtId="0" fontId="62" fillId="7" borderId="27" xfId="0" applyFont="1" applyFill="1" applyBorder="1" applyAlignment="1">
      <alignment horizontal="center"/>
    </xf>
    <xf numFmtId="0" fontId="62" fillId="7" borderId="39" xfId="0" applyFont="1" applyFill="1" applyBorder="1" applyAlignment="1">
      <alignment horizontal="center"/>
    </xf>
    <xf numFmtId="0" fontId="62" fillId="7" borderId="28" xfId="0" applyFont="1" applyFill="1" applyBorder="1" applyAlignment="1">
      <alignment horizontal="center"/>
    </xf>
    <xf numFmtId="0" fontId="2" fillId="31" borderId="33" xfId="0" applyFont="1" applyFill="1" applyBorder="1" applyAlignment="1">
      <alignment horizontal="center" vertical="center" wrapText="1"/>
    </xf>
    <xf numFmtId="0" fontId="2" fillId="31" borderId="34" xfId="0" applyFont="1" applyFill="1" applyBorder="1" applyAlignment="1">
      <alignment horizontal="center" vertical="center" wrapText="1"/>
    </xf>
    <xf numFmtId="0" fontId="2" fillId="31" borderId="26" xfId="0" applyFont="1" applyFill="1" applyBorder="1" applyAlignment="1">
      <alignment horizontal="center" vertical="center" wrapText="1"/>
    </xf>
    <xf numFmtId="0" fontId="2" fillId="31" borderId="27" xfId="0" applyFont="1" applyFill="1" applyBorder="1" applyAlignment="1">
      <alignment horizontal="center" vertical="center" wrapText="1"/>
    </xf>
    <xf numFmtId="164" fontId="62" fillId="30" borderId="26" xfId="0" applyNumberFormat="1" applyFont="1" applyFill="1" applyBorder="1" applyAlignment="1">
      <alignment horizontal="center"/>
    </xf>
    <xf numFmtId="164" fontId="62" fillId="30" borderId="28" xfId="0" applyNumberFormat="1" applyFont="1" applyFill="1" applyBorder="1" applyAlignment="1">
      <alignment horizontal="center"/>
    </xf>
    <xf numFmtId="0" fontId="62" fillId="30" borderId="7" xfId="0" applyFont="1" applyFill="1" applyBorder="1" applyAlignment="1">
      <alignment horizontal="center"/>
    </xf>
    <xf numFmtId="0" fontId="62" fillId="30" borderId="2" xfId="0" applyFont="1" applyFill="1" applyBorder="1" applyAlignment="1">
      <alignment horizontal="center"/>
    </xf>
    <xf numFmtId="164" fontId="62" fillId="30" borderId="33" xfId="0" applyNumberFormat="1" applyFont="1" applyFill="1" applyBorder="1" applyAlignment="1">
      <alignment horizontal="center"/>
    </xf>
    <xf numFmtId="164" fontId="62" fillId="30" borderId="35" xfId="0" applyNumberFormat="1" applyFont="1" applyFill="1" applyBorder="1" applyAlignment="1">
      <alignment horizontal="center"/>
    </xf>
    <xf numFmtId="164" fontId="62" fillId="30" borderId="4" xfId="0" applyNumberFormat="1" applyFont="1" applyFill="1" applyBorder="1" applyAlignment="1">
      <alignment horizontal="center"/>
    </xf>
    <xf numFmtId="164" fontId="62" fillId="30" borderId="6" xfId="0" applyNumberFormat="1" applyFont="1" applyFill="1" applyBorder="1" applyAlignment="1">
      <alignment horizontal="center"/>
    </xf>
    <xf numFmtId="164" fontId="62" fillId="30" borderId="9" xfId="0" applyNumberFormat="1" applyFont="1" applyFill="1" applyBorder="1" applyAlignment="1">
      <alignment horizontal="center" vertical="center"/>
    </xf>
    <xf numFmtId="164" fontId="62" fillId="30" borderId="11" xfId="0" applyNumberFormat="1" applyFont="1" applyFill="1" applyBorder="1" applyAlignment="1">
      <alignment horizontal="center" vertical="center"/>
    </xf>
    <xf numFmtId="0" fontId="62" fillId="7" borderId="69" xfId="0" applyFont="1" applyFill="1" applyBorder="1" applyAlignment="1">
      <alignment horizontal="center"/>
    </xf>
    <xf numFmtId="0" fontId="62" fillId="7" borderId="83" xfId="0" applyFont="1" applyFill="1" applyBorder="1" applyAlignment="1">
      <alignment horizontal="center"/>
    </xf>
    <xf numFmtId="0" fontId="3" fillId="32" borderId="9" xfId="0" applyFont="1" applyFill="1" applyBorder="1" applyAlignment="1">
      <alignment horizontal="center" vertical="center"/>
    </xf>
    <xf numFmtId="0" fontId="3" fillId="32" borderId="10" xfId="0" applyFont="1" applyFill="1" applyBorder="1" applyAlignment="1">
      <alignment horizontal="center" vertical="center"/>
    </xf>
    <xf numFmtId="0" fontId="3" fillId="32" borderId="11" xfId="0" applyFont="1" applyFill="1" applyBorder="1" applyAlignment="1">
      <alignment horizontal="center" vertical="center"/>
    </xf>
    <xf numFmtId="0" fontId="3" fillId="32" borderId="14" xfId="0" applyFont="1" applyFill="1" applyBorder="1" applyAlignment="1">
      <alignment horizontal="center" vertical="center"/>
    </xf>
    <xf numFmtId="0" fontId="3" fillId="32" borderId="15" xfId="0" applyFont="1" applyFill="1" applyBorder="1" applyAlignment="1">
      <alignment horizontal="center" vertical="center"/>
    </xf>
    <xf numFmtId="0" fontId="3" fillId="32" borderId="16" xfId="0" applyFont="1" applyFill="1" applyBorder="1" applyAlignment="1">
      <alignment horizontal="center" vertical="center"/>
    </xf>
    <xf numFmtId="0" fontId="12" fillId="31" borderId="9" xfId="0" applyFont="1" applyFill="1" applyBorder="1" applyAlignment="1">
      <alignment horizontal="center" vertical="center" wrapText="1"/>
    </xf>
    <xf numFmtId="0" fontId="12" fillId="31" borderId="59" xfId="0" applyFont="1" applyFill="1" applyBorder="1" applyAlignment="1">
      <alignment horizontal="center" vertical="center" wrapText="1"/>
    </xf>
    <xf numFmtId="0" fontId="12" fillId="31" borderId="14" xfId="0" applyFont="1" applyFill="1" applyBorder="1" applyAlignment="1">
      <alignment horizontal="center" vertical="center" wrapText="1"/>
    </xf>
    <xf numFmtId="0" fontId="12" fillId="31" borderId="60" xfId="0" applyFont="1" applyFill="1" applyBorder="1" applyAlignment="1">
      <alignment horizontal="center" vertical="center" wrapText="1"/>
    </xf>
    <xf numFmtId="2" fontId="62" fillId="30" borderId="22" xfId="0" applyNumberFormat="1" applyFont="1" applyFill="1" applyBorder="1" applyAlignment="1">
      <alignment horizontal="center" vertical="center"/>
    </xf>
    <xf numFmtId="2" fontId="62" fillId="30" borderId="18" xfId="0" applyNumberFormat="1" applyFont="1" applyFill="1" applyBorder="1" applyAlignment="1">
      <alignment horizontal="center" vertical="center"/>
    </xf>
    <xf numFmtId="0" fontId="2" fillId="31" borderId="4" xfId="0" applyFont="1" applyFill="1" applyBorder="1" applyAlignment="1">
      <alignment horizontal="right" vertical="center"/>
    </xf>
    <xf numFmtId="0" fontId="2" fillId="31" borderId="5" xfId="0" applyFont="1" applyFill="1" applyBorder="1" applyAlignment="1">
      <alignment horizontal="right" vertical="center"/>
    </xf>
    <xf numFmtId="0" fontId="2" fillId="31" borderId="19" xfId="0" applyFont="1" applyFill="1" applyBorder="1" applyAlignment="1">
      <alignment horizontal="right" vertical="center"/>
    </xf>
    <xf numFmtId="2" fontId="62" fillId="30" borderId="4" xfId="0" applyNumberFormat="1" applyFont="1" applyFill="1" applyBorder="1" applyAlignment="1">
      <alignment horizontal="center"/>
    </xf>
    <xf numFmtId="2" fontId="62" fillId="30" borderId="6" xfId="0" applyNumberFormat="1" applyFont="1" applyFill="1" applyBorder="1" applyAlignment="1">
      <alignment horizontal="center"/>
    </xf>
    <xf numFmtId="164" fontId="62" fillId="30" borderId="71" xfId="0" applyNumberFormat="1" applyFont="1" applyFill="1" applyBorder="1" applyAlignment="1">
      <alignment horizontal="center"/>
    </xf>
    <xf numFmtId="164" fontId="62" fillId="30" borderId="73" xfId="0" applyNumberFormat="1" applyFont="1" applyFill="1" applyBorder="1" applyAlignment="1">
      <alignment horizontal="center"/>
    </xf>
    <xf numFmtId="164" fontId="62" fillId="30" borderId="57" xfId="0" applyNumberFormat="1" applyFont="1" applyFill="1" applyBorder="1" applyAlignment="1">
      <alignment horizontal="center"/>
    </xf>
    <xf numFmtId="164" fontId="62" fillId="30" borderId="54" xfId="0" applyNumberFormat="1" applyFont="1" applyFill="1" applyBorder="1" applyAlignment="1">
      <alignment horizontal="center"/>
    </xf>
    <xf numFmtId="0" fontId="2" fillId="31" borderId="17" xfId="0" applyFont="1" applyFill="1" applyBorder="1" applyAlignment="1">
      <alignment horizontal="right" vertical="center"/>
    </xf>
    <xf numFmtId="0" fontId="2" fillId="31" borderId="1" xfId="0" applyFont="1" applyFill="1" applyBorder="1" applyAlignment="1">
      <alignment horizontal="right" vertical="center"/>
    </xf>
    <xf numFmtId="164" fontId="14" fillId="30" borderId="33" xfId="0" applyNumberFormat="1" applyFont="1" applyFill="1" applyBorder="1" applyAlignment="1">
      <alignment horizontal="center"/>
    </xf>
    <xf numFmtId="164" fontId="14" fillId="30" borderId="35" xfId="0" applyNumberFormat="1" applyFont="1" applyFill="1" applyBorder="1" applyAlignment="1">
      <alignment horizontal="center"/>
    </xf>
    <xf numFmtId="164" fontId="14" fillId="30" borderId="7" xfId="0" applyNumberFormat="1" applyFont="1" applyFill="1" applyBorder="1" applyAlignment="1">
      <alignment horizontal="center"/>
    </xf>
    <xf numFmtId="164" fontId="14" fillId="30" borderId="2" xfId="0" applyNumberFormat="1" applyFont="1" applyFill="1" applyBorder="1" applyAlignment="1">
      <alignment horizontal="center"/>
    </xf>
    <xf numFmtId="2" fontId="62" fillId="30" borderId="33" xfId="0" applyNumberFormat="1" applyFont="1" applyFill="1" applyBorder="1" applyAlignment="1">
      <alignment horizontal="center"/>
    </xf>
    <xf numFmtId="2" fontId="62" fillId="30" borderId="35" xfId="0" applyNumberFormat="1" applyFont="1" applyFill="1" applyBorder="1" applyAlignment="1">
      <alignment horizontal="center"/>
    </xf>
    <xf numFmtId="0" fontId="62" fillId="30" borderId="26" xfId="0" applyFont="1" applyFill="1" applyBorder="1" applyAlignment="1">
      <alignment horizontal="center"/>
    </xf>
    <xf numFmtId="0" fontId="62" fillId="30" borderId="28" xfId="0" applyFont="1" applyFill="1" applyBorder="1" applyAlignment="1">
      <alignment horizontal="center"/>
    </xf>
    <xf numFmtId="0" fontId="2" fillId="31" borderId="33" xfId="0" applyFont="1" applyFill="1" applyBorder="1" applyAlignment="1">
      <alignment horizontal="right" vertical="center"/>
    </xf>
    <xf numFmtId="0" fontId="2" fillId="31" borderId="34" xfId="0" applyFont="1" applyFill="1" applyBorder="1" applyAlignment="1">
      <alignment horizontal="right" vertical="center"/>
    </xf>
    <xf numFmtId="164" fontId="14" fillId="7" borderId="34" xfId="0" applyNumberFormat="1" applyFont="1" applyFill="1" applyBorder="1" applyAlignment="1">
      <alignment horizontal="center" vertical="center"/>
    </xf>
    <xf numFmtId="164" fontId="14" fillId="7" borderId="35" xfId="0" applyNumberFormat="1" applyFont="1" applyFill="1" applyBorder="1" applyAlignment="1">
      <alignment horizontal="center" vertical="center"/>
    </xf>
    <xf numFmtId="164" fontId="14" fillId="7" borderId="3" xfId="0" applyNumberFormat="1" applyFont="1" applyFill="1" applyBorder="1" applyAlignment="1">
      <alignment horizontal="center" vertical="center"/>
    </xf>
    <xf numFmtId="164" fontId="14" fillId="7" borderId="2" xfId="0" applyNumberFormat="1" applyFont="1" applyFill="1" applyBorder="1" applyAlignment="1">
      <alignment horizontal="center" vertical="center"/>
    </xf>
    <xf numFmtId="0" fontId="12" fillId="31" borderId="33" xfId="0" applyFont="1" applyFill="1" applyBorder="1" applyAlignment="1">
      <alignment horizontal="center" vertical="center" textRotation="90"/>
    </xf>
    <xf numFmtId="0" fontId="12" fillId="31" borderId="34" xfId="0" applyFont="1" applyFill="1" applyBorder="1" applyAlignment="1">
      <alignment horizontal="center" vertical="center" textRotation="90"/>
    </xf>
    <xf numFmtId="0" fontId="12" fillId="31" borderId="69" xfId="0" applyFont="1" applyFill="1" applyBorder="1" applyAlignment="1">
      <alignment horizontal="center" vertical="center" textRotation="90"/>
    </xf>
    <xf numFmtId="0" fontId="12" fillId="31" borderId="17" xfId="0" applyFont="1" applyFill="1" applyBorder="1" applyAlignment="1">
      <alignment horizontal="center" vertical="center" textRotation="90"/>
    </xf>
    <xf numFmtId="0" fontId="12" fillId="31" borderId="1" xfId="0" applyFont="1" applyFill="1" applyBorder="1" applyAlignment="1">
      <alignment horizontal="center" vertical="center" textRotation="90"/>
    </xf>
    <xf numFmtId="0" fontId="12" fillId="31" borderId="20" xfId="0" applyFont="1" applyFill="1" applyBorder="1" applyAlignment="1">
      <alignment horizontal="center" vertical="center" textRotation="90"/>
    </xf>
    <xf numFmtId="0" fontId="12" fillId="31" borderId="26" xfId="0" applyFont="1" applyFill="1" applyBorder="1" applyAlignment="1">
      <alignment horizontal="center" vertical="center" textRotation="90"/>
    </xf>
    <xf numFmtId="0" fontId="12" fillId="31" borderId="27" xfId="0" applyFont="1" applyFill="1" applyBorder="1" applyAlignment="1">
      <alignment horizontal="center" vertical="center" textRotation="90"/>
    </xf>
    <xf numFmtId="0" fontId="12" fillId="31" borderId="39" xfId="0" applyFont="1" applyFill="1" applyBorder="1" applyAlignment="1">
      <alignment horizontal="center" vertical="center" textRotation="90"/>
    </xf>
    <xf numFmtId="0" fontId="62" fillId="7" borderId="5" xfId="0" applyFont="1" applyFill="1" applyBorder="1" applyAlignment="1">
      <alignment horizontal="center" vertical="center"/>
    </xf>
    <xf numFmtId="0" fontId="62" fillId="7" borderId="19" xfId="0" applyFont="1" applyFill="1" applyBorder="1" applyAlignment="1">
      <alignment horizontal="center" vertical="center"/>
    </xf>
    <xf numFmtId="0" fontId="62" fillId="7" borderId="6" xfId="0" applyFont="1" applyFill="1" applyBorder="1" applyAlignment="1">
      <alignment horizontal="center" vertical="center"/>
    </xf>
    <xf numFmtId="0" fontId="62" fillId="7" borderId="1" xfId="0" applyFont="1" applyFill="1" applyBorder="1" applyAlignment="1">
      <alignment horizontal="center" vertical="center"/>
    </xf>
    <xf numFmtId="0" fontId="62" fillId="7" borderId="20" xfId="0" applyFont="1" applyFill="1" applyBorder="1" applyAlignment="1">
      <alignment horizontal="center" vertical="center"/>
    </xf>
    <xf numFmtId="0" fontId="62" fillId="7" borderId="18" xfId="0" applyFont="1" applyFill="1" applyBorder="1" applyAlignment="1">
      <alignment horizontal="center" vertical="center"/>
    </xf>
    <xf numFmtId="0" fontId="2" fillId="31" borderId="36" xfId="0" applyFont="1" applyFill="1" applyBorder="1" applyAlignment="1">
      <alignment horizontal="right" vertical="center"/>
    </xf>
    <xf numFmtId="0" fontId="2" fillId="31" borderId="37" xfId="0" applyFont="1" applyFill="1" applyBorder="1" applyAlignment="1">
      <alignment horizontal="right" vertical="center"/>
    </xf>
    <xf numFmtId="0" fontId="2" fillId="31" borderId="46" xfId="0" applyFont="1" applyFill="1" applyBorder="1" applyAlignment="1">
      <alignment horizontal="right" vertical="center"/>
    </xf>
    <xf numFmtId="0" fontId="2" fillId="31" borderId="69" xfId="0" applyFont="1" applyFill="1" applyBorder="1" applyAlignment="1">
      <alignment horizontal="right" vertical="center"/>
    </xf>
    <xf numFmtId="0" fontId="2" fillId="31" borderId="61" xfId="0" applyFont="1" applyFill="1" applyBorder="1" applyAlignment="1">
      <alignment horizontal="right"/>
    </xf>
    <xf numFmtId="0" fontId="2" fillId="31" borderId="30" xfId="0" applyFont="1" applyFill="1" applyBorder="1" applyAlignment="1">
      <alignment horizontal="right"/>
    </xf>
    <xf numFmtId="0" fontId="2" fillId="31" borderId="31" xfId="0" applyFont="1" applyFill="1" applyBorder="1" applyAlignment="1">
      <alignment horizontal="right"/>
    </xf>
    <xf numFmtId="0" fontId="2" fillId="31" borderId="12" xfId="0" applyFont="1" applyFill="1" applyBorder="1" applyAlignment="1">
      <alignment horizontal="right" vertical="center"/>
    </xf>
    <xf numFmtId="0" fontId="2" fillId="31" borderId="0" xfId="0" applyFont="1" applyFill="1" applyBorder="1" applyAlignment="1">
      <alignment horizontal="right" vertical="center"/>
    </xf>
    <xf numFmtId="0" fontId="62" fillId="30" borderId="52" xfId="0" applyFont="1" applyFill="1" applyBorder="1" applyAlignment="1">
      <alignment horizontal="center"/>
    </xf>
    <xf numFmtId="0" fontId="62" fillId="30" borderId="53" xfId="0" applyFont="1" applyFill="1" applyBorder="1" applyAlignment="1">
      <alignment horizontal="center"/>
    </xf>
    <xf numFmtId="164" fontId="62" fillId="30" borderId="61" xfId="0" applyNumberFormat="1" applyFont="1" applyFill="1" applyBorder="1" applyAlignment="1">
      <alignment horizontal="center" vertical="center"/>
    </xf>
    <xf numFmtId="164" fontId="62" fillId="30" borderId="31" xfId="0" applyNumberFormat="1" applyFont="1" applyFill="1" applyBorder="1" applyAlignment="1">
      <alignment horizontal="center" vertical="center"/>
    </xf>
    <xf numFmtId="164" fontId="62" fillId="7" borderId="36" xfId="0" applyNumberFormat="1" applyFont="1" applyFill="1" applyBorder="1" applyAlignment="1">
      <alignment horizontal="center"/>
    </xf>
    <xf numFmtId="164" fontId="62" fillId="7" borderId="37" xfId="0" applyNumberFormat="1" applyFont="1" applyFill="1" applyBorder="1" applyAlignment="1">
      <alignment horizontal="center"/>
    </xf>
    <xf numFmtId="164" fontId="62" fillId="7" borderId="38" xfId="0" applyNumberFormat="1" applyFont="1" applyFill="1" applyBorder="1" applyAlignment="1">
      <alignment horizontal="center"/>
    </xf>
    <xf numFmtId="164" fontId="7" fillId="30" borderId="57" xfId="0" applyNumberFormat="1" applyFont="1" applyFill="1" applyBorder="1" applyAlignment="1">
      <alignment horizontal="center" wrapText="1"/>
    </xf>
    <xf numFmtId="164" fontId="7" fillId="30" borderId="54" xfId="0" applyNumberFormat="1" applyFont="1" applyFill="1" applyBorder="1" applyAlignment="1">
      <alignment horizontal="center" wrapText="1"/>
    </xf>
    <xf numFmtId="2" fontId="62" fillId="30" borderId="165" xfId="0" applyNumberFormat="1" applyFont="1" applyFill="1" applyBorder="1" applyAlignment="1">
      <alignment horizontal="center" vertical="center"/>
    </xf>
    <xf numFmtId="2" fontId="62" fillId="30" borderId="6" xfId="0" applyNumberFormat="1" applyFont="1" applyFill="1" applyBorder="1" applyAlignment="1">
      <alignment horizontal="center" vertical="center"/>
    </xf>
    <xf numFmtId="0" fontId="3" fillId="13" borderId="36" xfId="0" applyFont="1" applyFill="1" applyBorder="1" applyAlignment="1">
      <alignment horizontal="center"/>
    </xf>
    <xf numFmtId="0" fontId="3" fillId="13" borderId="37" xfId="0" applyFont="1" applyFill="1" applyBorder="1" applyAlignment="1">
      <alignment horizontal="center"/>
    </xf>
    <xf numFmtId="0" fontId="3" fillId="13" borderId="46" xfId="0" applyFont="1" applyFill="1" applyBorder="1" applyAlignment="1">
      <alignment horizontal="center"/>
    </xf>
    <xf numFmtId="0" fontId="3" fillId="13" borderId="38" xfId="0" applyFont="1" applyFill="1" applyBorder="1" applyAlignment="1">
      <alignment horizontal="center"/>
    </xf>
    <xf numFmtId="0" fontId="3" fillId="13" borderId="51" xfId="0" applyFont="1" applyFill="1" applyBorder="1" applyAlignment="1">
      <alignment horizontal="center"/>
    </xf>
    <xf numFmtId="0" fontId="0" fillId="31" borderId="33" xfId="0" applyFill="1" applyBorder="1" applyAlignment="1">
      <alignment horizontal="center"/>
    </xf>
    <xf numFmtId="0" fontId="0" fillId="31" borderId="34" xfId="0" applyFill="1" applyBorder="1" applyAlignment="1">
      <alignment horizontal="center"/>
    </xf>
    <xf numFmtId="0" fontId="0" fillId="31" borderId="69" xfId="0" applyFill="1" applyBorder="1" applyAlignment="1">
      <alignment horizontal="center"/>
    </xf>
    <xf numFmtId="0" fontId="0" fillId="31" borderId="35" xfId="0" applyFill="1" applyBorder="1" applyAlignment="1">
      <alignment horizontal="center"/>
    </xf>
    <xf numFmtId="0" fontId="0" fillId="31" borderId="77" xfId="0" applyFill="1" applyBorder="1" applyAlignment="1">
      <alignment horizontal="center"/>
    </xf>
    <xf numFmtId="0" fontId="1" fillId="13" borderId="36" xfId="0" applyFont="1" applyFill="1" applyBorder="1" applyAlignment="1">
      <alignment horizontal="center"/>
    </xf>
    <xf numFmtId="0" fontId="1" fillId="13" borderId="37" xfId="0" applyFont="1" applyFill="1" applyBorder="1" applyAlignment="1">
      <alignment horizontal="center"/>
    </xf>
    <xf numFmtId="0" fontId="1" fillId="13" borderId="46" xfId="0" applyFont="1" applyFill="1" applyBorder="1" applyAlignment="1">
      <alignment horizontal="center"/>
    </xf>
    <xf numFmtId="0" fontId="62" fillId="7" borderId="61" xfId="0" applyFont="1" applyFill="1" applyBorder="1" applyAlignment="1">
      <alignment horizontal="right" vertical="center"/>
    </xf>
    <xf numFmtId="0" fontId="62" fillId="7" borderId="22" xfId="0" applyFont="1" applyFill="1" applyBorder="1" applyAlignment="1">
      <alignment horizontal="right" vertical="center"/>
    </xf>
    <xf numFmtId="0" fontId="2" fillId="31" borderId="38" xfId="0" applyFont="1" applyFill="1" applyBorder="1" applyAlignment="1">
      <alignment horizontal="right" vertical="center"/>
    </xf>
    <xf numFmtId="0" fontId="62" fillId="7" borderId="62" xfId="0" applyFont="1" applyFill="1" applyBorder="1" applyAlignment="1">
      <alignment horizontal="right" vertical="center"/>
    </xf>
    <xf numFmtId="0" fontId="62" fillId="7" borderId="29" xfId="0" applyFont="1" applyFill="1" applyBorder="1" applyAlignment="1">
      <alignment horizontal="right" vertical="center"/>
    </xf>
    <xf numFmtId="0" fontId="0" fillId="31" borderId="36" xfId="0" applyFill="1" applyBorder="1" applyAlignment="1">
      <alignment horizontal="center" vertical="center"/>
    </xf>
    <xf numFmtId="0" fontId="0" fillId="31" borderId="37" xfId="0" applyFill="1" applyBorder="1" applyAlignment="1">
      <alignment horizontal="center" vertical="center"/>
    </xf>
    <xf numFmtId="0" fontId="0" fillId="31" borderId="38" xfId="0" applyFill="1" applyBorder="1" applyAlignment="1">
      <alignment horizontal="center" vertical="center"/>
    </xf>
    <xf numFmtId="0" fontId="62" fillId="7" borderId="33" xfId="0" applyFont="1" applyFill="1" applyBorder="1" applyAlignment="1">
      <alignment horizontal="right" vertical="center"/>
    </xf>
    <xf numFmtId="0" fontId="62" fillId="7" borderId="34" xfId="0" applyFont="1" applyFill="1" applyBorder="1" applyAlignment="1">
      <alignment horizontal="right" vertical="center"/>
    </xf>
    <xf numFmtId="0" fontId="2" fillId="31" borderId="20" xfId="0" applyFont="1" applyFill="1" applyBorder="1" applyAlignment="1">
      <alignment horizontal="right" vertical="center"/>
    </xf>
    <xf numFmtId="0" fontId="62" fillId="7" borderId="4" xfId="0" applyFont="1" applyFill="1" applyBorder="1" applyAlignment="1">
      <alignment horizontal="center" vertical="center"/>
    </xf>
    <xf numFmtId="0" fontId="62" fillId="7" borderId="17" xfId="0" applyFont="1" applyFill="1" applyBorder="1" applyAlignment="1">
      <alignment horizontal="center" vertical="center"/>
    </xf>
    <xf numFmtId="0" fontId="62" fillId="7" borderId="26" xfId="0" applyFont="1" applyFill="1" applyBorder="1" applyAlignment="1">
      <alignment horizontal="center" vertical="center"/>
    </xf>
    <xf numFmtId="0" fontId="62" fillId="7" borderId="27" xfId="0" applyFont="1" applyFill="1" applyBorder="1" applyAlignment="1">
      <alignment horizontal="center" vertical="center"/>
    </xf>
    <xf numFmtId="164" fontId="62" fillId="7" borderId="4" xfId="0" applyNumberFormat="1" applyFont="1" applyFill="1" applyBorder="1" applyAlignment="1">
      <alignment horizontal="center"/>
    </xf>
    <xf numFmtId="164" fontId="62" fillId="7" borderId="5" xfId="0" applyNumberFormat="1" applyFont="1" applyFill="1" applyBorder="1" applyAlignment="1">
      <alignment horizontal="center"/>
    </xf>
    <xf numFmtId="164" fontId="62" fillId="7" borderId="6" xfId="0" applyNumberFormat="1" applyFont="1" applyFill="1" applyBorder="1" applyAlignment="1">
      <alignment horizontal="center"/>
    </xf>
    <xf numFmtId="0" fontId="2" fillId="31" borderId="52" xfId="0" applyFont="1" applyFill="1" applyBorder="1" applyAlignment="1">
      <alignment horizontal="right" vertical="center"/>
    </xf>
    <xf numFmtId="0" fontId="2" fillId="31" borderId="40" xfId="0" applyFont="1" applyFill="1" applyBorder="1" applyAlignment="1">
      <alignment horizontal="right" vertical="center"/>
    </xf>
    <xf numFmtId="0" fontId="2" fillId="31" borderId="70" xfId="0" applyFont="1" applyFill="1" applyBorder="1" applyAlignment="1">
      <alignment horizontal="right" vertical="center"/>
    </xf>
    <xf numFmtId="164" fontId="62" fillId="7" borderId="57" xfId="0" applyNumberFormat="1" applyFont="1" applyFill="1" applyBorder="1" applyAlignment="1">
      <alignment horizontal="center" vertical="center" wrapText="1"/>
    </xf>
    <xf numFmtId="164" fontId="62" fillId="7" borderId="58" xfId="0" applyNumberFormat="1" applyFont="1" applyFill="1" applyBorder="1" applyAlignment="1">
      <alignment horizontal="center" vertical="center" wrapText="1"/>
    </xf>
    <xf numFmtId="164" fontId="62" fillId="7" borderId="54" xfId="0" applyNumberFormat="1" applyFont="1" applyFill="1" applyBorder="1" applyAlignment="1">
      <alignment horizontal="center" vertical="center" wrapText="1"/>
    </xf>
    <xf numFmtId="0" fontId="2" fillId="31" borderId="33" xfId="0" applyFont="1" applyFill="1" applyBorder="1" applyAlignment="1">
      <alignment horizontal="right"/>
    </xf>
    <xf numFmtId="0" fontId="2" fillId="31" borderId="34" xfId="0" applyFont="1" applyFill="1" applyBorder="1" applyAlignment="1">
      <alignment horizontal="right"/>
    </xf>
    <xf numFmtId="0" fontId="2" fillId="31" borderId="69" xfId="0" applyFont="1" applyFill="1" applyBorder="1" applyAlignment="1">
      <alignment horizontal="right"/>
    </xf>
    <xf numFmtId="164" fontId="62" fillId="7" borderId="34" xfId="0" applyNumberFormat="1" applyFont="1" applyFill="1" applyBorder="1" applyAlignment="1">
      <alignment horizontal="center"/>
    </xf>
    <xf numFmtId="164" fontId="62" fillId="7" borderId="35" xfId="0" applyNumberFormat="1" applyFont="1" applyFill="1" applyBorder="1" applyAlignment="1">
      <alignment horizontal="center"/>
    </xf>
    <xf numFmtId="164" fontId="62" fillId="7" borderId="27" xfId="0" applyNumberFormat="1" applyFont="1" applyFill="1" applyBorder="1" applyAlignment="1">
      <alignment horizontal="center"/>
    </xf>
    <xf numFmtId="164" fontId="62" fillId="7" borderId="28" xfId="0" applyNumberFormat="1" applyFont="1" applyFill="1" applyBorder="1" applyAlignment="1">
      <alignment horizontal="center"/>
    </xf>
    <xf numFmtId="164" fontId="62" fillId="7" borderId="3" xfId="0" applyNumberFormat="1" applyFont="1" applyFill="1" applyBorder="1" applyAlignment="1">
      <alignment horizontal="center"/>
    </xf>
    <xf numFmtId="164" fontId="62" fillId="7" borderId="2" xfId="0" applyNumberFormat="1" applyFont="1" applyFill="1" applyBorder="1" applyAlignment="1">
      <alignment horizontal="center"/>
    </xf>
    <xf numFmtId="0" fontId="62" fillId="7" borderId="39" xfId="0" applyFont="1" applyFill="1" applyBorder="1" applyAlignment="1">
      <alignment horizontal="center" vertical="center"/>
    </xf>
    <xf numFmtId="0" fontId="62" fillId="7" borderId="28" xfId="0" applyFont="1" applyFill="1" applyBorder="1" applyAlignment="1">
      <alignment horizontal="center" vertical="center"/>
    </xf>
    <xf numFmtId="0" fontId="2" fillId="31" borderId="4" xfId="0" applyFont="1" applyFill="1" applyBorder="1" applyAlignment="1">
      <alignment horizontal="center" vertical="center"/>
    </xf>
    <xf numFmtId="0" fontId="2" fillId="31" borderId="5" xfId="0" applyFont="1" applyFill="1" applyBorder="1" applyAlignment="1">
      <alignment horizontal="center" vertical="center"/>
    </xf>
    <xf numFmtId="0" fontId="2" fillId="31" borderId="17" xfId="0" applyFont="1" applyFill="1" applyBorder="1" applyAlignment="1">
      <alignment horizontal="center" vertical="center"/>
    </xf>
    <xf numFmtId="0" fontId="2" fillId="31" borderId="1" xfId="0" applyFont="1" applyFill="1" applyBorder="1" applyAlignment="1">
      <alignment horizontal="center" vertical="center"/>
    </xf>
    <xf numFmtId="0" fontId="2" fillId="31" borderId="26" xfId="0" applyFont="1" applyFill="1" applyBorder="1" applyAlignment="1">
      <alignment horizontal="center" vertical="center"/>
    </xf>
    <xf numFmtId="0" fontId="2" fillId="31" borderId="27" xfId="0" applyFont="1" applyFill="1" applyBorder="1" applyAlignment="1">
      <alignment horizontal="center" vertical="center"/>
    </xf>
    <xf numFmtId="0" fontId="67" fillId="38" borderId="0" xfId="0" applyFont="1" applyFill="1" applyAlignment="1">
      <alignment horizontal="center"/>
    </xf>
    <xf numFmtId="0" fontId="1" fillId="13" borderId="0" xfId="0" applyFont="1" applyFill="1" applyAlignment="1">
      <alignment horizontal="center" textRotation="90" wrapText="1"/>
    </xf>
    <xf numFmtId="2" fontId="0" fillId="9" borderId="3" xfId="0" applyNumberFormat="1" applyFill="1" applyBorder="1" applyAlignment="1">
      <alignment horizontal="center"/>
    </xf>
    <xf numFmtId="2" fontId="0" fillId="9" borderId="2" xfId="0" applyNumberFormat="1" applyFill="1" applyBorder="1" applyAlignment="1">
      <alignment horizontal="center"/>
    </xf>
    <xf numFmtId="0" fontId="3" fillId="32" borderId="61" xfId="0" applyFont="1" applyFill="1" applyBorder="1" applyAlignment="1">
      <alignment horizontal="center" vertical="center"/>
    </xf>
    <xf numFmtId="0" fontId="3" fillId="32" borderId="22" xfId="0" applyFont="1" applyFill="1" applyBorder="1" applyAlignment="1">
      <alignment horizontal="center" vertical="center"/>
    </xf>
    <xf numFmtId="0" fontId="62" fillId="7" borderId="20" xfId="0" applyFont="1" applyFill="1" applyBorder="1" applyAlignment="1">
      <alignment horizontal="left" vertical="center"/>
    </xf>
    <xf numFmtId="0" fontId="62" fillId="7" borderId="31" xfId="0" applyFont="1" applyFill="1" applyBorder="1" applyAlignment="1">
      <alignment horizontal="left" vertical="center"/>
    </xf>
    <xf numFmtId="0" fontId="62" fillId="7" borderId="21" xfId="0" applyFont="1" applyFill="1" applyBorder="1" applyAlignment="1">
      <alignment horizontal="left" vertical="center"/>
    </xf>
    <xf numFmtId="0" fontId="62" fillId="7" borderId="82" xfId="0" applyFont="1" applyFill="1" applyBorder="1" applyAlignment="1">
      <alignment horizontal="left" vertical="center"/>
    </xf>
    <xf numFmtId="0" fontId="0" fillId="31" borderId="58" xfId="0" applyFill="1" applyBorder="1" applyAlignment="1">
      <alignment horizontal="center"/>
    </xf>
    <xf numFmtId="0" fontId="0" fillId="31" borderId="54" xfId="0" applyFill="1" applyBorder="1" applyAlignment="1">
      <alignment horizontal="center"/>
    </xf>
    <xf numFmtId="0" fontId="2" fillId="31" borderId="57" xfId="0" applyFont="1" applyFill="1" applyBorder="1" applyAlignment="1">
      <alignment horizontal="right" vertical="center"/>
    </xf>
    <xf numFmtId="0" fontId="2" fillId="31" borderId="58" xfId="0" applyFont="1" applyFill="1" applyBorder="1" applyAlignment="1">
      <alignment horizontal="right" vertical="center"/>
    </xf>
    <xf numFmtId="0" fontId="2" fillId="31" borderId="54" xfId="0" applyFont="1" applyFill="1" applyBorder="1" applyAlignment="1">
      <alignment horizontal="right" vertical="center"/>
    </xf>
    <xf numFmtId="0" fontId="62" fillId="7" borderId="69" xfId="0" applyFont="1" applyFill="1" applyBorder="1" applyAlignment="1">
      <alignment horizontal="left" vertical="center"/>
    </xf>
    <xf numFmtId="0" fontId="62" fillId="7" borderId="83" xfId="0" applyFont="1" applyFill="1" applyBorder="1" applyAlignment="1">
      <alignment horizontal="left" vertical="center"/>
    </xf>
    <xf numFmtId="2" fontId="62" fillId="7" borderId="20" xfId="0" applyNumberFormat="1" applyFont="1" applyFill="1" applyBorder="1" applyAlignment="1">
      <alignment horizontal="left" vertical="center"/>
    </xf>
    <xf numFmtId="2" fontId="62" fillId="7" borderId="31" xfId="0" applyNumberFormat="1" applyFont="1" applyFill="1" applyBorder="1" applyAlignment="1">
      <alignment horizontal="left" vertical="center"/>
    </xf>
    <xf numFmtId="0" fontId="62" fillId="31" borderId="51" xfId="0" applyFont="1" applyFill="1" applyBorder="1" applyAlignment="1">
      <alignment horizontal="center"/>
    </xf>
    <xf numFmtId="0" fontId="62" fillId="31" borderId="38" xfId="0" applyFont="1" applyFill="1" applyBorder="1" applyAlignment="1">
      <alignment horizontal="center"/>
    </xf>
    <xf numFmtId="0" fontId="0" fillId="31" borderId="17" xfId="0" applyFill="1" applyBorder="1" applyAlignment="1">
      <alignment horizontal="center" vertical="center"/>
    </xf>
    <xf numFmtId="0" fontId="0" fillId="31" borderId="1" xfId="0" applyFill="1" applyBorder="1" applyAlignment="1">
      <alignment horizontal="center" vertical="center"/>
    </xf>
    <xf numFmtId="0" fontId="0" fillId="31" borderId="18" xfId="0" applyFill="1" applyBorder="1" applyAlignment="1">
      <alignment horizontal="center" vertical="center"/>
    </xf>
    <xf numFmtId="0" fontId="62" fillId="7" borderId="36" xfId="0" applyFont="1" applyFill="1" applyBorder="1" applyAlignment="1">
      <alignment horizontal="center" vertical="center"/>
    </xf>
    <xf numFmtId="0" fontId="62" fillId="7" borderId="37" xfId="0" applyFont="1" applyFill="1" applyBorder="1" applyAlignment="1">
      <alignment horizontal="center" vertical="center"/>
    </xf>
    <xf numFmtId="0" fontId="62" fillId="7" borderId="46" xfId="0" applyFont="1" applyFill="1" applyBorder="1" applyAlignment="1">
      <alignment horizontal="center" vertical="center"/>
    </xf>
    <xf numFmtId="0" fontId="62" fillId="7" borderId="38" xfId="0" applyFont="1" applyFill="1" applyBorder="1" applyAlignment="1">
      <alignment horizontal="center" vertical="center"/>
    </xf>
    <xf numFmtId="0" fontId="0" fillId="31" borderId="22" xfId="0" applyFill="1" applyBorder="1" applyAlignment="1">
      <alignment horizontal="center"/>
    </xf>
    <xf numFmtId="0" fontId="0" fillId="31" borderId="18" xfId="0" applyFill="1" applyBorder="1" applyAlignment="1">
      <alignment horizontal="center"/>
    </xf>
    <xf numFmtId="0" fontId="0" fillId="31" borderId="51" xfId="0" applyFill="1" applyBorder="1" applyAlignment="1">
      <alignment horizontal="center"/>
    </xf>
    <xf numFmtId="0" fontId="0" fillId="31" borderId="38" xfId="0" applyFill="1" applyBorder="1" applyAlignment="1">
      <alignment horizontal="center"/>
    </xf>
    <xf numFmtId="0" fontId="62" fillId="30" borderId="51" xfId="0" applyFont="1" applyFill="1" applyBorder="1" applyAlignment="1">
      <alignment horizontal="center"/>
    </xf>
    <xf numFmtId="0" fontId="62" fillId="30" borderId="38" xfId="0" applyFont="1" applyFill="1" applyBorder="1" applyAlignment="1">
      <alignment horizontal="center"/>
    </xf>
    <xf numFmtId="0" fontId="0" fillId="0" borderId="0" xfId="0" applyAlignment="1">
      <alignment horizontal="center"/>
    </xf>
    <xf numFmtId="0" fontId="0" fillId="0" borderId="0" xfId="0" applyAlignment="1">
      <alignment horizontal="center" wrapText="1"/>
    </xf>
    <xf numFmtId="0" fontId="0" fillId="3" borderId="23" xfId="0" applyFill="1" applyBorder="1" applyAlignment="1">
      <alignment horizontal="center"/>
    </xf>
    <xf numFmtId="0" fontId="0" fillId="3" borderId="24" xfId="0" applyFill="1" applyBorder="1" applyAlignment="1">
      <alignment horizontal="center"/>
    </xf>
    <xf numFmtId="0" fontId="0" fillId="3" borderId="25" xfId="0" applyFill="1" applyBorder="1" applyAlignment="1">
      <alignment horizontal="center"/>
    </xf>
    <xf numFmtId="0" fontId="0" fillId="3" borderId="4" xfId="0" applyFill="1" applyBorder="1" applyAlignment="1">
      <alignment horizontal="center"/>
    </xf>
    <xf numFmtId="0" fontId="0" fillId="3" borderId="5" xfId="0" applyFill="1" applyBorder="1" applyAlignment="1">
      <alignment horizontal="center"/>
    </xf>
    <xf numFmtId="0" fontId="0" fillId="3" borderId="6" xfId="0" applyFill="1" applyBorder="1" applyAlignment="1">
      <alignment horizontal="center"/>
    </xf>
    <xf numFmtId="0" fontId="0" fillId="3" borderId="9" xfId="0" applyFill="1" applyBorder="1" applyAlignment="1">
      <alignment horizontal="center"/>
    </xf>
    <xf numFmtId="0" fontId="0" fillId="3" borderId="10" xfId="0" applyFill="1" applyBorder="1" applyAlignment="1">
      <alignment horizontal="center"/>
    </xf>
    <xf numFmtId="0" fontId="0" fillId="3" borderId="75" xfId="0" applyFill="1" applyBorder="1" applyAlignment="1">
      <alignment horizontal="center"/>
    </xf>
    <xf numFmtId="0" fontId="0" fillId="3" borderId="74" xfId="0" applyFill="1" applyBorder="1" applyAlignment="1">
      <alignment horizontal="center"/>
    </xf>
    <xf numFmtId="0" fontId="0" fillId="3" borderId="43" xfId="0" applyFill="1" applyBorder="1" applyAlignment="1">
      <alignment horizontal="center"/>
    </xf>
    <xf numFmtId="0" fontId="0" fillId="3" borderId="59" xfId="0" applyFill="1" applyBorder="1" applyAlignment="1">
      <alignment horizontal="center"/>
    </xf>
    <xf numFmtId="0" fontId="0" fillId="3" borderId="55" xfId="0" applyFill="1" applyBorder="1" applyAlignment="1">
      <alignment horizontal="center"/>
    </xf>
    <xf numFmtId="0" fontId="0" fillId="3" borderId="56" xfId="0" applyFill="1" applyBorder="1" applyAlignment="1">
      <alignment horizontal="center"/>
    </xf>
    <xf numFmtId="0" fontId="0" fillId="3" borderId="52" xfId="0" applyFill="1" applyBorder="1" applyAlignment="1">
      <alignment horizontal="center"/>
    </xf>
    <xf numFmtId="0" fontId="0" fillId="3" borderId="40" xfId="0" applyFill="1" applyBorder="1" applyAlignment="1">
      <alignment horizontal="center"/>
    </xf>
    <xf numFmtId="0" fontId="0" fillId="3" borderId="70" xfId="0" applyFill="1" applyBorder="1" applyAlignment="1">
      <alignment horizontal="center"/>
    </xf>
    <xf numFmtId="0" fontId="0" fillId="3" borderId="0" xfId="0" applyFill="1" applyBorder="1" applyAlignment="1">
      <alignment horizontal="center"/>
    </xf>
    <xf numFmtId="0" fontId="0" fillId="3" borderId="13" xfId="0" applyFill="1" applyBorder="1" applyAlignment="1">
      <alignment horizontal="center"/>
    </xf>
    <xf numFmtId="0" fontId="0" fillId="2" borderId="26" xfId="0" applyFill="1" applyBorder="1" applyAlignment="1">
      <alignment horizontal="center"/>
    </xf>
    <xf numFmtId="0" fontId="0" fillId="2" borderId="27" xfId="0" applyFill="1" applyBorder="1" applyAlignment="1">
      <alignment horizontal="center"/>
    </xf>
    <xf numFmtId="0" fontId="0" fillId="2" borderId="28" xfId="0" applyFill="1" applyBorder="1" applyAlignment="1">
      <alignment horizontal="center"/>
    </xf>
    <xf numFmtId="0" fontId="0" fillId="2" borderId="39" xfId="0" applyFill="1" applyBorder="1" applyAlignment="1">
      <alignment horizontal="center"/>
    </xf>
    <xf numFmtId="0" fontId="0" fillId="2" borderId="22" xfId="0" applyFill="1"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center"/>
    </xf>
    <xf numFmtId="0" fontId="0" fillId="2" borderId="20" xfId="0" applyFill="1" applyBorder="1" applyAlignment="1">
      <alignment horizontal="center"/>
    </xf>
    <xf numFmtId="0" fontId="0" fillId="2" borderId="31" xfId="0" applyFill="1" applyBorder="1" applyAlignment="1">
      <alignment horizontal="center"/>
    </xf>
    <xf numFmtId="0" fontId="0" fillId="2" borderId="20" xfId="0" applyFill="1" applyBorder="1" applyAlignment="1">
      <alignment horizontal="center" vertical="center"/>
    </xf>
    <xf numFmtId="0" fontId="0" fillId="2" borderId="17" xfId="0" applyFill="1" applyBorder="1" applyAlignment="1">
      <alignment horizontal="center"/>
    </xf>
    <xf numFmtId="0" fontId="7" fillId="0" borderId="0" xfId="0" applyFont="1" applyAlignment="1">
      <alignment horizontal="center" wrapText="1"/>
    </xf>
    <xf numFmtId="0" fontId="7" fillId="0" borderId="0" xfId="0" applyFont="1" applyAlignment="1">
      <alignment horizontal="center"/>
    </xf>
    <xf numFmtId="0" fontId="58" fillId="0" borderId="93" xfId="0" applyFont="1" applyBorder="1" applyAlignment="1">
      <alignment horizontal="center" vertical="center"/>
    </xf>
    <xf numFmtId="0" fontId="58" fillId="0" borderId="89" xfId="0" applyFont="1" applyBorder="1" applyAlignment="1">
      <alignment horizontal="center" vertical="center"/>
    </xf>
    <xf numFmtId="0" fontId="58" fillId="0" borderId="92" xfId="0" applyFont="1" applyBorder="1" applyAlignment="1">
      <alignment horizontal="center" vertical="center" wrapText="1"/>
    </xf>
    <xf numFmtId="0" fontId="58" fillId="0" borderId="91" xfId="0" applyFont="1" applyBorder="1" applyAlignment="1">
      <alignment horizontal="center" vertical="center" wrapText="1"/>
    </xf>
    <xf numFmtId="0" fontId="58" fillId="0" borderId="90" xfId="0" applyFont="1" applyBorder="1" applyAlignment="1">
      <alignment horizontal="left" vertical="center"/>
    </xf>
    <xf numFmtId="0" fontId="58" fillId="0" borderId="88" xfId="0" applyFont="1" applyBorder="1" applyAlignment="1">
      <alignment horizontal="left" vertical="center"/>
    </xf>
    <xf numFmtId="0" fontId="7" fillId="0" borderId="0" xfId="0" applyFont="1" applyAlignment="1">
      <alignment horizontal="right"/>
    </xf>
    <xf numFmtId="0" fontId="7" fillId="0" borderId="116" xfId="0" applyFont="1" applyBorder="1" applyAlignment="1">
      <alignment horizontal="center"/>
    </xf>
    <xf numFmtId="0" fontId="0" fillId="9" borderId="27" xfId="0" applyFill="1" applyBorder="1" applyAlignment="1">
      <alignment horizontal="center" textRotation="90"/>
    </xf>
    <xf numFmtId="0" fontId="0" fillId="9" borderId="40" xfId="0" applyFill="1" applyBorder="1" applyAlignment="1">
      <alignment horizontal="center" textRotation="90"/>
    </xf>
    <xf numFmtId="0" fontId="0" fillId="9" borderId="34" xfId="0" applyFill="1" applyBorder="1" applyAlignment="1">
      <alignment horizontal="center" textRotation="90"/>
    </xf>
    <xf numFmtId="0" fontId="0" fillId="9" borderId="27" xfId="0" applyFill="1" applyBorder="1" applyAlignment="1">
      <alignment horizontal="center" textRotation="90" wrapText="1"/>
    </xf>
    <xf numFmtId="0" fontId="0" fillId="9" borderId="40" xfId="0" applyFill="1" applyBorder="1" applyAlignment="1">
      <alignment horizontal="center" textRotation="90" wrapText="1"/>
    </xf>
    <xf numFmtId="0" fontId="0" fillId="9" borderId="34" xfId="0" applyFill="1" applyBorder="1" applyAlignment="1">
      <alignment horizontal="center" textRotation="90" wrapText="1"/>
    </xf>
    <xf numFmtId="0" fontId="0" fillId="9" borderId="27" xfId="0" applyFill="1" applyBorder="1" applyAlignment="1">
      <alignment horizontal="center" vertical="center" textRotation="90"/>
    </xf>
    <xf numFmtId="0" fontId="0" fillId="9" borderId="40" xfId="0" applyFill="1" applyBorder="1" applyAlignment="1">
      <alignment horizontal="center" vertical="center" textRotation="90"/>
    </xf>
    <xf numFmtId="0" fontId="0" fillId="9" borderId="34" xfId="0" applyFill="1" applyBorder="1" applyAlignment="1">
      <alignment horizontal="center" vertical="center" textRotation="90"/>
    </xf>
    <xf numFmtId="0" fontId="0" fillId="9" borderId="27" xfId="0" applyFill="1" applyBorder="1" applyAlignment="1">
      <alignment horizontal="center" vertical="center" textRotation="90" wrapText="1"/>
    </xf>
    <xf numFmtId="0" fontId="0" fillId="9" borderId="40" xfId="0" applyFill="1" applyBorder="1" applyAlignment="1">
      <alignment horizontal="center" vertical="center" textRotation="90" wrapText="1"/>
    </xf>
    <xf numFmtId="0" fontId="0" fillId="9" borderId="34" xfId="0" applyFill="1" applyBorder="1" applyAlignment="1">
      <alignment horizontal="center" vertical="center" textRotation="90" wrapText="1"/>
    </xf>
    <xf numFmtId="0" fontId="0" fillId="0" borderId="1" xfId="0" applyBorder="1" applyAlignment="1">
      <alignment horizontal="center" vertical="center"/>
    </xf>
    <xf numFmtId="0" fontId="0" fillId="8" borderId="45" xfId="0" applyFill="1" applyBorder="1" applyAlignment="1">
      <alignment horizontal="center" vertical="center" wrapText="1"/>
    </xf>
    <xf numFmtId="0" fontId="0" fillId="5" borderId="36" xfId="0" applyFill="1" applyBorder="1" applyAlignment="1">
      <alignment horizontal="center"/>
    </xf>
    <xf numFmtId="0" fontId="0" fillId="5" borderId="46" xfId="0" applyFill="1" applyBorder="1" applyAlignment="1">
      <alignment horizontal="center"/>
    </xf>
    <xf numFmtId="0" fontId="0" fillId="5" borderId="36" xfId="0" applyFill="1" applyBorder="1" applyAlignment="1">
      <alignment horizontal="center" vertical="center"/>
    </xf>
    <xf numFmtId="0" fontId="0" fillId="5" borderId="38" xfId="0" applyFill="1" applyBorder="1" applyAlignment="1">
      <alignment horizontal="center" vertical="center"/>
    </xf>
    <xf numFmtId="0" fontId="0" fillId="15" borderId="27" xfId="0" applyFill="1" applyBorder="1" applyAlignment="1">
      <alignment horizontal="center" vertical="center" textRotation="90" wrapText="1"/>
    </xf>
    <xf numFmtId="0" fontId="0" fillId="15" borderId="40" xfId="0" applyFill="1" applyBorder="1" applyAlignment="1">
      <alignment horizontal="center" vertical="center" textRotation="90" wrapText="1"/>
    </xf>
    <xf numFmtId="0" fontId="0" fillId="15" borderId="34" xfId="0" applyFill="1" applyBorder="1" applyAlignment="1">
      <alignment horizontal="center" vertical="center" textRotation="90" wrapText="1"/>
    </xf>
    <xf numFmtId="0" fontId="0" fillId="15" borderId="20" xfId="0" applyFill="1" applyBorder="1" applyAlignment="1">
      <alignment vertical="center"/>
    </xf>
    <xf numFmtId="0" fontId="0" fillId="15" borderId="22" xfId="0" applyFill="1" applyBorder="1" applyAlignment="1">
      <alignment vertical="center"/>
    </xf>
    <xf numFmtId="16" fontId="0" fillId="0" borderId="1" xfId="0" applyNumberFormat="1" applyBorder="1" applyAlignment="1">
      <alignment horizontal="center" vertical="center"/>
    </xf>
    <xf numFmtId="0" fontId="0" fillId="15" borderId="1" xfId="0" applyFill="1" applyBorder="1" applyAlignment="1">
      <alignment horizontal="center" vertical="center"/>
    </xf>
    <xf numFmtId="0" fontId="0" fillId="15" borderId="1" xfId="0" applyFill="1" applyBorder="1" applyAlignment="1">
      <alignment horizontal="center"/>
    </xf>
    <xf numFmtId="0" fontId="0" fillId="15" borderId="27" xfId="0" applyFill="1" applyBorder="1" applyAlignment="1">
      <alignment horizontal="center" vertical="center" wrapText="1"/>
    </xf>
    <xf numFmtId="0" fontId="0" fillId="15" borderId="34" xfId="0" applyFill="1" applyBorder="1" applyAlignment="1">
      <alignment horizontal="center" vertical="center" wrapText="1"/>
    </xf>
    <xf numFmtId="0" fontId="0" fillId="15" borderId="1" xfId="0" applyFill="1" applyBorder="1" applyAlignment="1">
      <alignment horizontal="center" vertical="center" wrapText="1"/>
    </xf>
    <xf numFmtId="0" fontId="0" fillId="15" borderId="27" xfId="0" applyFill="1" applyBorder="1" applyAlignment="1">
      <alignment horizontal="center"/>
    </xf>
    <xf numFmtId="0" fontId="0" fillId="15" borderId="34" xfId="0" applyFill="1" applyBorder="1" applyAlignment="1">
      <alignment horizontal="center"/>
    </xf>
    <xf numFmtId="0" fontId="0" fillId="9" borderId="0" xfId="0" applyFill="1"/>
    <xf numFmtId="0" fontId="0" fillId="15" borderId="20" xfId="0" applyFill="1" applyBorder="1" applyAlignment="1">
      <alignment horizontal="center" vertical="center" wrapText="1"/>
    </xf>
    <xf numFmtId="0" fontId="7" fillId="9" borderId="0" xfId="0" applyFont="1" applyFill="1" applyBorder="1" applyAlignment="1">
      <alignment horizontal="center" textRotation="90" wrapText="1"/>
    </xf>
    <xf numFmtId="0" fontId="22" fillId="17" borderId="66" xfId="0" applyFont="1" applyFill="1" applyBorder="1" applyAlignment="1">
      <alignment horizontal="center" vertical="top" wrapText="1"/>
    </xf>
    <xf numFmtId="0" fontId="22" fillId="17" borderId="68" xfId="0" applyFont="1" applyFill="1" applyBorder="1" applyAlignment="1">
      <alignment horizontal="center" vertical="top" wrapText="1"/>
    </xf>
    <xf numFmtId="0" fontId="22" fillId="17" borderId="67" xfId="0" applyFont="1" applyFill="1" applyBorder="1" applyAlignment="1">
      <alignment horizontal="center" vertical="top" wrapText="1"/>
    </xf>
    <xf numFmtId="0" fontId="23" fillId="17" borderId="66" xfId="0" applyFont="1" applyFill="1" applyBorder="1" applyAlignment="1">
      <alignment horizontal="center" vertical="top" wrapText="1"/>
    </xf>
    <xf numFmtId="0" fontId="23" fillId="17" borderId="68" xfId="0" applyFont="1" applyFill="1" applyBorder="1" applyAlignment="1">
      <alignment horizontal="center" vertical="top" wrapText="1"/>
    </xf>
    <xf numFmtId="0" fontId="23" fillId="17" borderId="67" xfId="0" applyFont="1" applyFill="1" applyBorder="1" applyAlignment="1">
      <alignment horizontal="center" vertical="top" wrapText="1"/>
    </xf>
    <xf numFmtId="0" fontId="22" fillId="17" borderId="64" xfId="0" applyFont="1" applyFill="1" applyBorder="1" applyAlignment="1">
      <alignment horizontal="center" vertical="center" wrapText="1"/>
    </xf>
    <xf numFmtId="0" fontId="22" fillId="17" borderId="65" xfId="0" applyFont="1" applyFill="1" applyBorder="1" applyAlignment="1">
      <alignment horizontal="center" vertical="center" wrapText="1"/>
    </xf>
    <xf numFmtId="0" fontId="22" fillId="17" borderId="64" xfId="0" applyFont="1" applyFill="1" applyBorder="1" applyAlignment="1">
      <alignment horizontal="center" vertical="top" wrapText="1"/>
    </xf>
    <xf numFmtId="0" fontId="22" fillId="17" borderId="65" xfId="0" applyFont="1" applyFill="1" applyBorder="1" applyAlignment="1">
      <alignment horizontal="center" vertical="top" wrapText="1"/>
    </xf>
    <xf numFmtId="0" fontId="22" fillId="17" borderId="64" xfId="0" applyFont="1" applyFill="1" applyBorder="1" applyAlignment="1">
      <alignment vertical="top" wrapText="1" indent="1"/>
    </xf>
    <xf numFmtId="0" fontId="22" fillId="17" borderId="65" xfId="0" applyFont="1" applyFill="1" applyBorder="1" applyAlignment="1">
      <alignment vertical="top" wrapText="1" indent="1"/>
    </xf>
    <xf numFmtId="0" fontId="9" fillId="10" borderId="47" xfId="0" applyFont="1" applyFill="1" applyBorder="1" applyAlignment="1">
      <alignment horizontal="center" vertical="center" wrapText="1"/>
    </xf>
    <xf numFmtId="0" fontId="9" fillId="10" borderId="48" xfId="0" applyFont="1" applyFill="1" applyBorder="1" applyAlignment="1">
      <alignment horizontal="center" vertical="center" wrapText="1"/>
    </xf>
    <xf numFmtId="0" fontId="9" fillId="8" borderId="56" xfId="0" applyFont="1" applyFill="1" applyBorder="1" applyAlignment="1">
      <alignment horizontal="center" vertical="center" wrapText="1"/>
    </xf>
    <xf numFmtId="0" fontId="9" fillId="8" borderId="11" xfId="0" applyFont="1" applyFill="1" applyBorder="1" applyAlignment="1">
      <alignment horizontal="center" vertical="center" wrapText="1"/>
    </xf>
    <xf numFmtId="0" fontId="9" fillId="10" borderId="107" xfId="0" applyFont="1" applyFill="1" applyBorder="1" applyAlignment="1">
      <alignment horizontal="center" vertical="center" wrapText="1"/>
    </xf>
    <xf numFmtId="0" fontId="9" fillId="10" borderId="108" xfId="0" applyFont="1" applyFill="1" applyBorder="1" applyAlignment="1">
      <alignment horizontal="center" vertical="center" wrapText="1"/>
    </xf>
    <xf numFmtId="0" fontId="0" fillId="12" borderId="5" xfId="0" applyFill="1" applyBorder="1" applyAlignment="1">
      <alignment horizontal="center"/>
    </xf>
    <xf numFmtId="0" fontId="0" fillId="12" borderId="6" xfId="0" applyFill="1" applyBorder="1" applyAlignment="1">
      <alignment horizontal="center"/>
    </xf>
    <xf numFmtId="0" fontId="56" fillId="3" borderId="0" xfId="0" applyFont="1" applyFill="1" applyAlignment="1">
      <alignment horizontal="center" vertical="center"/>
    </xf>
  </cellXfs>
  <cellStyles count="5">
    <cellStyle name="İyi" xfId="1" builtinId="26"/>
    <cellStyle name="Köprü" xfId="2" builtinId="8"/>
    <cellStyle name="Normal" xfId="0" builtinId="0"/>
    <cellStyle name="Normal 2" xfId="4" xr:uid="{00000000-0005-0000-0000-000003000000}"/>
    <cellStyle name="Yüzde" xfId="3" builtinId="5"/>
  </cellStyles>
  <dxfs count="837">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rgb="FF9C0006"/>
      </font>
      <fill>
        <patternFill>
          <bgColor rgb="FFFF0000"/>
        </patternFill>
      </fill>
    </dxf>
    <dxf>
      <fill>
        <patternFill>
          <bgColor rgb="FF00B050"/>
        </patternFill>
      </fill>
    </dxf>
    <dxf>
      <fill>
        <patternFill>
          <bgColor rgb="FFFF0000"/>
        </patternFill>
      </fill>
    </dxf>
    <dxf>
      <fill>
        <patternFill>
          <bgColor rgb="FFFF0000"/>
        </patternFill>
      </fill>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right/>
        <top style="thin">
          <color theme="1"/>
        </top>
        <bottom style="thin">
          <color theme="1"/>
        </bottom>
        <vertical/>
        <horizontal/>
      </border>
    </dxf>
    <dxf>
      <border outline="0">
        <top style="thin">
          <color theme="1"/>
        </top>
      </border>
    </dxf>
    <dxf>
      <border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border outline="0">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center" vertical="bottom" textRotation="0" wrapText="0" indent="0" justifyLastLine="0" shrinkToFit="0" readingOrder="0"/>
    </dxf>
    <dxf>
      <font>
        <b val="0"/>
        <i/>
        <strike val="0"/>
        <condense val="0"/>
        <extend val="0"/>
        <outline val="0"/>
        <shadow val="0"/>
        <u val="none"/>
        <vertAlign val="baseline"/>
        <sz val="11"/>
        <color theme="1"/>
        <name val="Calibri"/>
        <scheme val="minor"/>
      </font>
    </dxf>
    <dxf>
      <font>
        <b val="0"/>
        <i/>
        <strike val="0"/>
        <condense val="0"/>
        <extend val="0"/>
        <outline val="0"/>
        <shadow val="0"/>
        <u val="none"/>
        <vertAlign val="baseline"/>
        <sz val="11"/>
        <color theme="1"/>
        <name val="Calibri"/>
        <scheme val="minor"/>
      </font>
    </dxf>
    <dxf>
      <font>
        <b val="0"/>
        <i/>
        <strike val="0"/>
        <condense val="0"/>
        <extend val="0"/>
        <outline val="0"/>
        <shadow val="0"/>
        <u val="none"/>
        <vertAlign val="baseline"/>
        <sz val="11"/>
        <color theme="1"/>
        <name val="Calibri"/>
        <scheme val="minor"/>
      </font>
    </dxf>
    <dxf>
      <font>
        <b val="0"/>
        <i/>
        <strike val="0"/>
        <condense val="0"/>
        <extend val="0"/>
        <outline val="0"/>
        <shadow val="0"/>
        <u val="none"/>
        <vertAlign val="baseline"/>
        <sz val="11"/>
        <color theme="1"/>
        <name val="Calibri"/>
        <scheme val="minor"/>
      </font>
    </dxf>
    <dxf>
      <font>
        <b val="0"/>
        <i/>
        <strike val="0"/>
        <condense val="0"/>
        <extend val="0"/>
        <outline val="0"/>
        <shadow val="0"/>
        <u val="none"/>
        <vertAlign val="baseline"/>
        <sz val="11"/>
        <color theme="1"/>
        <name val="Calibri"/>
        <scheme val="minor"/>
      </font>
    </dxf>
    <dxf>
      <font>
        <b val="0"/>
        <i/>
        <strike val="0"/>
        <condense val="0"/>
        <extend val="0"/>
        <outline val="0"/>
        <shadow val="0"/>
        <u val="none"/>
        <vertAlign val="baseline"/>
        <sz val="11"/>
        <color theme="1"/>
        <name val="Calibri"/>
        <scheme val="minor"/>
      </font>
    </dxf>
    <dxf>
      <font>
        <b val="0"/>
        <i/>
        <strike val="0"/>
        <condense val="0"/>
        <extend val="0"/>
        <outline val="0"/>
        <shadow val="0"/>
        <u val="none"/>
        <vertAlign val="baseline"/>
        <sz val="11"/>
        <color theme="1"/>
        <name val="Calibri"/>
        <scheme val="minor"/>
      </font>
    </dxf>
    <dxf>
      <font>
        <b val="0"/>
        <i/>
        <strike val="0"/>
        <condense val="0"/>
        <extend val="0"/>
        <outline val="0"/>
        <shadow val="0"/>
        <u val="none"/>
        <vertAlign val="baseline"/>
        <sz val="11"/>
        <color theme="1"/>
        <name val="Calibri"/>
        <scheme val="minor"/>
      </font>
    </dxf>
    <dxf>
      <font>
        <b val="0"/>
        <i/>
        <strike val="0"/>
        <condense val="0"/>
        <extend val="0"/>
        <outline val="0"/>
        <shadow val="0"/>
        <u val="none"/>
        <vertAlign val="baseline"/>
        <sz val="11"/>
        <color theme="1"/>
        <name val="Calibri"/>
        <scheme val="minor"/>
      </font>
    </dxf>
    <dxf>
      <font>
        <b val="0"/>
        <i/>
        <strike val="0"/>
        <condense val="0"/>
        <extend val="0"/>
        <outline val="0"/>
        <shadow val="0"/>
        <u val="none"/>
        <vertAlign val="baseline"/>
        <sz val="11"/>
        <color theme="1"/>
        <name val="Calibri"/>
        <scheme val="minor"/>
      </font>
    </dxf>
    <dxf>
      <font>
        <b val="0"/>
        <i/>
        <strike val="0"/>
        <condense val="0"/>
        <extend val="0"/>
        <outline val="0"/>
        <shadow val="0"/>
        <u val="none"/>
        <vertAlign val="baseline"/>
        <sz val="11"/>
        <color theme="1"/>
        <name val="Calibri"/>
        <scheme val="minor"/>
      </font>
    </dxf>
    <dxf>
      <font>
        <b val="0"/>
        <i/>
        <strike val="0"/>
        <condense val="0"/>
        <extend val="0"/>
        <outline val="0"/>
        <shadow val="0"/>
        <u val="none"/>
        <vertAlign val="baseline"/>
        <sz val="11"/>
        <color theme="1"/>
        <name val="Calibri"/>
        <scheme val="minor"/>
      </font>
    </dxf>
    <dxf>
      <font>
        <b val="0"/>
        <i/>
        <strike val="0"/>
        <condense val="0"/>
        <extend val="0"/>
        <outline val="0"/>
        <shadow val="0"/>
        <u val="none"/>
        <vertAlign val="baseline"/>
        <sz val="11"/>
        <color theme="1"/>
        <name val="Calibri"/>
        <scheme val="minor"/>
      </font>
    </dxf>
    <dxf>
      <font>
        <b val="0"/>
        <i/>
        <strike val="0"/>
        <condense val="0"/>
        <extend val="0"/>
        <outline val="0"/>
        <shadow val="0"/>
        <u val="none"/>
        <vertAlign val="baseline"/>
        <sz val="11"/>
        <color theme="1"/>
        <name val="Calibri"/>
        <scheme val="minor"/>
      </font>
    </dxf>
    <dxf>
      <font>
        <b val="0"/>
        <i/>
        <strike val="0"/>
        <condense val="0"/>
        <extend val="0"/>
        <outline val="0"/>
        <shadow val="0"/>
        <u val="none"/>
        <vertAlign val="baseline"/>
        <sz val="11"/>
        <color theme="1"/>
        <name val="Calibri"/>
        <scheme val="minor"/>
      </font>
    </dxf>
    <dxf>
      <font>
        <b val="0"/>
        <i/>
        <strike val="0"/>
        <condense val="0"/>
        <extend val="0"/>
        <outline val="0"/>
        <shadow val="0"/>
        <u val="none"/>
        <vertAlign val="baseline"/>
        <sz val="11"/>
        <color theme="1"/>
        <name val="Calibri"/>
        <scheme val="minor"/>
      </font>
    </dxf>
    <dxf>
      <font>
        <b val="0"/>
        <i/>
        <strike val="0"/>
        <condense val="0"/>
        <extend val="0"/>
        <outline val="0"/>
        <shadow val="0"/>
        <u val="none"/>
        <vertAlign val="baseline"/>
        <sz val="11"/>
        <color theme="1"/>
        <name val="Calibri"/>
        <scheme val="minor"/>
      </font>
    </dxf>
    <dxf>
      <font>
        <b val="0"/>
        <i/>
        <strike val="0"/>
        <condense val="0"/>
        <extend val="0"/>
        <outline val="0"/>
        <shadow val="0"/>
        <u val="none"/>
        <vertAlign val="baseline"/>
        <sz val="11"/>
        <color theme="1"/>
        <name val="Calibri"/>
        <scheme val="minor"/>
      </font>
    </dxf>
    <dxf>
      <font>
        <b val="0"/>
        <i/>
        <strike val="0"/>
        <condense val="0"/>
        <extend val="0"/>
        <outline val="0"/>
        <shadow val="0"/>
        <u val="none"/>
        <vertAlign val="baseline"/>
        <sz val="11"/>
        <color theme="1"/>
        <name val="Calibri"/>
        <scheme val="minor"/>
      </font>
    </dxf>
    <dxf>
      <font>
        <b val="0"/>
        <i/>
        <strike val="0"/>
        <condense val="0"/>
        <extend val="0"/>
        <outline val="0"/>
        <shadow val="0"/>
        <u val="none"/>
        <vertAlign val="baseline"/>
        <sz val="11"/>
        <color theme="1"/>
        <name val="Calibri"/>
        <scheme val="minor"/>
      </font>
    </dxf>
    <dxf>
      <font>
        <b val="0"/>
        <i/>
        <strike val="0"/>
        <condense val="0"/>
        <extend val="0"/>
        <outline val="0"/>
        <shadow val="0"/>
        <u val="none"/>
        <vertAlign val="baseline"/>
        <sz val="11"/>
        <color theme="1"/>
        <name val="Calibri"/>
        <scheme val="minor"/>
      </font>
    </dxf>
    <dxf>
      <font>
        <b val="0"/>
        <i/>
        <strike val="0"/>
        <condense val="0"/>
        <extend val="0"/>
        <outline val="0"/>
        <shadow val="0"/>
        <u val="none"/>
        <vertAlign val="baseline"/>
        <sz val="11"/>
        <color theme="1"/>
        <name val="Calibri"/>
        <scheme val="minor"/>
      </font>
    </dxf>
    <dxf>
      <font>
        <b val="0"/>
        <i/>
        <strike val="0"/>
        <condense val="0"/>
        <extend val="0"/>
        <outline val="0"/>
        <shadow val="0"/>
        <u val="none"/>
        <vertAlign val="baseline"/>
        <sz val="11"/>
        <color theme="1"/>
        <name val="Calibri"/>
        <scheme val="minor"/>
      </font>
    </dxf>
    <dxf>
      <font>
        <b val="0"/>
        <i/>
        <strike val="0"/>
        <condense val="0"/>
        <extend val="0"/>
        <outline val="0"/>
        <shadow val="0"/>
        <u val="none"/>
        <vertAlign val="baseline"/>
        <sz val="11"/>
        <color theme="1"/>
        <name val="Calibri"/>
        <scheme val="minor"/>
      </font>
    </dxf>
    <dxf>
      <font>
        <b val="0"/>
        <i/>
        <strike val="0"/>
        <condense val="0"/>
        <extend val="0"/>
        <outline val="0"/>
        <shadow val="0"/>
        <u val="none"/>
        <vertAlign val="baseline"/>
        <sz val="11"/>
        <color theme="1"/>
        <name val="Calibri"/>
        <scheme val="minor"/>
      </font>
    </dxf>
    <dxf>
      <font>
        <b val="0"/>
        <i/>
        <strike val="0"/>
        <condense val="0"/>
        <extend val="0"/>
        <outline val="0"/>
        <shadow val="0"/>
        <u val="none"/>
        <vertAlign val="baseline"/>
        <sz val="11"/>
        <color theme="1"/>
        <name val="Calibri"/>
        <scheme val="minor"/>
      </font>
    </dxf>
    <dxf>
      <font>
        <b val="0"/>
        <i/>
        <strike val="0"/>
        <condense val="0"/>
        <extend val="0"/>
        <outline val="0"/>
        <shadow val="0"/>
        <u val="none"/>
        <vertAlign val="baseline"/>
        <sz val="11"/>
        <color theme="1"/>
        <name val="Calibri"/>
        <scheme val="minor"/>
      </font>
    </dxf>
    <dxf>
      <font>
        <b val="0"/>
        <i/>
        <strike val="0"/>
        <condense val="0"/>
        <extend val="0"/>
        <outline val="0"/>
        <shadow val="0"/>
        <u val="none"/>
        <vertAlign val="baseline"/>
        <sz val="11"/>
        <color theme="1"/>
        <name val="Calibri"/>
        <scheme val="minor"/>
      </font>
    </dxf>
    <dxf>
      <font>
        <b val="0"/>
        <i/>
        <strike val="0"/>
        <condense val="0"/>
        <extend val="0"/>
        <outline val="0"/>
        <shadow val="0"/>
        <u val="none"/>
        <vertAlign val="baseline"/>
        <sz val="11"/>
        <color theme="1"/>
        <name val="Calibri"/>
        <scheme val="minor"/>
      </font>
    </dxf>
    <dxf>
      <font>
        <b val="0"/>
        <i/>
        <strike val="0"/>
        <condense val="0"/>
        <extend val="0"/>
        <outline val="0"/>
        <shadow val="0"/>
        <u val="none"/>
        <vertAlign val="baseline"/>
        <sz val="11"/>
        <color theme="1"/>
        <name val="Calibri"/>
        <scheme val="minor"/>
      </font>
    </dxf>
    <dxf>
      <font>
        <b val="0"/>
        <i/>
        <strike val="0"/>
        <condense val="0"/>
        <extend val="0"/>
        <outline val="0"/>
        <shadow val="0"/>
        <u val="none"/>
        <vertAlign val="baseline"/>
        <sz val="11"/>
        <color theme="1"/>
        <name val="Calibri"/>
        <scheme val="minor"/>
      </font>
    </dxf>
    <dxf>
      <font>
        <b val="0"/>
        <i/>
        <strike val="0"/>
        <condense val="0"/>
        <extend val="0"/>
        <outline val="0"/>
        <shadow val="0"/>
        <u val="none"/>
        <vertAlign val="baseline"/>
        <sz val="11"/>
        <color theme="1"/>
        <name val="Calibri"/>
        <scheme val="minor"/>
      </font>
    </dxf>
    <dxf>
      <font>
        <b val="0"/>
        <i/>
        <strike val="0"/>
        <condense val="0"/>
        <extend val="0"/>
        <outline val="0"/>
        <shadow val="0"/>
        <u val="none"/>
        <vertAlign val="baseline"/>
        <sz val="11"/>
        <color theme="1"/>
        <name val="Calibri"/>
        <scheme val="minor"/>
      </font>
    </dxf>
    <dxf>
      <font>
        <b val="0"/>
        <i/>
        <strike val="0"/>
        <condense val="0"/>
        <extend val="0"/>
        <outline val="0"/>
        <shadow val="0"/>
        <u val="none"/>
        <vertAlign val="baseline"/>
        <sz val="11"/>
        <color theme="1"/>
        <name val="Calibri"/>
        <scheme val="minor"/>
      </font>
    </dxf>
    <dxf>
      <font>
        <b val="0"/>
        <i/>
        <strike val="0"/>
        <condense val="0"/>
        <extend val="0"/>
        <outline val="0"/>
        <shadow val="0"/>
        <u val="none"/>
        <vertAlign val="baseline"/>
        <sz val="11"/>
        <color theme="1"/>
        <name val="Calibri"/>
        <scheme val="minor"/>
      </font>
    </dxf>
    <dxf>
      <font>
        <b val="0"/>
        <i/>
        <strike val="0"/>
        <condense val="0"/>
        <extend val="0"/>
        <outline val="0"/>
        <shadow val="0"/>
        <u val="none"/>
        <vertAlign val="baseline"/>
        <sz val="11"/>
        <color theme="1"/>
        <name val="Calibri"/>
        <scheme val="minor"/>
      </font>
    </dxf>
    <dxf>
      <font>
        <b val="0"/>
        <i/>
        <strike val="0"/>
        <condense val="0"/>
        <extend val="0"/>
        <outline val="0"/>
        <shadow val="0"/>
        <u val="none"/>
        <vertAlign val="baseline"/>
        <sz val="11"/>
        <color theme="1"/>
        <name val="Calibri"/>
        <scheme val="minor"/>
      </font>
    </dxf>
    <dxf>
      <font>
        <b val="0"/>
        <i/>
        <strike val="0"/>
        <condense val="0"/>
        <extend val="0"/>
        <outline val="0"/>
        <shadow val="0"/>
        <u val="none"/>
        <vertAlign val="baseline"/>
        <sz val="11"/>
        <color theme="1"/>
        <name val="Calibri"/>
        <scheme val="minor"/>
      </font>
    </dxf>
    <dxf>
      <font>
        <b val="0"/>
        <i/>
        <strike val="0"/>
        <condense val="0"/>
        <extend val="0"/>
        <outline val="0"/>
        <shadow val="0"/>
        <u val="none"/>
        <vertAlign val="baseline"/>
        <sz val="11"/>
        <color theme="1"/>
        <name val="Calibri"/>
        <scheme val="minor"/>
      </font>
    </dxf>
    <dxf>
      <font>
        <b val="0"/>
        <i/>
        <strike val="0"/>
        <condense val="0"/>
        <extend val="0"/>
        <outline val="0"/>
        <shadow val="0"/>
        <u val="none"/>
        <vertAlign val="baseline"/>
        <sz val="11"/>
        <color theme="1"/>
        <name val="Calibri"/>
        <scheme val="minor"/>
      </font>
    </dxf>
    <dxf>
      <font>
        <b val="0"/>
        <i/>
        <strike val="0"/>
        <condense val="0"/>
        <extend val="0"/>
        <outline val="0"/>
        <shadow val="0"/>
        <u val="none"/>
        <vertAlign val="baseline"/>
        <sz val="11"/>
        <color theme="1"/>
        <name val="Calibri"/>
        <scheme val="minor"/>
      </font>
    </dxf>
    <dxf>
      <font>
        <b val="0"/>
        <i/>
        <strike val="0"/>
        <condense val="0"/>
        <extend val="0"/>
        <outline val="0"/>
        <shadow val="0"/>
        <u val="none"/>
        <vertAlign val="baseline"/>
        <sz val="11"/>
        <color theme="1"/>
        <name val="Calibri"/>
        <scheme val="minor"/>
      </font>
    </dxf>
    <dxf>
      <font>
        <b val="0"/>
        <i/>
        <strike val="0"/>
        <condense val="0"/>
        <extend val="0"/>
        <outline val="0"/>
        <shadow val="0"/>
        <u val="none"/>
        <vertAlign val="baseline"/>
        <sz val="11"/>
        <color theme="1"/>
        <name val="Calibri"/>
        <scheme val="minor"/>
      </font>
    </dxf>
    <dxf>
      <font>
        <b val="0"/>
        <i/>
        <strike val="0"/>
        <condense val="0"/>
        <extend val="0"/>
        <outline val="0"/>
        <shadow val="0"/>
        <u val="none"/>
        <vertAlign val="baseline"/>
        <sz val="11"/>
        <color theme="1"/>
        <name val="Calibri"/>
        <scheme val="minor"/>
      </font>
    </dxf>
    <dxf>
      <font>
        <b val="0"/>
        <i/>
        <strike val="0"/>
        <condense val="0"/>
        <extend val="0"/>
        <outline val="0"/>
        <shadow val="0"/>
        <u val="none"/>
        <vertAlign val="baseline"/>
        <sz val="11"/>
        <color theme="1"/>
        <name val="Calibri"/>
        <scheme val="minor"/>
      </font>
    </dxf>
    <dxf>
      <font>
        <i/>
      </font>
      <alignment horizontal="center" vertical="center" textRotation="0" wrapText="0" indent="0" justifyLastLine="0" shrinkToFit="0" readingOrder="0"/>
    </dxf>
    <dxf>
      <font>
        <b val="0"/>
        <i/>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outline="0">
        <left/>
        <right/>
        <top/>
        <bottom style="thin">
          <color theme="4" tint="0.39997558519241921"/>
        </bottom>
      </border>
    </dxf>
    <dxf>
      <font>
        <i/>
      </font>
      <alignment horizontal="center" vertical="center" textRotation="0" wrapText="0" indent="0" justifyLastLine="0" shrinkToFit="0" readingOrder="0"/>
    </dxf>
    <dxf>
      <font>
        <b val="0"/>
        <i/>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outline="0">
        <left/>
        <right/>
        <top/>
        <bottom style="thin">
          <color theme="4" tint="0.39997558519241921"/>
        </bottom>
      </border>
    </dxf>
    <dxf>
      <font>
        <i/>
      </font>
      <alignment horizontal="center" vertical="center" textRotation="0" wrapText="0" indent="0" justifyLastLine="0" shrinkToFit="0" readingOrder="0"/>
    </dxf>
    <dxf>
      <font>
        <b val="0"/>
        <i/>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outline="0">
        <left/>
        <right/>
        <top/>
        <bottom style="thin">
          <color theme="4" tint="0.39997558519241921"/>
        </bottom>
      </border>
    </dxf>
    <dxf>
      <font>
        <i/>
      </font>
      <alignment horizontal="center" vertical="center" textRotation="0" wrapText="0" indent="0" justifyLastLine="0" shrinkToFit="0" readingOrder="0"/>
    </dxf>
    <dxf>
      <font>
        <b val="0"/>
        <i/>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outline="0">
        <left/>
        <right/>
        <top/>
        <bottom style="thin">
          <color theme="4" tint="0.39997558519241921"/>
        </bottom>
      </border>
    </dxf>
    <dxf>
      <font>
        <i/>
      </font>
      <alignment horizontal="center" vertical="center" textRotation="0" wrapText="0" indent="0" justifyLastLine="0" shrinkToFit="0" readingOrder="0"/>
    </dxf>
    <dxf>
      <font>
        <b val="0"/>
        <i/>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outline="0">
        <left/>
        <right/>
        <top/>
        <bottom style="thin">
          <color theme="4" tint="0.39997558519241921"/>
        </bottom>
      </border>
    </dxf>
    <dxf>
      <font>
        <i/>
      </font>
      <alignment horizontal="center" vertical="center" textRotation="0" wrapText="0" indent="0" justifyLastLine="0" shrinkToFit="0" readingOrder="0"/>
    </dxf>
    <dxf>
      <font>
        <b val="0"/>
        <i/>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outline="0">
        <left/>
        <right/>
        <top/>
        <bottom style="thin">
          <color theme="4" tint="0.39997558519241921"/>
        </bottom>
      </border>
    </dxf>
    <dxf>
      <font>
        <i/>
      </font>
      <alignment horizontal="center" vertical="center" textRotation="0" wrapText="0" indent="0" justifyLastLine="0" shrinkToFit="0" readingOrder="0"/>
    </dxf>
    <dxf>
      <font>
        <b val="0"/>
        <i/>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outline="0">
        <left/>
        <right/>
        <top/>
        <bottom style="thin">
          <color theme="4" tint="0.39997558519241921"/>
        </bottom>
      </border>
    </dxf>
    <dxf>
      <font>
        <i/>
      </font>
      <alignment horizontal="center" vertical="center" textRotation="0" wrapText="0" indent="0" justifyLastLine="0" shrinkToFit="0" readingOrder="0"/>
    </dxf>
    <dxf>
      <font>
        <b val="0"/>
        <i/>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outline="0">
        <left/>
        <right/>
        <top/>
        <bottom style="thin">
          <color theme="4" tint="0.39997558519241921"/>
        </bottom>
      </border>
    </dxf>
    <dxf>
      <font>
        <i/>
      </font>
      <alignment horizontal="center" vertical="center" textRotation="0" wrapText="0" indent="0" justifyLastLine="0" shrinkToFit="0" readingOrder="0"/>
    </dxf>
    <dxf>
      <font>
        <b val="0"/>
        <i/>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outline="0">
        <left/>
        <right/>
        <top/>
        <bottom style="thin">
          <color theme="4" tint="0.39997558519241921"/>
        </bottom>
      </border>
    </dxf>
    <dxf>
      <font>
        <i/>
      </font>
      <alignment horizontal="center" vertical="center" textRotation="0" wrapText="0" indent="0" justifyLastLine="0" shrinkToFit="0" readingOrder="0"/>
    </dxf>
    <dxf>
      <font>
        <b val="0"/>
        <i/>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outline="0">
        <left/>
        <right/>
        <top/>
        <bottom style="thin">
          <color theme="4" tint="0.39997558519241921"/>
        </bottom>
      </border>
    </dxf>
    <dxf>
      <font>
        <i/>
      </font>
      <alignment horizontal="center" vertical="center" textRotation="0" wrapText="0" indent="0" justifyLastLine="0" shrinkToFit="0" readingOrder="0"/>
    </dxf>
    <dxf>
      <font>
        <b val="0"/>
        <i/>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outline="0">
        <left/>
        <right/>
        <top/>
        <bottom style="thin">
          <color theme="4" tint="0.39997558519241921"/>
        </bottom>
      </border>
    </dxf>
    <dxf>
      <font>
        <i/>
      </font>
      <alignment horizontal="center" vertical="center" textRotation="0" wrapText="0" indent="0" justifyLastLine="0" shrinkToFit="0" readingOrder="0"/>
    </dxf>
    <dxf>
      <font>
        <b val="0"/>
        <i/>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outline="0">
        <left/>
        <right/>
        <top/>
        <bottom style="thin">
          <color theme="4" tint="0.39997558519241921"/>
        </bottom>
      </border>
    </dxf>
    <dxf>
      <font>
        <i/>
      </font>
      <alignment horizontal="center" vertical="center" textRotation="0" wrapText="0" indent="0" justifyLastLine="0" shrinkToFit="0" readingOrder="0"/>
    </dxf>
    <dxf>
      <font>
        <b val="0"/>
        <i/>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outline="0">
        <left/>
        <right/>
        <top/>
        <bottom style="thin">
          <color theme="4" tint="0.39997558519241921"/>
        </bottom>
      </border>
    </dxf>
    <dxf>
      <font>
        <i/>
      </font>
      <alignment horizontal="center" vertical="center" textRotation="0" wrapText="0" indent="0" justifyLastLine="0" shrinkToFit="0" readingOrder="0"/>
    </dxf>
    <dxf>
      <font>
        <b val="0"/>
        <i/>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outline="0">
        <left/>
        <right/>
        <top/>
        <bottom style="thin">
          <color theme="4" tint="0.39997558519241921"/>
        </bottom>
      </border>
    </dxf>
    <dxf>
      <font>
        <i/>
      </font>
      <alignment horizontal="center" vertical="center" textRotation="0" wrapText="0" indent="0" justifyLastLine="0" shrinkToFit="0" readingOrder="0"/>
    </dxf>
    <dxf>
      <font>
        <b val="0"/>
        <i/>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outline="0">
        <left/>
        <right/>
        <top/>
        <bottom style="thin">
          <color theme="4" tint="0.39997558519241921"/>
        </bottom>
      </border>
    </dxf>
    <dxf>
      <font>
        <i/>
      </font>
      <alignment horizontal="center" vertical="center" textRotation="0" wrapText="0" indent="0" justifyLastLine="0" shrinkToFit="0" readingOrder="0"/>
    </dxf>
    <dxf>
      <font>
        <b val="0"/>
        <i/>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outline="0">
        <left/>
        <right/>
        <top/>
        <bottom style="thin">
          <color theme="4" tint="0.39997558519241921"/>
        </bottom>
      </border>
    </dxf>
    <dxf>
      <font>
        <i/>
      </font>
      <alignment horizontal="center" vertical="center" textRotation="0" wrapText="0" indent="0" justifyLastLine="0" shrinkToFit="0" readingOrder="0"/>
    </dxf>
    <dxf>
      <font>
        <b val="0"/>
        <i/>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outline="0">
        <left/>
        <right/>
        <top/>
        <bottom style="thin">
          <color theme="4" tint="0.39997558519241921"/>
        </bottom>
      </border>
    </dxf>
    <dxf>
      <font>
        <i/>
      </font>
      <alignment horizontal="center" vertical="center" textRotation="0" wrapText="0" indent="0" justifyLastLine="0" shrinkToFit="0" readingOrder="0"/>
    </dxf>
    <dxf>
      <font>
        <b val="0"/>
        <i/>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outline="0">
        <left/>
        <right/>
        <top/>
        <bottom style="thin">
          <color theme="4" tint="0.39997558519241921"/>
        </bottom>
      </border>
    </dxf>
    <dxf>
      <font>
        <i/>
      </font>
      <alignment horizontal="center" vertical="center" textRotation="0" wrapText="0" indent="0" justifyLastLine="0" shrinkToFit="0" readingOrder="0"/>
    </dxf>
    <dxf>
      <font>
        <b val="0"/>
        <i/>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outline="0">
        <left/>
        <right/>
        <top/>
        <bottom style="thin">
          <color theme="4" tint="0.39997558519241921"/>
        </bottom>
      </border>
    </dxf>
    <dxf>
      <font>
        <i/>
      </font>
      <alignment horizontal="center" vertical="center" textRotation="0" wrapText="0" indent="0" justifyLastLine="0" shrinkToFit="0" readingOrder="0"/>
    </dxf>
    <dxf>
      <font>
        <b val="0"/>
        <i/>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outline="0">
        <left/>
        <right/>
        <top/>
        <bottom style="thin">
          <color theme="4" tint="0.39997558519241921"/>
        </bottom>
      </border>
    </dxf>
    <dxf>
      <font>
        <i/>
      </font>
      <alignment horizontal="center" vertical="center" textRotation="0" wrapText="0" indent="0" justifyLastLine="0" shrinkToFit="0" readingOrder="0"/>
    </dxf>
    <dxf>
      <font>
        <b val="0"/>
        <i/>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outline="0">
        <left/>
        <right/>
        <top/>
        <bottom style="thin">
          <color theme="4" tint="0.39997558519241921"/>
        </bottom>
      </border>
    </dxf>
    <dxf>
      <font>
        <i/>
      </font>
      <alignment horizontal="center" vertical="center" textRotation="0" wrapText="0" indent="0" justifyLastLine="0" shrinkToFit="0" readingOrder="0"/>
    </dxf>
    <dxf>
      <font>
        <b val="0"/>
        <i/>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outline="0">
        <left/>
        <right/>
        <top/>
        <bottom style="thin">
          <color theme="4" tint="0.39997558519241921"/>
        </bottom>
      </border>
    </dxf>
    <dxf>
      <font>
        <i/>
      </font>
      <alignment horizontal="center" vertical="center" textRotation="0" wrapText="0" indent="0" justifyLastLine="0" shrinkToFit="0" readingOrder="0"/>
    </dxf>
    <dxf>
      <font>
        <b val="0"/>
        <i/>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outline="0">
        <left/>
        <right/>
        <top/>
        <bottom style="thin">
          <color theme="4" tint="0.39997558519241921"/>
        </bottom>
      </border>
    </dxf>
    <dxf>
      <font>
        <i/>
      </font>
      <alignment horizontal="center" vertical="center" textRotation="0" wrapText="0" indent="0" justifyLastLine="0" shrinkToFit="0" readingOrder="0"/>
    </dxf>
    <dxf>
      <font>
        <b val="0"/>
        <i/>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outline="0">
        <left/>
        <right/>
        <top/>
        <bottom style="thin">
          <color theme="4" tint="0.39997558519241921"/>
        </bottom>
      </border>
    </dxf>
    <dxf>
      <font>
        <i/>
      </font>
      <alignment horizontal="center" vertical="center" textRotation="0" wrapText="0" indent="0" justifyLastLine="0" shrinkToFit="0" readingOrder="0"/>
    </dxf>
    <dxf>
      <font>
        <b val="0"/>
        <i/>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bottom style="thin">
          <color theme="4" tint="0.39997558519241921"/>
        </bottom>
      </border>
    </dxf>
    <dxf>
      <font>
        <i/>
      </font>
      <alignment horizontal="center" vertical="center" textRotation="0" wrapText="0" indent="0" justifyLastLine="0" shrinkToFit="0" readingOrder="0"/>
    </dxf>
    <dxf>
      <font>
        <b val="0"/>
        <i/>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bottom style="thin">
          <color theme="4" tint="0.39997558519241921"/>
        </bottom>
      </border>
    </dxf>
    <dxf>
      <font>
        <i/>
      </font>
      <alignment horizontal="center" vertical="center" textRotation="0" wrapText="0" indent="0" justifyLastLine="0" shrinkToFit="0" readingOrder="0"/>
    </dxf>
    <dxf>
      <font>
        <b val="0"/>
        <i/>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bottom style="thin">
          <color theme="4" tint="0.39997558519241921"/>
        </bottom>
      </border>
    </dxf>
    <dxf>
      <font>
        <i/>
      </font>
      <alignment horizontal="center" vertical="center" textRotation="0" wrapText="0" indent="0" justifyLastLine="0" shrinkToFit="0" readingOrder="0"/>
    </dxf>
    <dxf>
      <font>
        <b val="0"/>
        <i/>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bottom style="thin">
          <color theme="4" tint="0.39997558519241921"/>
        </bottom>
      </border>
    </dxf>
    <dxf>
      <font>
        <i/>
      </font>
      <alignment horizontal="center" vertical="center" textRotation="0" wrapText="0" indent="0" justifyLastLine="0" shrinkToFit="0" readingOrder="0"/>
    </dxf>
    <dxf>
      <font>
        <b val="0"/>
        <i/>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bottom style="thin">
          <color theme="4" tint="0.39997558519241921"/>
        </bottom>
      </border>
    </dxf>
    <dxf>
      <font>
        <i/>
      </font>
      <alignment horizontal="center" vertical="center" textRotation="0" wrapText="0" indent="0" justifyLastLine="0" shrinkToFit="0" readingOrder="0"/>
    </dxf>
    <dxf>
      <font>
        <b val="0"/>
        <i/>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bottom style="thin">
          <color theme="4" tint="0.39997558519241921"/>
        </bottom>
      </border>
    </dxf>
    <dxf>
      <font>
        <i/>
      </font>
      <alignment horizontal="center" vertical="center" textRotation="0" wrapText="0" indent="0" justifyLastLine="0" shrinkToFit="0" readingOrder="0"/>
    </dxf>
    <dxf>
      <font>
        <b val="0"/>
        <i/>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bottom style="thin">
          <color theme="4" tint="0.39997558519241921"/>
        </bottom>
      </border>
    </dxf>
    <dxf>
      <font>
        <i/>
      </font>
      <alignment horizontal="center" vertical="center" textRotation="0" wrapText="0" indent="0" justifyLastLine="0" shrinkToFit="0" readingOrder="0"/>
    </dxf>
    <dxf>
      <font>
        <b val="0"/>
        <i/>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bottom style="thin">
          <color theme="4" tint="0.39997558519241921"/>
        </bottom>
      </border>
    </dxf>
    <dxf>
      <font>
        <i/>
      </font>
      <alignment horizontal="center" vertical="center" textRotation="0" wrapText="0" indent="0" justifyLastLine="0" shrinkToFit="0" readingOrder="0"/>
    </dxf>
    <dxf>
      <font>
        <b val="0"/>
        <i/>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bottom style="thin">
          <color theme="4" tint="0.39997558519241921"/>
        </bottom>
      </border>
    </dxf>
    <dxf>
      <font>
        <i/>
      </font>
    </dxf>
    <dxf>
      <font>
        <b/>
        <i/>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bottom style="thin">
          <color theme="4" tint="0.39997558519241921"/>
        </bottom>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i/>
      </font>
    </dxf>
    <dxf>
      <border outline="0">
        <bottom style="thin">
          <color theme="4" tint="0.39997558519241921"/>
        </bottom>
      </border>
    </dxf>
    <dxf>
      <font>
        <b val="0"/>
        <i/>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dxf>
    <dxf>
      <numFmt numFmtId="164" formatCode="0.0"/>
      <fill>
        <patternFill patternType="solid">
          <fgColor indexed="64"/>
          <bgColor theme="4"/>
        </patternFill>
      </fill>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fill>
        <patternFill patternType="solid">
          <fgColor indexed="64"/>
          <bgColor theme="4"/>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4"/>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medium">
          <color indexed="64"/>
        </left>
        <right style="medium">
          <color indexed="64"/>
        </right>
        <top style="medium">
          <color indexed="64"/>
        </top>
        <bottom style="medium">
          <color indexed="64"/>
        </bottom>
      </border>
    </dxf>
    <dxf>
      <border outline="0">
        <bottom style="thin">
          <color indexed="64"/>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border outline="0">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bottom/>
      </border>
    </dxf>
    <dxf>
      <numFmt numFmtId="1" formatCode="0"/>
      <fill>
        <patternFill patternType="solid">
          <fgColor indexed="64"/>
          <bgColor theme="5" tint="0.39997558519241921"/>
        </patternFill>
      </fill>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fill>
        <patternFill patternType="solid">
          <fgColor indexed="64"/>
          <bgColor theme="5" tint="0.3999755851924192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tint="0.39997558519241921"/>
        </patternFill>
      </fill>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medium">
          <color indexed="64"/>
        </left>
        <right style="medium">
          <color indexed="64"/>
        </right>
        <top style="medium">
          <color indexed="64"/>
        </top>
        <bottom style="medium">
          <color indexed="64"/>
        </bottom>
      </border>
    </dxf>
    <dxf>
      <border outline="0">
        <bottom style="thin">
          <color indexed="64"/>
        </bottom>
      </border>
    </dxf>
    <dxf>
      <font>
        <b val="0"/>
        <i val="0"/>
        <strike val="0"/>
        <condense val="0"/>
        <extend val="0"/>
        <outline val="0"/>
        <shadow val="0"/>
        <u val="none"/>
        <vertAlign val="baseline"/>
        <sz val="9"/>
        <color rgb="FF666666"/>
        <name val="Arial"/>
        <scheme val="none"/>
      </font>
      <fill>
        <patternFill patternType="solid">
          <fgColor indexed="64"/>
          <bgColor theme="7" tint="0.59999389629810485"/>
        </patternFill>
      </fill>
      <alignment horizontal="center" vertical="top" textRotation="0" wrapText="1" indent="0" justifyLastLine="0" shrinkToFit="0" readingOrder="0"/>
      <border diagonalUp="0" diagonalDown="0">
        <left style="medium">
          <color rgb="FFAACCCC"/>
        </left>
        <right style="medium">
          <color rgb="FFAACCCC"/>
        </right>
        <top style="medium">
          <color rgb="FFDDDDDD"/>
        </top>
        <bottom style="medium">
          <color rgb="FFAACCCC"/>
        </bottom>
        <vertical/>
        <horizontal/>
      </border>
    </dxf>
    <dxf>
      <font>
        <b val="0"/>
        <i val="0"/>
        <strike val="0"/>
        <condense val="0"/>
        <extend val="0"/>
        <outline val="0"/>
        <shadow val="0"/>
        <u val="none"/>
        <vertAlign val="baseline"/>
        <sz val="9"/>
        <color rgb="FF666666"/>
        <name val="Arial"/>
        <scheme val="none"/>
      </font>
      <fill>
        <patternFill patternType="solid">
          <fgColor indexed="64"/>
          <bgColor theme="7" tint="0.59999389629810485"/>
        </patternFill>
      </fill>
      <alignment horizontal="center" vertical="top" textRotation="0" wrapText="1" indent="0" justifyLastLine="0" shrinkToFit="0" readingOrder="0"/>
      <border diagonalUp="0" diagonalDown="0">
        <left style="medium">
          <color rgb="FFAACCCC"/>
        </left>
        <right/>
        <top style="medium">
          <color rgb="FFDDDDDD"/>
        </top>
        <bottom style="medium">
          <color rgb="FFAACCCC"/>
        </bottom>
        <vertical/>
        <horizontal/>
      </border>
    </dxf>
    <dxf>
      <font>
        <b val="0"/>
        <i val="0"/>
        <strike val="0"/>
        <condense val="0"/>
        <extend val="0"/>
        <outline val="0"/>
        <shadow val="0"/>
        <u val="none"/>
        <vertAlign val="baseline"/>
        <sz val="9"/>
        <color rgb="FF666666"/>
        <name val="Arial"/>
        <scheme val="none"/>
      </font>
      <fill>
        <patternFill patternType="solid">
          <fgColor indexed="64"/>
          <bgColor theme="7" tint="0.59999389629810485"/>
        </patternFill>
      </fill>
      <alignment horizontal="center" vertical="top" textRotation="0" wrapText="1" indent="0" justifyLastLine="0" shrinkToFit="0" readingOrder="0"/>
      <border diagonalUp="0" diagonalDown="0">
        <left style="medium">
          <color rgb="FFAACCCC"/>
        </left>
        <right style="medium">
          <color rgb="FFAACCCC"/>
        </right>
        <top style="medium">
          <color rgb="FFDDDDDD"/>
        </top>
        <bottom style="medium">
          <color rgb="FFAACCCC"/>
        </bottom>
        <vertical/>
        <horizontal/>
      </border>
    </dxf>
    <dxf>
      <font>
        <b val="0"/>
        <i val="0"/>
        <strike val="0"/>
        <condense val="0"/>
        <extend val="0"/>
        <outline val="0"/>
        <shadow val="0"/>
        <u val="none"/>
        <vertAlign val="baseline"/>
        <sz val="9"/>
        <color rgb="FF666666"/>
        <name val="Arial"/>
        <scheme val="none"/>
      </font>
      <fill>
        <patternFill patternType="solid">
          <fgColor indexed="64"/>
          <bgColor theme="7" tint="0.59999389629810485"/>
        </patternFill>
      </fill>
      <alignment horizontal="center" vertical="top" textRotation="0" wrapText="1" indent="0" justifyLastLine="0" shrinkToFit="0" readingOrder="0"/>
      <border diagonalUp="0" diagonalDown="0">
        <left style="medium">
          <color rgb="FFAACCCC"/>
        </left>
        <right style="medium">
          <color rgb="FFAACCCC"/>
        </right>
        <top style="medium">
          <color rgb="FFDDDDDD"/>
        </top>
        <bottom style="medium">
          <color rgb="FFAACCCC"/>
        </bottom>
        <vertical/>
        <horizontal/>
      </border>
    </dxf>
    <dxf>
      <font>
        <b val="0"/>
        <i val="0"/>
        <strike val="0"/>
        <condense val="0"/>
        <extend val="0"/>
        <outline val="0"/>
        <shadow val="0"/>
        <u val="none"/>
        <vertAlign val="baseline"/>
        <sz val="9"/>
        <color rgb="FF666666"/>
        <name val="Arial"/>
        <scheme val="none"/>
      </font>
      <fill>
        <patternFill patternType="solid">
          <fgColor indexed="64"/>
          <bgColor theme="7" tint="0.59999389629810485"/>
        </patternFill>
      </fill>
      <alignment horizontal="center" vertical="top" textRotation="0" wrapText="1" indent="0" justifyLastLine="0" shrinkToFit="0" readingOrder="0"/>
      <border diagonalUp="0" diagonalDown="0">
        <left style="medium">
          <color rgb="FFAACCCC"/>
        </left>
        <right style="medium">
          <color rgb="FFAACCCC"/>
        </right>
        <top style="medium">
          <color rgb="FFDDDDDD"/>
        </top>
        <bottom style="medium">
          <color rgb="FFAACCCC"/>
        </bottom>
        <vertical/>
        <horizontal/>
      </border>
    </dxf>
    <dxf>
      <font>
        <b val="0"/>
        <i val="0"/>
        <strike val="0"/>
        <condense val="0"/>
        <extend val="0"/>
        <outline val="0"/>
        <shadow val="0"/>
        <u val="none"/>
        <vertAlign val="baseline"/>
        <sz val="9"/>
        <color rgb="FF666666"/>
        <name val="Arial"/>
        <scheme val="none"/>
      </font>
      <fill>
        <patternFill patternType="solid">
          <fgColor indexed="64"/>
          <bgColor theme="7" tint="0.59999389629810485"/>
        </patternFill>
      </fill>
      <alignment horizontal="center" vertical="top" textRotation="0" wrapText="1" indent="0" justifyLastLine="0" shrinkToFit="0" readingOrder="0"/>
      <border diagonalUp="0" diagonalDown="0">
        <left style="medium">
          <color rgb="FFAACCCC"/>
        </left>
        <right style="medium">
          <color rgb="FFAACCCC"/>
        </right>
        <top style="medium">
          <color rgb="FFDDDDDD"/>
        </top>
        <bottom style="medium">
          <color rgb="FFAACCCC"/>
        </bottom>
        <vertical/>
        <horizontal/>
      </border>
    </dxf>
    <dxf>
      <font>
        <b val="0"/>
        <i val="0"/>
        <strike val="0"/>
        <condense val="0"/>
        <extend val="0"/>
        <outline val="0"/>
        <shadow val="0"/>
        <u val="none"/>
        <vertAlign val="baseline"/>
        <sz val="9"/>
        <color rgb="FF666666"/>
        <name val="Arial"/>
        <scheme val="none"/>
      </font>
      <fill>
        <patternFill patternType="solid">
          <fgColor indexed="64"/>
          <bgColor theme="7" tint="0.59999389629810485"/>
        </patternFill>
      </fill>
      <alignment horizontal="center" vertical="top" textRotation="0" wrapText="1" indent="0" justifyLastLine="0" shrinkToFit="0" readingOrder="0"/>
      <border diagonalUp="0" diagonalDown="0">
        <left style="medium">
          <color rgb="FFAACCCC"/>
        </left>
        <right style="medium">
          <color rgb="FFAACCCC"/>
        </right>
        <top style="medium">
          <color rgb="FFDDDDDD"/>
        </top>
        <bottom style="medium">
          <color rgb="FFAACCCC"/>
        </bottom>
        <vertical/>
        <horizontal/>
      </border>
    </dxf>
    <dxf>
      <font>
        <b val="0"/>
        <i val="0"/>
        <strike val="0"/>
        <condense val="0"/>
        <extend val="0"/>
        <outline val="0"/>
        <shadow val="0"/>
        <u val="none"/>
        <vertAlign val="baseline"/>
        <sz val="9"/>
        <color rgb="FF666666"/>
        <name val="Arial"/>
        <scheme val="none"/>
      </font>
      <fill>
        <patternFill patternType="solid">
          <fgColor indexed="64"/>
          <bgColor theme="7" tint="0.59999389629810485"/>
        </patternFill>
      </fill>
      <alignment horizontal="center" vertical="top" textRotation="0" wrapText="1" indent="0" justifyLastLine="0" shrinkToFit="0" readingOrder="0"/>
      <border diagonalUp="0" diagonalDown="0">
        <left style="medium">
          <color rgb="FFAACCCC"/>
        </left>
        <right style="medium">
          <color rgb="FFAACCCC"/>
        </right>
        <top style="medium">
          <color rgb="FFDDDDDD"/>
        </top>
        <bottom style="medium">
          <color rgb="FFAACCCC"/>
        </bottom>
        <vertical/>
        <horizontal/>
      </border>
    </dxf>
    <dxf>
      <font>
        <b val="0"/>
        <i val="0"/>
        <strike val="0"/>
        <condense val="0"/>
        <extend val="0"/>
        <outline val="0"/>
        <shadow val="0"/>
        <u val="none"/>
        <vertAlign val="baseline"/>
        <sz val="9"/>
        <color rgb="FF666666"/>
        <name val="Arial"/>
        <scheme val="none"/>
      </font>
      <fill>
        <patternFill patternType="solid">
          <fgColor indexed="64"/>
          <bgColor theme="7" tint="0.59999389629810485"/>
        </patternFill>
      </fill>
      <alignment horizontal="center" vertical="top" textRotation="0" wrapText="1" indent="0" justifyLastLine="0" shrinkToFit="0" readingOrder="0"/>
      <border diagonalUp="0" diagonalDown="0">
        <left/>
        <right style="medium">
          <color rgb="FFAACCCC"/>
        </right>
        <top style="medium">
          <color rgb="FFDDDDDD"/>
        </top>
        <bottom style="medium">
          <color rgb="FFAACCCC"/>
        </bottom>
        <vertical/>
        <horizontal/>
      </border>
    </dxf>
    <dxf>
      <border outline="0">
        <top style="medium">
          <color rgb="FFDDDDDD"/>
        </top>
      </border>
    </dxf>
    <dxf>
      <border outline="0">
        <left style="medium">
          <color rgb="FFAACCCC"/>
        </left>
        <right style="medium">
          <color rgb="FFAACCCC"/>
        </right>
        <top style="medium">
          <color rgb="FFAACCCC"/>
        </top>
        <bottom style="medium">
          <color rgb="FFAACCCC"/>
        </bottom>
      </border>
    </dxf>
    <dxf>
      <font>
        <b val="0"/>
        <i val="0"/>
        <strike val="0"/>
        <condense val="0"/>
        <extend val="0"/>
        <outline val="0"/>
        <shadow val="0"/>
        <u val="none"/>
        <vertAlign val="baseline"/>
        <sz val="9"/>
        <color rgb="FF666666"/>
        <name val="Arial"/>
        <scheme val="none"/>
      </font>
      <fill>
        <patternFill patternType="solid">
          <fgColor indexed="64"/>
          <bgColor theme="7" tint="0.59999389629810485"/>
        </patternFill>
      </fill>
      <alignment horizontal="center" vertical="top" textRotation="0" wrapText="1" indent="0" justifyLastLine="0" shrinkToFit="0" readingOrder="0"/>
    </dxf>
    <dxf>
      <border outline="0">
        <bottom style="medium">
          <color rgb="FFAACCCC"/>
        </bottom>
      </border>
    </dxf>
    <dxf>
      <font>
        <b val="0"/>
        <i val="0"/>
        <strike val="0"/>
        <condense val="0"/>
        <extend val="0"/>
        <outline val="0"/>
        <shadow val="0"/>
        <u val="none"/>
        <vertAlign val="baseline"/>
        <sz val="9"/>
        <color rgb="FF666666"/>
        <name val="Arial"/>
        <scheme val="none"/>
      </font>
      <fill>
        <patternFill patternType="solid">
          <fgColor indexed="64"/>
          <bgColor theme="7" tint="0.59999389629810485"/>
        </patternFill>
      </fill>
      <alignment horizontal="center" vertical="top" textRotation="0" wrapText="1" indent="0" justifyLastLine="0" shrinkToFit="0" readingOrder="0"/>
      <border diagonalUp="0" diagonalDown="0" outline="0">
        <left style="medium">
          <color rgb="FFAACCCC"/>
        </left>
        <right style="medium">
          <color rgb="FFAACCCC"/>
        </right>
        <top/>
        <bottom/>
      </border>
    </dxf>
    <dxf>
      <font>
        <b val="0"/>
        <i val="0"/>
        <strike val="0"/>
        <condense val="0"/>
        <extend val="0"/>
        <outline val="0"/>
        <shadow val="0"/>
        <u val="none"/>
        <vertAlign val="baseline"/>
        <sz val="9"/>
        <color rgb="FF666666"/>
        <name val="Arial"/>
        <scheme val="none"/>
      </font>
      <fill>
        <patternFill patternType="solid">
          <fgColor indexed="64"/>
          <bgColor theme="7" tint="0.59999389629810485"/>
        </patternFill>
      </fill>
      <alignment horizontal="center" vertical="top" textRotation="0" wrapText="1" indent="0" justifyLastLine="0" shrinkToFit="0" readingOrder="0"/>
      <border diagonalUp="0" diagonalDown="0">
        <left style="medium">
          <color rgb="FFAACCCC"/>
        </left>
        <right/>
        <top style="medium">
          <color rgb="FFDDDDDD"/>
        </top>
        <bottom/>
        <vertical/>
        <horizontal/>
      </border>
    </dxf>
    <dxf>
      <font>
        <b val="0"/>
        <i val="0"/>
        <strike val="0"/>
        <condense val="0"/>
        <extend val="0"/>
        <outline val="0"/>
        <shadow val="0"/>
        <u val="none"/>
        <vertAlign val="baseline"/>
        <sz val="9"/>
        <color rgb="FF666666"/>
        <name val="Arial"/>
        <scheme val="none"/>
      </font>
      <fill>
        <patternFill patternType="solid">
          <fgColor indexed="64"/>
          <bgColor theme="7" tint="0.59999389629810485"/>
        </patternFill>
      </fill>
      <alignment horizontal="center" vertical="top" textRotation="0" wrapText="0" indent="0" justifyLastLine="0" shrinkToFit="0" readingOrder="0"/>
      <border diagonalUp="0" diagonalDown="0">
        <left style="medium">
          <color rgb="FFAACCCC"/>
        </left>
        <right style="medium">
          <color rgb="FFAACCCC"/>
        </right>
        <top style="medium">
          <color rgb="FFDDDDDD"/>
        </top>
        <bottom/>
        <vertical/>
        <horizontal/>
      </border>
    </dxf>
    <dxf>
      <font>
        <b val="0"/>
        <i val="0"/>
        <strike val="0"/>
        <condense val="0"/>
        <extend val="0"/>
        <outline val="0"/>
        <shadow val="0"/>
        <u val="none"/>
        <vertAlign val="baseline"/>
        <sz val="9"/>
        <color rgb="FF666666"/>
        <name val="Arial"/>
        <scheme val="none"/>
      </font>
      <fill>
        <patternFill patternType="solid">
          <fgColor indexed="64"/>
          <bgColor theme="7" tint="0.59999389629810485"/>
        </patternFill>
      </fill>
      <alignment horizontal="center" vertical="top" textRotation="0" wrapText="0" indent="0" justifyLastLine="0" shrinkToFit="0" readingOrder="0"/>
      <border diagonalUp="0" diagonalDown="0">
        <left style="medium">
          <color rgb="FFAACCCC"/>
        </left>
        <right style="medium">
          <color rgb="FFAACCCC"/>
        </right>
        <top style="medium">
          <color rgb="FFDDDDDD"/>
        </top>
        <bottom/>
        <vertical/>
        <horizontal/>
      </border>
    </dxf>
    <dxf>
      <font>
        <b val="0"/>
        <i val="0"/>
        <strike val="0"/>
        <condense val="0"/>
        <extend val="0"/>
        <outline val="0"/>
        <shadow val="0"/>
        <u val="none"/>
        <vertAlign val="baseline"/>
        <sz val="9"/>
        <color rgb="FF666666"/>
        <name val="Arial"/>
        <scheme val="none"/>
      </font>
      <fill>
        <patternFill patternType="solid">
          <fgColor indexed="64"/>
          <bgColor theme="7" tint="0.59999389629810485"/>
        </patternFill>
      </fill>
      <alignment horizontal="center" vertical="top" textRotation="0" wrapText="0" indent="0" justifyLastLine="0" shrinkToFit="0" readingOrder="0"/>
      <border diagonalUp="0" diagonalDown="0">
        <left style="medium">
          <color rgb="FFAACCCC"/>
        </left>
        <right style="medium">
          <color rgb="FFAACCCC"/>
        </right>
        <top style="medium">
          <color rgb="FFDDDDDD"/>
        </top>
        <bottom/>
        <vertical/>
        <horizontal/>
      </border>
    </dxf>
    <dxf>
      <font>
        <b val="0"/>
        <i val="0"/>
        <strike val="0"/>
        <condense val="0"/>
        <extend val="0"/>
        <outline val="0"/>
        <shadow val="0"/>
        <u val="none"/>
        <vertAlign val="baseline"/>
        <sz val="9"/>
        <color rgb="FF666666"/>
        <name val="Arial"/>
        <scheme val="none"/>
      </font>
      <fill>
        <patternFill patternType="solid">
          <fgColor indexed="64"/>
          <bgColor theme="7" tint="0.59999389629810485"/>
        </patternFill>
      </fill>
      <alignment horizontal="center" vertical="top" textRotation="0" wrapText="0" indent="0" justifyLastLine="0" shrinkToFit="0" readingOrder="0"/>
      <border diagonalUp="0" diagonalDown="0">
        <left style="medium">
          <color rgb="FFAACCCC"/>
        </left>
        <right style="medium">
          <color rgb="FFAACCCC"/>
        </right>
        <top style="medium">
          <color rgb="FFDDDDDD"/>
        </top>
        <bottom/>
        <vertical/>
        <horizontal/>
      </border>
    </dxf>
    <dxf>
      <font>
        <b val="0"/>
        <i val="0"/>
        <strike val="0"/>
        <condense val="0"/>
        <extend val="0"/>
        <outline val="0"/>
        <shadow val="0"/>
        <u val="none"/>
        <vertAlign val="baseline"/>
        <sz val="9"/>
        <color rgb="FF666666"/>
        <name val="Arial"/>
        <scheme val="none"/>
      </font>
      <fill>
        <patternFill patternType="solid">
          <fgColor indexed="64"/>
          <bgColor theme="7" tint="0.59999389629810485"/>
        </patternFill>
      </fill>
      <alignment horizontal="center" vertical="top" textRotation="0" wrapText="0" indent="0" justifyLastLine="0" shrinkToFit="0" readingOrder="0"/>
      <border diagonalUp="0" diagonalDown="0">
        <left style="medium">
          <color rgb="FFAACCCC"/>
        </left>
        <right style="medium">
          <color rgb="FFAACCCC"/>
        </right>
        <top style="medium">
          <color rgb="FFDDDDDD"/>
        </top>
        <bottom/>
        <vertical/>
        <horizontal/>
      </border>
    </dxf>
    <dxf>
      <font>
        <b val="0"/>
        <i val="0"/>
        <strike val="0"/>
        <condense val="0"/>
        <extend val="0"/>
        <outline val="0"/>
        <shadow val="0"/>
        <u val="none"/>
        <vertAlign val="baseline"/>
        <sz val="9"/>
        <color rgb="FF666666"/>
        <name val="Arial"/>
        <scheme val="none"/>
      </font>
      <fill>
        <patternFill patternType="solid">
          <fgColor indexed="64"/>
          <bgColor theme="7" tint="0.59999389629810485"/>
        </patternFill>
      </fill>
      <alignment horizontal="center" vertical="top" textRotation="0" wrapText="0" indent="0" justifyLastLine="0" shrinkToFit="0" readingOrder="0"/>
      <border diagonalUp="0" diagonalDown="0">
        <left style="medium">
          <color rgb="FFAACCCC"/>
        </left>
        <right style="medium">
          <color rgb="FFAACCCC"/>
        </right>
        <top style="medium">
          <color rgb="FFDDDDDD"/>
        </top>
        <bottom/>
        <vertical/>
        <horizontal/>
      </border>
    </dxf>
    <dxf>
      <font>
        <b val="0"/>
        <i val="0"/>
        <strike val="0"/>
        <condense val="0"/>
        <extend val="0"/>
        <outline val="0"/>
        <shadow val="0"/>
        <u val="none"/>
        <vertAlign val="baseline"/>
        <sz val="9"/>
        <color rgb="FF666666"/>
        <name val="Arial"/>
        <scheme val="none"/>
      </font>
      <fill>
        <patternFill patternType="solid">
          <fgColor indexed="64"/>
          <bgColor theme="7" tint="0.59999389629810485"/>
        </patternFill>
      </fill>
      <alignment horizontal="center" vertical="top" textRotation="0" wrapText="0" indent="0" justifyLastLine="0" shrinkToFit="0" readingOrder="0"/>
      <border diagonalUp="0" diagonalDown="0">
        <left style="medium">
          <color rgb="FFAACCCC"/>
        </left>
        <right style="medium">
          <color rgb="FFAACCCC"/>
        </right>
        <top style="medium">
          <color rgb="FFDDDDDD"/>
        </top>
        <bottom/>
        <vertical/>
        <horizontal/>
      </border>
    </dxf>
    <dxf>
      <font>
        <b val="0"/>
        <i val="0"/>
        <strike val="0"/>
        <condense val="0"/>
        <extend val="0"/>
        <outline val="0"/>
        <shadow val="0"/>
        <u val="none"/>
        <vertAlign val="baseline"/>
        <sz val="9"/>
        <color rgb="FF666666"/>
        <name val="Arial"/>
        <scheme val="none"/>
      </font>
      <fill>
        <patternFill patternType="solid">
          <fgColor indexed="64"/>
          <bgColor theme="7" tint="0.59999389629810485"/>
        </patternFill>
      </fill>
      <alignment horizontal="center" vertical="top" textRotation="0" wrapText="0" indent="0" justifyLastLine="0" shrinkToFit="0" readingOrder="0"/>
      <border diagonalUp="0" diagonalDown="0">
        <left style="medium">
          <color rgb="FFAACCCC"/>
        </left>
        <right style="medium">
          <color rgb="FFAACCCC"/>
        </right>
        <top style="medium">
          <color rgb="FFDDDDDD"/>
        </top>
        <bottom/>
        <vertical/>
        <horizontal/>
      </border>
    </dxf>
    <dxf>
      <font>
        <b val="0"/>
        <i val="0"/>
        <strike val="0"/>
        <condense val="0"/>
        <extend val="0"/>
        <outline val="0"/>
        <shadow val="0"/>
        <u val="none"/>
        <vertAlign val="baseline"/>
        <sz val="9"/>
        <color rgb="FF666666"/>
        <name val="Arial"/>
        <scheme val="none"/>
      </font>
      <fill>
        <patternFill patternType="solid">
          <fgColor indexed="64"/>
          <bgColor theme="7" tint="0.59999389629810485"/>
        </patternFill>
      </fill>
      <alignment horizontal="center" vertical="top" textRotation="0" wrapText="0" indent="0" justifyLastLine="0" shrinkToFit="0" readingOrder="0"/>
      <border diagonalUp="0" diagonalDown="0">
        <left style="medium">
          <color rgb="FFAACCCC"/>
        </left>
        <right style="medium">
          <color rgb="FFAACCCC"/>
        </right>
        <top style="medium">
          <color rgb="FFDDDDDD"/>
        </top>
        <bottom/>
        <vertical/>
        <horizontal/>
      </border>
    </dxf>
    <dxf>
      <font>
        <b val="0"/>
        <i val="0"/>
        <strike val="0"/>
        <condense val="0"/>
        <extend val="0"/>
        <outline val="0"/>
        <shadow val="0"/>
        <u val="none"/>
        <vertAlign val="baseline"/>
        <sz val="9"/>
        <color rgb="FF666666"/>
        <name val="Arial"/>
        <scheme val="none"/>
      </font>
      <fill>
        <patternFill patternType="solid">
          <fgColor indexed="64"/>
          <bgColor theme="7" tint="0.59999389629810485"/>
        </patternFill>
      </fill>
      <alignment horizontal="center" vertical="top" textRotation="0" wrapText="0" indent="0" justifyLastLine="0" shrinkToFit="0" readingOrder="0"/>
      <border diagonalUp="0" diagonalDown="0">
        <left style="medium">
          <color rgb="FFAACCCC"/>
        </left>
        <right style="medium">
          <color rgb="FFAACCCC"/>
        </right>
        <top style="medium">
          <color rgb="FFDDDDDD"/>
        </top>
        <bottom/>
        <vertical/>
        <horizontal/>
      </border>
    </dxf>
    <dxf>
      <font>
        <b val="0"/>
        <i val="0"/>
        <strike val="0"/>
        <condense val="0"/>
        <extend val="0"/>
        <outline val="0"/>
        <shadow val="0"/>
        <u val="none"/>
        <vertAlign val="baseline"/>
        <sz val="9"/>
        <color rgb="FF666666"/>
        <name val="Arial"/>
        <scheme val="none"/>
      </font>
      <fill>
        <patternFill patternType="solid">
          <fgColor indexed="64"/>
          <bgColor theme="7" tint="0.59999389629810485"/>
        </patternFill>
      </fill>
      <alignment horizontal="center" vertical="top" textRotation="0" wrapText="0" indent="0" justifyLastLine="0" shrinkToFit="0" readingOrder="0"/>
      <border diagonalUp="0" diagonalDown="0">
        <left style="medium">
          <color rgb="FFAACCCC"/>
        </left>
        <right style="medium">
          <color rgb="FFAACCCC"/>
        </right>
        <top style="medium">
          <color rgb="FFDDDDDD"/>
        </top>
        <bottom/>
        <vertical/>
        <horizontal/>
      </border>
    </dxf>
    <dxf>
      <font>
        <b val="0"/>
        <i val="0"/>
        <strike val="0"/>
        <condense val="0"/>
        <extend val="0"/>
        <outline val="0"/>
        <shadow val="0"/>
        <u val="none"/>
        <vertAlign val="baseline"/>
        <sz val="9"/>
        <color rgb="FF666666"/>
        <name val="Arial"/>
        <scheme val="none"/>
      </font>
      <fill>
        <patternFill patternType="solid">
          <fgColor indexed="64"/>
          <bgColor theme="7" tint="0.59999389629810485"/>
        </patternFill>
      </fill>
      <alignment horizontal="center" vertical="top" textRotation="0" wrapText="0" indent="0" justifyLastLine="0" shrinkToFit="0" readingOrder="0"/>
      <border diagonalUp="0" diagonalDown="0">
        <left style="medium">
          <color rgb="FFAACCCC"/>
        </left>
        <right style="medium">
          <color rgb="FFAACCCC"/>
        </right>
        <top style="medium">
          <color rgb="FFDDDDDD"/>
        </top>
        <bottom/>
        <vertical/>
        <horizontal/>
      </border>
    </dxf>
    <dxf>
      <font>
        <b val="0"/>
        <i val="0"/>
        <strike val="0"/>
        <condense val="0"/>
        <extend val="0"/>
        <outline val="0"/>
        <shadow val="0"/>
        <u val="none"/>
        <vertAlign val="baseline"/>
        <sz val="9"/>
        <color rgb="FF666666"/>
        <name val="Arial"/>
        <scheme val="none"/>
      </font>
      <fill>
        <patternFill patternType="solid">
          <fgColor indexed="64"/>
          <bgColor theme="7" tint="0.59999389629810485"/>
        </patternFill>
      </fill>
      <alignment horizontal="center" vertical="top" textRotation="0" wrapText="0" indent="0" justifyLastLine="0" shrinkToFit="0" readingOrder="0"/>
      <border diagonalUp="0" diagonalDown="0">
        <left/>
        <right style="medium">
          <color rgb="FFAACCCC"/>
        </right>
        <top/>
        <bottom/>
        <vertical/>
        <horizontal/>
      </border>
    </dxf>
    <dxf>
      <border outline="0">
        <left style="medium">
          <color rgb="FFAACCCC"/>
        </left>
        <right style="medium">
          <color rgb="FFAACCCC"/>
        </right>
        <bottom style="medium">
          <color rgb="FFAACCCC"/>
        </bottom>
      </border>
    </dxf>
    <dxf>
      <font>
        <b val="0"/>
        <i val="0"/>
        <strike val="0"/>
        <condense val="0"/>
        <extend val="0"/>
        <outline val="0"/>
        <shadow val="0"/>
        <u val="none"/>
        <vertAlign val="baseline"/>
        <sz val="9"/>
        <color rgb="FF666666"/>
        <name val="Arial"/>
        <scheme val="none"/>
      </font>
      <fill>
        <patternFill patternType="solid">
          <fgColor indexed="64"/>
          <bgColor theme="7" tint="0.59999389629810485"/>
        </patternFill>
      </fill>
      <alignment horizontal="center" vertical="top" textRotation="0" wrapText="0" indent="0" justifyLastLine="0" shrinkToFit="0" readingOrder="0"/>
    </dxf>
    <dxf>
      <border outline="0">
        <bottom style="medium">
          <color rgb="FFAACCCC"/>
        </bottom>
      </border>
    </dxf>
    <dxf>
      <font>
        <b val="0"/>
        <i val="0"/>
        <strike val="0"/>
        <condense val="0"/>
        <extend val="0"/>
        <outline val="0"/>
        <shadow val="0"/>
        <u val="none"/>
        <vertAlign val="baseline"/>
        <sz val="9"/>
        <color rgb="FF666666"/>
        <name val="Arial"/>
        <scheme val="none"/>
      </font>
      <fill>
        <patternFill patternType="solid">
          <fgColor indexed="64"/>
          <bgColor theme="7" tint="0.59999389629810485"/>
        </patternFill>
      </fill>
      <alignment horizontal="center" vertical="top" textRotation="0" wrapText="0" indent="0" justifyLastLine="0" shrinkToFit="0" readingOrder="0"/>
      <border diagonalUp="0" diagonalDown="0" outline="0">
        <left style="medium">
          <color rgb="FFAACCCC"/>
        </left>
        <right style="medium">
          <color rgb="FFAACCCC"/>
        </right>
        <top/>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left style="medium">
          <color rgb="FFCCCCCC"/>
        </left>
        <right style="medium">
          <color rgb="FFCCCCCC"/>
        </right>
        <top style="medium">
          <color rgb="FFCCCCCC"/>
        </top>
        <bottom style="medium">
          <color rgb="FFCCCCCC"/>
        </bottom>
      </border>
    </dxf>
    <dxf>
      <border outline="0">
        <bottom style="medium">
          <color rgb="FFCCCCCC"/>
        </bottom>
      </border>
    </dxf>
    <dxf>
      <font>
        <b/>
        <i val="0"/>
        <strike val="0"/>
        <condense val="0"/>
        <extend val="0"/>
        <outline val="0"/>
        <shadow val="0"/>
        <u val="none"/>
        <vertAlign val="baseline"/>
        <sz val="9.9"/>
        <color theme="1"/>
        <name val="Arial"/>
        <scheme val="none"/>
      </font>
      <alignment horizontal="center" vertical="top" textRotation="0" wrapText="1" indent="0" justifyLastLine="0" shrinkToFit="0" readingOrder="0"/>
      <border diagonalUp="0" diagonalDown="0" outline="0">
        <left style="medium">
          <color rgb="FFCCCCCC"/>
        </left>
        <right style="medium">
          <color rgb="FFCCCCCC"/>
        </right>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medium">
          <color rgb="FFCCCCCC"/>
        </left>
        <top style="medium">
          <color rgb="FFCCCCCC"/>
        </top>
      </border>
    </dxf>
    <dxf>
      <border outline="0">
        <bottom style="medium">
          <color rgb="FFCCCCCC"/>
        </bottom>
      </border>
    </dxf>
    <dxf>
      <alignment horizontal="center" vertical="center" textRotation="0" wrapText="1" indent="0" justifyLastLine="0" shrinkToFit="0" readingOrder="0"/>
    </dxf>
    <dxf>
      <fill>
        <patternFill patternType="none">
          <bgColor auto="1"/>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ill>
        <patternFill patternType="none">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dxf>
    <dxf>
      <border>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bottom/>
      </border>
    </dxf>
    <dxf>
      <fill>
        <patternFill patternType="solid">
          <fgColor indexed="64"/>
          <bgColor theme="5" tint="0.59999389629810485"/>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ill>
        <patternFill patternType="solid">
          <fgColor indexed="64"/>
          <bgColor theme="5"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tint="0.5999938962981048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solid">
          <fgColor indexed="64"/>
          <bgColor theme="5" tint="0.59999389629810485"/>
        </patternFill>
      </fill>
      <alignment horizontal="center" vertical="bottom" textRotation="0" wrapText="0" indent="0" justifyLastLine="0" shrinkToFit="0" readingOrder="0"/>
    </dxf>
    <dxf>
      <border outline="0">
        <bottom style="thin">
          <color indexed="64"/>
        </bottom>
      </border>
    </dxf>
    <dxf>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border>
    </dxf>
    <dxf>
      <numFmt numFmtId="0" formatCode="General"/>
      <fill>
        <patternFill patternType="solid">
          <fgColor indexed="64"/>
          <bgColor theme="5" tint="0.3999755851924192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5" tint="0.39997558519241921"/>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0" formatCode="General"/>
      <fill>
        <patternFill patternType="solid">
          <fgColor indexed="64"/>
          <bgColor theme="5" tint="0.3999755851924192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5" tint="0.3999755851924192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5" tint="0.3999755851924192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5" tint="0.3999755851924192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5" tint="0.39997558519241921"/>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solid">
          <fgColor indexed="64"/>
          <bgColor theme="5" tint="0.39997558519241921"/>
        </patternFill>
      </fill>
      <alignment horizontal="center" vertical="bottom" textRotation="0" wrapText="0" indent="0" justifyLastLine="0" shrinkToFit="0" readingOrder="0"/>
    </dxf>
    <dxf>
      <border outline="0">
        <bottom style="thin">
          <color indexed="64"/>
        </bottom>
      </border>
    </dxf>
    <dxf>
      <numFmt numFmtId="0" formatCode="General"/>
      <fill>
        <patternFill patternType="solid">
          <fgColor indexed="64"/>
          <bgColor theme="5" tint="0.3999755851924192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5" tint="0.39997558519241921"/>
        </patternFill>
      </fill>
      <border diagonalUp="0" diagonalDown="0">
        <left style="thin">
          <color indexed="64"/>
        </left>
        <right/>
        <top style="thin">
          <color indexed="64"/>
        </top>
        <bottom style="thin">
          <color indexed="64"/>
        </bottom>
        <vertical/>
        <horizontal/>
      </border>
    </dxf>
    <dxf>
      <fill>
        <patternFill patternType="solid">
          <fgColor indexed="64"/>
          <bgColor theme="5" tint="0.3999755851924192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tint="0.3999755851924192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tint="0.399975585192419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tint="0.399975585192419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tint="0.39997558519241921"/>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left style="thin">
          <color indexed="64"/>
        </left>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bottom style="thin">
          <color indexed="64"/>
        </bottom>
      </border>
    </dxf>
    <dxf>
      <fill>
        <patternFill patternType="none">
          <fgColor indexed="64"/>
          <bgColor indexed="65"/>
        </patternFill>
      </fill>
      <alignment horizontal="center" vertical="center" textRotation="0" wrapText="0" indent="0" justifyLastLine="0" shrinkToFit="0" readingOrder="0"/>
    </dxf>
    <dxf>
      <border outline="0">
        <bottom style="thin">
          <color indexed="64"/>
        </bottom>
      </border>
    </dxf>
    <dxf>
      <alignment horizontal="general" vertical="center" textRotation="0" wrapText="1" indent="0" justifyLastLine="0" shrinkToFit="0" readingOrder="0"/>
      <border diagonalUp="0" diagonalDown="0" outline="0">
        <left style="thin">
          <color indexed="64"/>
        </left>
        <right style="thin">
          <color indexed="64"/>
        </right>
        <top/>
        <bottom/>
      </border>
    </dxf>
    <dxf>
      <fill>
        <patternFill patternType="solid">
          <fgColor indexed="64"/>
          <bgColor theme="5" tint="0.59999389629810485"/>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ill>
        <patternFill patternType="solid">
          <fgColor indexed="64"/>
          <bgColor theme="5" tint="0.5999938962981048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tint="0.5999938962981048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theme="5" tint="0.59999389629810485"/>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ill>
        <patternFill patternType="solid">
          <fgColor indexed="64"/>
          <bgColor theme="5" tint="0.5999938962981048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ill>
        <patternFill patternType="solid">
          <fgColor indexed="64"/>
          <bgColor theme="5" tint="0.59999389629810485"/>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ill>
        <patternFill patternType="solid">
          <fgColor indexed="64"/>
          <bgColor theme="5" tint="0.5999938962981048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fill>
        <patternFill patternType="solid">
          <fgColor indexed="64"/>
          <bgColor theme="5" tint="0.5999938962981048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tint="0.5999938962981048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tint="0.59999389629810485"/>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ill>
        <patternFill patternType="solid">
          <fgColor indexed="64"/>
          <bgColor theme="5" tint="0.5999938962981048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tint="0.5999938962981048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theme="5" tint="0.59999389629810485"/>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ill>
        <patternFill patternType="solid">
          <fgColor indexed="64"/>
          <bgColor theme="5" tint="0.5999938962981048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tint="0.5999938962981048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tint="0.5999938962981048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tint="0.59999389629810485"/>
        </patternFill>
      </fill>
      <alignment horizontal="general"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solid">
          <fgColor indexed="64"/>
          <bgColor theme="5" tint="0.59999389629810485"/>
        </patternFill>
      </fill>
      <alignment horizontal="center" vertical="center" textRotation="0" wrapText="0" indent="0" justifyLastLine="0" shrinkToFit="0" readingOrder="0"/>
    </dxf>
    <dxf>
      <border outline="0">
        <bottom style="thin">
          <color indexed="64"/>
        </bottom>
      </border>
    </dxf>
    <dxf>
      <fill>
        <patternFill patternType="solid">
          <fgColor indexed="64"/>
          <bgColor theme="5" tint="0.59999389629810485"/>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5" tint="0.59999389629810485"/>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ill>
        <patternFill patternType="solid">
          <fgColor indexed="64"/>
          <bgColor theme="5" tint="0.5999938962981048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tint="0.59999389629810485"/>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strike val="0"/>
        <outline val="0"/>
        <shadow val="0"/>
        <u val="none"/>
        <vertAlign val="baseline"/>
        <sz val="14"/>
        <color theme="1"/>
        <name val="Calibri"/>
        <scheme val="minor"/>
      </font>
    </dxf>
    <dxf>
      <fill>
        <patternFill patternType="solid">
          <fgColor indexed="64"/>
          <bgColor theme="5" tint="0.59999389629810485"/>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ill>
        <patternFill patternType="solid">
          <fgColor indexed="64"/>
          <bgColor theme="5"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tint="0.59999389629810485"/>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solid">
          <fgColor indexed="64"/>
          <bgColor theme="5" tint="0.59999389629810485"/>
        </patternFill>
      </fill>
      <alignment horizontal="center" vertical="bottom" textRotation="0" wrapText="0" indent="0" justifyLastLine="0" shrinkToFit="0" readingOrder="0"/>
    </dxf>
    <dxf>
      <border outline="0">
        <bottom style="thin">
          <color indexed="64"/>
        </bottom>
      </border>
    </dxf>
    <dxf>
      <fill>
        <patternFill patternType="solid">
          <fgColor indexed="64"/>
          <bgColor theme="5" tint="0.5999938962981048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5"/>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ill>
        <patternFill patternType="solid">
          <fgColor indexed="64"/>
          <bgColor theme="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solid">
          <fgColor indexed="64"/>
          <bgColor theme="5"/>
        </patternFill>
      </fill>
      <alignment horizontal="center" vertical="bottom" textRotation="0" wrapText="0" indent="0" justifyLastLine="0" shrinkToFit="0" readingOrder="0"/>
    </dxf>
    <dxf>
      <border outline="0">
        <bottom style="thin">
          <color indexed="64"/>
        </bottom>
      </border>
    </dxf>
    <dxf>
      <fill>
        <patternFill patternType="solid">
          <fgColor indexed="64"/>
          <bgColor theme="5"/>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8"/>
        <color theme="1"/>
        <name val="Calibri"/>
        <scheme val="minor"/>
      </font>
      <fill>
        <patternFill patternType="solid">
          <fgColor indexed="64"/>
          <bgColor rgb="FF92D050"/>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92D050"/>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92D050"/>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92D050"/>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92D050"/>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92D050"/>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92D050"/>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92D050"/>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92D050"/>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92D050"/>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92D050"/>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92D050"/>
        </patternFill>
      </fill>
      <alignment horizontal="center" vertical="bottom" textRotation="0" wrapText="0" indent="0" justifyLastLine="0" shrinkToFit="0" readingOrder="0"/>
    </dxf>
    <dxf>
      <border outline="0">
        <bottom style="thick">
          <color theme="0"/>
        </bottom>
      </border>
    </dxf>
    <dxf>
      <font>
        <b val="0"/>
        <i val="0"/>
        <strike val="0"/>
        <condense val="0"/>
        <extend val="0"/>
        <outline val="0"/>
        <shadow val="0"/>
        <u val="none"/>
        <vertAlign val="baseline"/>
        <sz val="8"/>
        <color theme="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C000"/>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C000"/>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C000"/>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C000"/>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C000"/>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C000"/>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C000"/>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C000"/>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C000"/>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C000"/>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C000"/>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C000"/>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alignment horizontal="center" vertical="center"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border outline="0">
        <bottom style="thick">
          <color theme="0"/>
        </bottom>
      </border>
    </dxf>
    <dxf>
      <font>
        <b/>
        <i val="0"/>
        <strike val="0"/>
        <condense val="0"/>
        <extend val="0"/>
        <outline val="0"/>
        <shadow val="0"/>
        <u val="none"/>
        <vertAlign val="baseline"/>
        <sz val="8"/>
        <color theme="0"/>
        <name val="Calibri"/>
        <scheme val="minor"/>
      </font>
      <fill>
        <patternFill patternType="solid">
          <fgColor theme="6"/>
          <bgColor theme="6"/>
        </patternFill>
      </fill>
      <alignment horizontal="center" vertical="center" textRotation="0" wrapText="0" indent="0" justifyLastLine="0" shrinkToFit="0" readingOrder="0"/>
      <border diagonalUp="0" diagonalDown="0" outline="0">
        <left style="thin">
          <color theme="0"/>
        </left>
        <right style="thin">
          <color theme="0"/>
        </right>
        <top/>
        <bottom/>
      </border>
    </dxf>
    <dxf>
      <font>
        <b/>
        <i val="0"/>
        <strike val="0"/>
        <condense val="0"/>
        <extend val="0"/>
        <outline val="0"/>
        <shadow val="0"/>
        <u val="none"/>
        <vertAlign val="baseline"/>
        <sz val="8"/>
        <color theme="0"/>
        <name val="Calibri"/>
        <scheme val="minor"/>
      </font>
      <fill>
        <patternFill patternType="solid">
          <fgColor theme="6"/>
          <bgColor theme="6"/>
        </patternFill>
      </fill>
      <alignment horizontal="center" vertical="center" textRotation="0" wrapText="1" indent="0" justifyLastLine="0" shrinkToFit="0" readingOrder="0"/>
    </dxf>
    <dxf>
      <font>
        <b/>
        <i val="0"/>
        <strike val="0"/>
        <condense val="0"/>
        <extend val="0"/>
        <outline val="0"/>
        <shadow val="0"/>
        <u val="none"/>
        <vertAlign val="baseline"/>
        <sz val="8"/>
        <color theme="0"/>
        <name val="Calibri"/>
        <scheme val="minor"/>
      </font>
      <fill>
        <patternFill patternType="solid">
          <fgColor theme="6"/>
          <bgColor theme="6"/>
        </patternFill>
      </fill>
      <alignment horizontal="center" vertical="center" textRotation="0" wrapText="1" indent="0" justifyLastLine="0" shrinkToFit="0" readingOrder="0"/>
    </dxf>
    <dxf>
      <font>
        <b/>
        <i val="0"/>
        <strike val="0"/>
        <condense val="0"/>
        <extend val="0"/>
        <outline val="0"/>
        <shadow val="0"/>
        <u val="none"/>
        <vertAlign val="baseline"/>
        <sz val="8"/>
        <color theme="0"/>
        <name val="Calibri"/>
        <scheme val="minor"/>
      </font>
      <fill>
        <patternFill patternType="solid">
          <fgColor theme="6"/>
          <bgColor theme="6"/>
        </patternFill>
      </fill>
      <alignment horizontal="center" vertical="center" textRotation="0" wrapText="1" indent="0" justifyLastLine="0" shrinkToFit="0" readingOrder="0"/>
    </dxf>
    <dxf>
      <font>
        <b/>
        <i val="0"/>
        <strike val="0"/>
        <condense val="0"/>
        <extend val="0"/>
        <outline val="0"/>
        <shadow val="0"/>
        <u val="none"/>
        <vertAlign val="baseline"/>
        <sz val="8"/>
        <color theme="0"/>
        <name val="Calibri"/>
        <scheme val="minor"/>
      </font>
      <fill>
        <patternFill patternType="solid">
          <fgColor theme="6"/>
          <bgColor theme="6"/>
        </patternFill>
      </fill>
      <alignment horizontal="center" vertical="center" textRotation="0" wrapText="1" indent="0" justifyLastLine="0" shrinkToFit="0" readingOrder="0"/>
    </dxf>
    <dxf>
      <alignment horizontal="center" vertical="center" textRotation="0" indent="0" justifyLastLine="0" shrinkToFit="0" readingOrder="0"/>
    </dxf>
    <dxf>
      <font>
        <b/>
        <i val="0"/>
        <strike val="0"/>
        <condense val="0"/>
        <extend val="0"/>
        <outline val="0"/>
        <shadow val="0"/>
        <u val="none"/>
        <vertAlign val="baseline"/>
        <sz val="8"/>
        <color theme="0"/>
        <name val="Calibri"/>
        <scheme val="minor"/>
      </font>
      <fill>
        <patternFill patternType="solid">
          <fgColor theme="6"/>
          <bgColor theme="6"/>
        </patternFill>
      </fill>
      <alignment horizontal="center" vertical="center" textRotation="0" wrapText="1" indent="0" justifyLastLine="0" shrinkToFit="0" readingOrder="0"/>
    </dxf>
    <dxf>
      <font>
        <b/>
        <i val="0"/>
        <strike val="0"/>
        <condense val="0"/>
        <extend val="0"/>
        <outline val="0"/>
        <shadow val="0"/>
        <u val="none"/>
        <vertAlign val="baseline"/>
        <sz val="8"/>
        <color theme="0"/>
        <name val="Calibri"/>
        <scheme val="minor"/>
      </font>
      <fill>
        <patternFill patternType="solid">
          <fgColor theme="6"/>
          <bgColor theme="6"/>
        </patternFill>
      </fill>
      <alignment horizontal="center" vertical="center" textRotation="0" wrapText="1" indent="0" justifyLastLine="0" shrinkToFit="0" readingOrder="0"/>
    </dxf>
    <dxf>
      <font>
        <b/>
        <i val="0"/>
        <strike val="0"/>
        <condense val="0"/>
        <extend val="0"/>
        <outline val="0"/>
        <shadow val="0"/>
        <u val="none"/>
        <vertAlign val="baseline"/>
        <sz val="8"/>
        <color theme="0"/>
        <name val="Calibri"/>
        <scheme val="minor"/>
      </font>
      <fill>
        <patternFill patternType="solid">
          <fgColor theme="6"/>
          <bgColor theme="6"/>
        </patternFill>
      </fill>
      <alignment horizontal="center" vertical="center" textRotation="0" wrapText="1" indent="0" justifyLastLine="0" shrinkToFit="0" readingOrder="0"/>
    </dxf>
    <dxf>
      <alignment horizontal="center" vertical="center" textRotation="0" indent="0" justifyLastLine="0" shrinkToFit="0" readingOrder="0"/>
    </dxf>
    <dxf>
      <font>
        <b/>
        <i val="0"/>
        <strike val="0"/>
        <condense val="0"/>
        <extend val="0"/>
        <outline val="0"/>
        <shadow val="0"/>
        <u val="none"/>
        <vertAlign val="baseline"/>
        <sz val="8"/>
        <color theme="0"/>
        <name val="Calibri"/>
        <scheme val="minor"/>
      </font>
      <fill>
        <patternFill patternType="solid">
          <fgColor theme="6"/>
          <bgColor theme="6"/>
        </patternFill>
      </fill>
      <alignment horizontal="center" vertical="center" textRotation="0" wrapText="1" indent="0" justifyLastLine="0" shrinkToFit="0" readingOrder="0"/>
    </dxf>
    <dxf>
      <alignment horizontal="center" vertical="center" textRotation="0" indent="0" justifyLastLine="0" shrinkToFit="0" readingOrder="0"/>
    </dxf>
    <dxf>
      <font>
        <b/>
        <i val="0"/>
        <strike val="0"/>
        <condense val="0"/>
        <extend val="0"/>
        <outline val="0"/>
        <shadow val="0"/>
        <u val="none"/>
        <vertAlign val="baseline"/>
        <sz val="8"/>
        <color theme="0"/>
        <name val="Calibri"/>
        <scheme val="minor"/>
      </font>
      <fill>
        <patternFill patternType="solid">
          <fgColor theme="6"/>
          <bgColor theme="6"/>
        </patternFill>
      </fill>
      <alignment horizontal="center" vertical="center" textRotation="0" wrapText="1" indent="0" justifyLastLine="0" shrinkToFit="0" readingOrder="0"/>
    </dxf>
    <dxf>
      <font>
        <b/>
        <i val="0"/>
        <strike val="0"/>
        <condense val="0"/>
        <extend val="0"/>
        <outline val="0"/>
        <shadow val="0"/>
        <u val="none"/>
        <vertAlign val="baseline"/>
        <sz val="8"/>
        <color theme="0"/>
        <name val="Calibri"/>
        <scheme val="minor"/>
      </font>
      <fill>
        <patternFill patternType="solid">
          <fgColor theme="6"/>
          <bgColor theme="6"/>
        </patternFill>
      </fill>
      <alignment horizontal="center" vertical="center" textRotation="0" wrapText="1" indent="0" justifyLastLine="0" shrinkToFit="0" readingOrder="0"/>
      <border diagonalUp="0" diagonalDown="0" outline="0">
        <left style="thin">
          <color theme="0"/>
        </left>
        <right style="thin">
          <color theme="0"/>
        </right>
        <top/>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theme="1"/>
        </left>
        <right style="thin">
          <color theme="1"/>
        </right>
        <top/>
        <bottom/>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8"/>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alignment horizontal="center" vertical="bottom" textRotation="0" wrapText="0" indent="0" justifyLastLine="0" shrinkToFit="0" readingOrder="0"/>
    </dxf>
    <dxf>
      <border outline="0">
        <bottom style="thick">
          <color theme="0"/>
        </bottom>
      </border>
    </dxf>
    <dxf>
      <font>
        <b val="0"/>
        <i val="0"/>
        <strike val="0"/>
        <condense val="0"/>
        <extend val="0"/>
        <outline val="0"/>
        <shadow val="0"/>
        <u val="none"/>
        <vertAlign val="baseline"/>
        <sz val="8"/>
        <color theme="1"/>
        <name val="Calibri"/>
        <scheme val="minor"/>
      </font>
      <alignment horizontal="center"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8"/>
        <color theme="1"/>
        <name val="Calibri"/>
        <scheme val="minor"/>
      </font>
      <numFmt numFmtId="2" formatCode="0.00"/>
      <fill>
        <patternFill patternType="solid">
          <fgColor indexed="64"/>
          <bgColor rgb="FF92D050"/>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Calibri"/>
        <scheme val="minor"/>
      </font>
      <numFmt numFmtId="2" formatCode="0.00"/>
      <fill>
        <patternFill patternType="solid">
          <fgColor indexed="64"/>
          <bgColor rgb="FF92D050"/>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Calibri"/>
        <scheme val="minor"/>
      </font>
      <numFmt numFmtId="2" formatCode="0.00"/>
      <fill>
        <patternFill patternType="solid">
          <fgColor indexed="64"/>
          <bgColor rgb="FF92D050"/>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Calibri"/>
        <scheme val="minor"/>
      </font>
      <numFmt numFmtId="2" formatCode="0.00"/>
      <fill>
        <patternFill patternType="solid">
          <fgColor indexed="64"/>
          <bgColor rgb="FF92D050"/>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Calibri"/>
        <scheme val="minor"/>
      </font>
      <numFmt numFmtId="2" formatCode="0.00"/>
      <fill>
        <patternFill patternType="solid">
          <fgColor indexed="64"/>
          <bgColor rgb="FF92D050"/>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Calibri"/>
        <scheme val="minor"/>
      </font>
      <numFmt numFmtId="2" formatCode="0.00"/>
      <fill>
        <patternFill patternType="solid">
          <fgColor indexed="64"/>
          <bgColor rgb="FF92D050"/>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Calibri"/>
        <scheme val="minor"/>
      </font>
      <numFmt numFmtId="2" formatCode="0.00"/>
      <fill>
        <patternFill patternType="solid">
          <fgColor indexed="64"/>
          <bgColor rgb="FF92D050"/>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Calibri"/>
        <scheme val="minor"/>
      </font>
      <numFmt numFmtId="2" formatCode="0.00"/>
      <fill>
        <patternFill patternType="solid">
          <fgColor indexed="64"/>
          <bgColor rgb="FF92D050"/>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92D050"/>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92D050"/>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92D050"/>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92D050"/>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Calibri"/>
        <scheme val="minor"/>
      </font>
      <numFmt numFmtId="2" formatCode="0.00"/>
      <fill>
        <patternFill patternType="solid">
          <fgColor indexed="64"/>
          <bgColor rgb="FF92D050"/>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Calibri"/>
        <scheme val="minor"/>
      </font>
      <numFmt numFmtId="2" formatCode="0.00"/>
      <fill>
        <patternFill patternType="solid">
          <fgColor indexed="64"/>
          <bgColor rgb="FF92D050"/>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92D050"/>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8"/>
        <color theme="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00B0F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00B0F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92D05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numFmt numFmtId="0" formatCode="General"/>
      <fill>
        <patternFill patternType="solid">
          <fgColor indexed="64"/>
          <bgColor rgb="FFFFC00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alignment horizontal="center" vertical="center"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8"/>
        <color theme="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alignment horizontal="center" vertical="bottom"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C000"/>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C000"/>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C000"/>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C000"/>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C000"/>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C000"/>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C000"/>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C000"/>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C000"/>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C000"/>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C000"/>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C000"/>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C000"/>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C000"/>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C000"/>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8"/>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alignment horizontal="center" vertical="center" textRotation="0" indent="0" justifyLastLine="0" shrinkToFit="0" readingOrder="0"/>
    </dxf>
    <dxf>
      <font>
        <b val="0"/>
        <i val="0"/>
        <strike val="0"/>
        <condense val="0"/>
        <extend val="0"/>
        <outline val="0"/>
        <shadow val="0"/>
        <u val="none"/>
        <vertAlign val="baseline"/>
        <sz val="8"/>
        <color theme="1"/>
        <name val="Calibri"/>
        <scheme val="minor"/>
      </font>
      <numFmt numFmtId="0" formatCode="General"/>
      <alignment horizontal="center" vertical="center" textRotation="0" indent="0" justifyLastLine="0" shrinkToFit="0" readingOrder="0"/>
    </dxf>
    <dxf>
      <font>
        <b val="0"/>
        <i val="0"/>
        <strike val="0"/>
        <condense val="0"/>
        <extend val="0"/>
        <outline val="0"/>
        <shadow val="0"/>
        <u val="none"/>
        <vertAlign val="baseline"/>
        <sz val="8"/>
        <color theme="1"/>
        <name val="Calibri"/>
        <scheme val="minor"/>
      </font>
      <numFmt numFmtId="0" formatCode="General"/>
      <alignment horizontal="center" vertical="center" textRotation="0" indent="0" justifyLastLine="0" shrinkToFit="0" readingOrder="0"/>
    </dxf>
    <dxf>
      <font>
        <b val="0"/>
        <i val="0"/>
        <strike val="0"/>
        <condense val="0"/>
        <extend val="0"/>
        <outline val="0"/>
        <shadow val="0"/>
        <u val="none"/>
        <vertAlign val="baseline"/>
        <sz val="8"/>
        <color theme="1"/>
        <name val="Calibri"/>
        <scheme val="minor"/>
      </font>
      <alignment horizontal="center" vertical="center" textRotation="0" indent="0" justifyLastLine="0" shrinkToFit="0" readingOrder="0"/>
    </dxf>
    <dxf>
      <font>
        <b val="0"/>
        <i val="0"/>
        <strike val="0"/>
        <condense val="0"/>
        <extend val="0"/>
        <outline val="0"/>
        <shadow val="0"/>
        <u val="none"/>
        <vertAlign val="baseline"/>
        <sz val="8"/>
        <color theme="1"/>
        <name val="Calibri"/>
        <scheme val="minor"/>
      </font>
      <alignment horizontal="center" vertical="center" textRotation="0" indent="0" justifyLastLine="0" shrinkToFit="0" readingOrder="0"/>
    </dxf>
    <dxf>
      <font>
        <b val="0"/>
        <i val="0"/>
        <strike val="0"/>
        <condense val="0"/>
        <extend val="0"/>
        <outline val="0"/>
        <shadow val="0"/>
        <u val="none"/>
        <vertAlign val="baseline"/>
        <sz val="8"/>
        <color theme="1"/>
        <name val="Calibri"/>
        <scheme val="minor"/>
      </font>
      <alignment horizontal="center" vertical="center" textRotation="0" indent="0" justifyLastLine="0" shrinkToFit="0" readingOrder="0"/>
    </dxf>
    <dxf>
      <font>
        <b val="0"/>
        <i val="0"/>
        <strike val="0"/>
        <condense val="0"/>
        <extend val="0"/>
        <outline val="0"/>
        <shadow val="0"/>
        <u val="none"/>
        <vertAlign val="baseline"/>
        <sz val="8"/>
        <color theme="1"/>
        <name val="Calibri"/>
        <scheme val="minor"/>
      </font>
      <alignment horizontal="center" vertical="center" textRotation="0" indent="0" justifyLastLine="0" shrinkToFit="0" readingOrder="0"/>
    </dxf>
    <dxf>
      <font>
        <b val="0"/>
        <i val="0"/>
        <strike val="0"/>
        <condense val="0"/>
        <extend val="0"/>
        <outline val="0"/>
        <shadow val="0"/>
        <u val="none"/>
        <vertAlign val="baseline"/>
        <sz val="8"/>
        <color theme="1"/>
        <name val="Calibri"/>
        <scheme val="minor"/>
      </font>
      <alignment horizontal="center" vertical="center" textRotation="0" indent="0" justifyLastLine="0" shrinkToFit="0" readingOrder="0"/>
    </dxf>
    <dxf>
      <font>
        <b val="0"/>
        <i val="0"/>
        <strike val="0"/>
        <condense val="0"/>
        <extend val="0"/>
        <outline val="0"/>
        <shadow val="0"/>
        <u val="none"/>
        <vertAlign val="baseline"/>
        <sz val="8"/>
        <color theme="1"/>
        <name val="Calibri"/>
        <scheme val="minor"/>
      </font>
      <alignment horizontal="center" vertical="center" textRotation="0" indent="0" justifyLastLine="0" shrinkToFit="0" readingOrder="0"/>
    </dxf>
    <dxf>
      <font>
        <b val="0"/>
        <i val="0"/>
        <strike val="0"/>
        <condense val="0"/>
        <extend val="0"/>
        <outline val="0"/>
        <shadow val="0"/>
        <u val="none"/>
        <vertAlign val="baseline"/>
        <sz val="8"/>
        <color theme="1"/>
        <name val="Calibri"/>
        <scheme val="minor"/>
      </font>
      <alignment horizontal="center" vertical="center" textRotation="0" indent="0" justifyLastLine="0" shrinkToFit="0" readingOrder="0"/>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8"/>
        <color theme="1"/>
        <name val="Calibri"/>
        <scheme val="minor"/>
      </font>
      <alignment horizontal="center" vertical="center" textRotation="0" indent="0" justifyLastLine="0" shrinkToFit="0" readingOrder="0"/>
    </dxf>
    <dxf>
      <font>
        <b val="0"/>
        <i val="0"/>
        <strike val="0"/>
        <condense val="0"/>
        <extend val="0"/>
        <outline val="0"/>
        <shadow val="0"/>
        <u val="none"/>
        <vertAlign val="baseline"/>
        <sz val="8"/>
        <color theme="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theme="0" tint="-0.14999847407452621"/>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00B0F0"/>
        </patternFill>
      </fill>
      <alignment horizontal="center" vertical="center" textRotation="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00B0F0"/>
        </patternFill>
      </fill>
      <alignment horizontal="center" vertical="center" textRotation="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00B0F0"/>
        </patternFill>
      </fill>
      <alignment horizontal="center" vertical="center" textRotation="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00B0F0"/>
        </patternFill>
      </fill>
      <alignment horizontal="center" vertical="center" textRotation="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00B0F0"/>
        </patternFill>
      </fill>
      <alignment horizontal="center" vertical="center" textRotation="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00B0F0"/>
        </patternFill>
      </fill>
      <alignment horizontal="center" vertical="center" textRotation="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00B0F0"/>
        </patternFill>
      </fill>
      <alignment horizontal="center" vertical="center" textRotation="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00B0F0"/>
        </patternFill>
      </fill>
      <alignment horizontal="center" vertical="center" textRotation="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00B0F0"/>
        </patternFill>
      </fill>
      <alignment horizontal="center" vertical="center" textRotation="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00B0F0"/>
        </patternFill>
      </fill>
      <alignment horizontal="center" vertical="center" textRotation="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00B0F0"/>
        </patternFill>
      </fill>
      <alignment horizontal="center" vertical="center" textRotation="0" indent="0" justifyLastLine="0" shrinkToFit="0" readingOrder="0"/>
    </dxf>
    <dxf>
      <font>
        <b val="0"/>
        <i val="0"/>
        <strike val="0"/>
        <condense val="0"/>
        <extend val="0"/>
        <outline val="0"/>
        <shadow val="0"/>
        <u val="none"/>
        <vertAlign val="baseline"/>
        <sz val="8"/>
        <color theme="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00B0F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00B0F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00B0F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00B0F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00B0F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00B0F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00B0F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00B0F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00B0F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00B0F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00B0F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00B0F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00B0F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00B0F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FF00"/>
        </patternFill>
      </fill>
      <alignment horizontal="center" vertical="center" textRotation="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FF00"/>
        </patternFill>
      </fill>
      <alignment horizontal="center" vertical="center" textRotation="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FF00"/>
        </patternFill>
      </fill>
      <alignment horizontal="center" vertical="center" textRotation="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FF00"/>
        </patternFill>
      </fill>
      <alignment horizontal="center" vertical="center" textRotation="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FF00"/>
        </patternFill>
      </fill>
      <alignment horizontal="center" vertical="center" textRotation="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FF00"/>
        </patternFill>
      </fill>
      <alignment horizontal="center" vertical="center" textRotation="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FF00"/>
        </patternFill>
      </fill>
      <alignment horizontal="center" vertical="center" textRotation="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FF00"/>
        </patternFill>
      </fill>
      <alignment horizontal="center" vertical="center" textRotation="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FF00"/>
        </patternFill>
      </fill>
      <alignment horizontal="center" vertical="center" textRotation="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FF00"/>
        </patternFill>
      </fill>
      <alignment horizontal="center" vertical="center" textRotation="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FF00"/>
        </patternFill>
      </fill>
      <alignment horizontal="center" vertical="center" textRotation="0" indent="0" justifyLastLine="0" shrinkToFit="0" readingOrder="0"/>
    </dxf>
    <dxf>
      <font>
        <b val="0"/>
        <i val="0"/>
        <strike val="0"/>
        <condense val="0"/>
        <extend val="0"/>
        <outline val="0"/>
        <shadow val="0"/>
        <u val="none"/>
        <vertAlign val="baseline"/>
        <sz val="8"/>
        <color theme="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C000"/>
        </patternFill>
      </fill>
      <alignment horizontal="center" vertical="center" textRotation="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C000"/>
        </patternFill>
      </fill>
      <alignment horizontal="center" vertical="center" textRotation="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C000"/>
        </patternFill>
      </fill>
      <alignment horizontal="center" vertical="center" textRotation="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C000"/>
        </patternFill>
      </fill>
      <alignment horizontal="center" vertical="center" textRotation="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C000"/>
        </patternFill>
      </fill>
      <alignment horizontal="center" vertical="center" textRotation="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C000"/>
        </patternFill>
      </fill>
      <alignment horizontal="center" vertical="center" textRotation="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C000"/>
        </patternFill>
      </fill>
      <alignment horizontal="center" vertical="center" textRotation="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C000"/>
        </patternFill>
      </fill>
      <alignment horizontal="center" vertical="center" textRotation="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C000"/>
        </patternFill>
      </fill>
      <alignment horizontal="center" vertical="center" textRotation="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C000"/>
        </patternFill>
      </fill>
      <alignment horizontal="center" vertical="center" textRotation="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C000"/>
        </patternFill>
      </fill>
      <alignment horizontal="center" vertical="center" textRotation="0" indent="0" justifyLastLine="0" shrinkToFit="0" readingOrder="0"/>
    </dxf>
    <dxf>
      <font>
        <b val="0"/>
        <i val="0"/>
        <strike val="0"/>
        <condense val="0"/>
        <extend val="0"/>
        <outline val="0"/>
        <shadow val="0"/>
        <u val="none"/>
        <vertAlign val="baseline"/>
        <sz val="8"/>
        <color theme="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C00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C00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C00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C00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C00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C00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C00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C00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C00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C00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C00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C00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C00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FFC00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92D050"/>
        </patternFill>
      </fill>
      <alignment horizontal="center" vertical="center" textRotation="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92D050"/>
        </patternFill>
      </fill>
      <alignment horizontal="center" vertical="center" textRotation="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92D050"/>
        </patternFill>
      </fill>
      <alignment horizontal="center" vertical="center" textRotation="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92D050"/>
        </patternFill>
      </fill>
      <alignment horizontal="center" vertical="center" textRotation="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92D050"/>
        </patternFill>
      </fill>
      <alignment horizontal="center" vertical="center" textRotation="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92D050"/>
        </patternFill>
      </fill>
      <alignment horizontal="center" vertical="center" textRotation="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92D050"/>
        </patternFill>
      </fill>
      <alignment horizontal="center" vertical="center" textRotation="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92D050"/>
        </patternFill>
      </fill>
      <alignment horizontal="center" vertical="center" textRotation="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92D050"/>
        </patternFill>
      </fill>
      <alignment horizontal="center" vertical="center" textRotation="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92D050"/>
        </patternFill>
      </fill>
      <alignment horizontal="center" vertical="center" textRotation="0"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92D050"/>
        </patternFill>
      </fill>
      <alignment horizontal="center" vertical="center" textRotation="0" indent="0" justifyLastLine="0" shrinkToFit="0" readingOrder="0"/>
    </dxf>
    <dxf>
      <font>
        <b val="0"/>
        <i val="0"/>
        <strike val="0"/>
        <condense val="0"/>
        <extend val="0"/>
        <outline val="0"/>
        <shadow val="0"/>
        <u val="none"/>
        <vertAlign val="baseline"/>
        <sz val="8"/>
        <color theme="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92D05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92D05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92D05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92D05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92D05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92D05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92D05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92D05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92D05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92D05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92D05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92D05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92D05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indexed="64"/>
          <bgColor rgb="FF92D050"/>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numFmt numFmtId="0" formatCode="General"/>
    </dxf>
    <dxf>
      <font>
        <b val="0"/>
        <i val="0"/>
        <strike val="0"/>
        <condense val="0"/>
        <extend val="0"/>
        <outline val="0"/>
        <shadow val="0"/>
        <u val="none"/>
        <vertAlign val="baseline"/>
        <sz val="8"/>
        <color theme="1"/>
        <name val="Calibri"/>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8"/>
        <color theme="1"/>
        <name val="Calibri"/>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alignment horizontal="center" vertical="bottom" textRotation="0" wrapText="1" indent="0" justifyLastLine="0" shrinkToFit="0" readingOrder="0"/>
    </dxf>
    <dxf>
      <font>
        <b val="0"/>
        <i val="0"/>
        <strike val="0"/>
        <condense val="0"/>
        <extend val="0"/>
        <outline val="0"/>
        <shadow val="0"/>
        <u val="none"/>
        <vertAlign val="baseline"/>
        <sz val="8"/>
        <color rgb="FF000000"/>
        <name val="Arial"/>
        <scheme val="none"/>
      </font>
      <alignment horizontal="center" vertical="center" textRotation="0" wrapText="1" indent="0" justifyLastLine="0" shrinkToFit="0" readingOrder="0"/>
    </dxf>
    <dxf>
      <font>
        <b val="0"/>
        <i val="0"/>
        <strike val="0"/>
        <condense val="0"/>
        <extend val="0"/>
        <outline val="0"/>
        <shadow val="0"/>
        <u val="none"/>
        <vertAlign val="baseline"/>
        <sz val="8"/>
        <color rgb="FF000000"/>
        <name val="Arial"/>
        <scheme val="none"/>
      </font>
      <alignment horizontal="center" vertical="center" textRotation="0" wrapText="1" indent="0" justifyLastLine="0" shrinkToFit="0" readingOrder="0"/>
    </dxf>
    <dxf>
      <font>
        <b val="0"/>
        <i val="0"/>
        <strike val="0"/>
        <condense val="0"/>
        <extend val="0"/>
        <outline val="0"/>
        <shadow val="0"/>
        <u val="none"/>
        <vertAlign val="baseline"/>
        <sz val="8"/>
        <color rgb="FF000000"/>
        <name val="Arial"/>
        <scheme val="none"/>
      </font>
      <alignment horizontal="center" vertical="center" textRotation="0" wrapText="1" indent="0" justifyLastLine="0" shrinkToFit="0" readingOrder="0"/>
    </dxf>
    <dxf>
      <font>
        <b val="0"/>
        <i val="0"/>
        <strike val="0"/>
        <condense val="0"/>
        <extend val="0"/>
        <outline val="0"/>
        <shadow val="0"/>
        <u val="none"/>
        <vertAlign val="baseline"/>
        <sz val="8"/>
        <color rgb="FF000000"/>
        <name val="Arial"/>
        <scheme val="none"/>
      </font>
      <alignment horizontal="center" vertical="center" textRotation="0" wrapText="1" indent="0" justifyLastLine="0" shrinkToFit="0" readingOrder="0"/>
    </dxf>
    <dxf>
      <font>
        <b val="0"/>
        <i val="0"/>
        <strike val="0"/>
        <condense val="0"/>
        <extend val="0"/>
        <outline val="0"/>
        <shadow val="0"/>
        <u val="none"/>
        <vertAlign val="baseline"/>
        <sz val="8"/>
        <color rgb="FF000000"/>
        <name val="Arial"/>
        <scheme val="none"/>
      </font>
      <alignment horizontal="center" vertical="center" textRotation="0" wrapText="1" indent="0" justifyLastLine="0" shrinkToFit="0" readingOrder="0"/>
    </dxf>
    <dxf>
      <font>
        <b val="0"/>
        <i val="0"/>
        <strike val="0"/>
        <condense val="0"/>
        <extend val="0"/>
        <outline val="0"/>
        <shadow val="0"/>
        <u val="none"/>
        <vertAlign val="baseline"/>
        <sz val="8"/>
        <color rgb="FF000000"/>
        <name val="Arial"/>
        <scheme val="none"/>
      </font>
      <alignment horizontal="center" vertical="center" textRotation="0" wrapText="1" indent="0" justifyLastLine="0" shrinkToFit="0" readingOrder="0"/>
    </dxf>
    <dxf>
      <font>
        <b val="0"/>
        <i val="0"/>
        <strike val="0"/>
        <condense val="0"/>
        <extend val="0"/>
        <outline val="0"/>
        <shadow val="0"/>
        <u val="none"/>
        <vertAlign val="baseline"/>
        <sz val="8"/>
        <color rgb="FF000000"/>
        <name val="Arial"/>
        <scheme val="none"/>
      </font>
      <alignment horizontal="center" vertical="center" textRotation="0" wrapText="1" indent="0" justifyLastLine="0" shrinkToFit="0" readingOrder="0"/>
    </dxf>
    <dxf>
      <font>
        <b val="0"/>
        <i val="0"/>
        <strike val="0"/>
        <condense val="0"/>
        <extend val="0"/>
        <outline val="0"/>
        <shadow val="0"/>
        <u val="none"/>
        <vertAlign val="baseline"/>
        <sz val="8"/>
        <color rgb="FF000000"/>
        <name val="Arial"/>
        <scheme val="none"/>
      </font>
      <alignment horizontal="center" vertical="center" textRotation="0" wrapText="1" indent="0" justifyLastLine="0" shrinkToFit="0" readingOrder="0"/>
    </dxf>
    <dxf>
      <font>
        <b val="0"/>
        <i val="0"/>
        <strike val="0"/>
        <condense val="0"/>
        <extend val="0"/>
        <outline val="0"/>
        <shadow val="0"/>
        <u val="none"/>
        <vertAlign val="baseline"/>
        <sz val="8"/>
        <color rgb="FF000000"/>
        <name val="Arial"/>
        <scheme val="none"/>
      </font>
      <alignment horizontal="center" vertical="center" textRotation="0" wrapText="1" indent="0" justifyLastLine="0" shrinkToFit="0" readingOrder="0"/>
    </dxf>
    <dxf>
      <font>
        <b val="0"/>
        <i val="0"/>
        <strike val="0"/>
        <condense val="0"/>
        <extend val="0"/>
        <outline val="0"/>
        <shadow val="0"/>
        <u val="none"/>
        <vertAlign val="baseline"/>
        <sz val="8"/>
        <color rgb="FF000000"/>
        <name val="Arial"/>
        <scheme val="none"/>
      </font>
      <numFmt numFmtId="4" formatCode="#,##0.00"/>
      <alignment horizontal="left" vertical="center" textRotation="0" wrapText="1" indent="0" justifyLastLine="0" shrinkToFit="0" readingOrder="0"/>
    </dxf>
    <dxf>
      <font>
        <b val="0"/>
        <i val="0"/>
        <strike val="0"/>
        <condense val="0"/>
        <extend val="0"/>
        <outline val="0"/>
        <shadow val="0"/>
        <u val="none"/>
        <vertAlign val="baseline"/>
        <sz val="8"/>
        <color rgb="FF000000"/>
        <name val="Arial"/>
        <scheme val="none"/>
      </font>
      <alignment horizontal="center" vertical="center" textRotation="0" wrapText="1" indent="0" justifyLastLine="0" shrinkToFit="0" readingOrder="0"/>
    </dxf>
    <dxf>
      <font>
        <b val="0"/>
        <i val="0"/>
        <strike val="0"/>
        <condense val="0"/>
        <extend val="0"/>
        <outline val="0"/>
        <shadow val="0"/>
        <u val="none"/>
        <vertAlign val="baseline"/>
        <sz val="8"/>
        <color rgb="FF000000"/>
        <name val="Arial"/>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8"/>
        <color rgb="FF000000"/>
        <name val="Arial"/>
        <scheme val="none"/>
      </font>
      <alignment horizontal="center" vertical="center" textRotation="0" wrapText="1" indent="0" justifyLastLine="0" shrinkToFit="0" readingOrder="0"/>
    </dxf>
    <dxf>
      <font>
        <b val="0"/>
        <i val="0"/>
        <strike val="0"/>
        <condense val="0"/>
        <extend val="0"/>
        <outline val="0"/>
        <shadow val="0"/>
        <u val="none"/>
        <vertAlign val="baseline"/>
        <sz val="8"/>
        <color rgb="FF000000"/>
        <name val="Arial"/>
        <scheme val="none"/>
      </font>
      <alignment horizontal="center" vertical="center" textRotation="0" wrapText="1" indent="0" justifyLastLine="0" shrinkToFit="0" readingOrder="0"/>
    </dxf>
    <dxf>
      <alignment horizontal="center" vertical="center" textRotation="0" wrapText="1" indent="0" justifyLastLine="0" shrinkToFit="0" readingOrder="0"/>
      <border diagonalUp="0" diagonalDown="0">
        <left style="medium">
          <color rgb="FF000000"/>
        </left>
        <right style="medium">
          <color rgb="FF000000"/>
        </right>
        <top/>
        <bottom/>
      </border>
    </dxf>
    <dxf>
      <font>
        <b val="0"/>
        <i/>
        <strike val="0"/>
        <condense val="0"/>
        <extend val="0"/>
        <outline val="0"/>
        <shadow val="0"/>
        <u val="none"/>
        <vertAlign val="baseline"/>
        <sz val="8"/>
        <color theme="1"/>
        <name val="Calibri"/>
        <scheme val="minor"/>
      </font>
      <border diagonalUp="0" diagonalDown="0">
        <left style="thin">
          <color auto="1"/>
        </left>
        <right style="medium">
          <color indexed="64"/>
        </right>
        <top style="thin">
          <color auto="1"/>
        </top>
        <bottom style="thin">
          <color auto="1"/>
        </bottom>
        <vertical style="thin">
          <color auto="1"/>
        </vertical>
        <horizontal style="thin">
          <color auto="1"/>
        </horizontal>
      </border>
    </dxf>
    <dxf>
      <font>
        <b val="0"/>
        <i/>
        <strike val="0"/>
        <condense val="0"/>
        <extend val="0"/>
        <outline val="0"/>
        <shadow val="0"/>
        <u val="none"/>
        <vertAlign val="baseline"/>
        <sz val="8"/>
        <color theme="1"/>
        <name val="Calibri"/>
        <scheme val="minor"/>
      </font>
      <border diagonalUp="0" diagonalDown="0">
        <left style="thin">
          <color auto="1"/>
        </left>
        <right style="thin">
          <color auto="1"/>
        </right>
        <top style="thin">
          <color auto="1"/>
        </top>
        <bottom style="thin">
          <color auto="1"/>
        </bottom>
        <vertical style="thin">
          <color auto="1"/>
        </vertical>
        <horizontal style="thin">
          <color auto="1"/>
        </horizontal>
      </border>
    </dxf>
    <dxf>
      <font>
        <b val="0"/>
        <i/>
        <strike val="0"/>
        <condense val="0"/>
        <extend val="0"/>
        <outline val="0"/>
        <shadow val="0"/>
        <u val="none"/>
        <vertAlign val="baseline"/>
        <sz val="8"/>
        <color theme="1"/>
        <name val="Calibri"/>
        <scheme val="minor"/>
      </font>
      <border diagonalUp="0" diagonalDown="0">
        <left style="thin">
          <color auto="1"/>
        </left>
        <right style="thin">
          <color auto="1"/>
        </right>
        <top style="thin">
          <color auto="1"/>
        </top>
        <bottom style="thin">
          <color auto="1"/>
        </bottom>
        <vertical style="thin">
          <color auto="1"/>
        </vertical>
        <horizontal style="thin">
          <color auto="1"/>
        </horizontal>
      </border>
    </dxf>
    <dxf>
      <font>
        <b val="0"/>
        <i/>
        <strike val="0"/>
        <condense val="0"/>
        <extend val="0"/>
        <outline val="0"/>
        <shadow val="0"/>
        <u val="none"/>
        <vertAlign val="baseline"/>
        <sz val="8"/>
        <color rgb="FFFF0000"/>
        <name val="Calibri"/>
        <scheme val="minor"/>
      </font>
      <border diagonalUp="0" diagonalDown="0">
        <left style="thin">
          <color auto="1"/>
        </left>
        <right style="thin">
          <color auto="1"/>
        </right>
        <top style="thin">
          <color auto="1"/>
        </top>
        <bottom style="thin">
          <color auto="1"/>
        </bottom>
        <vertical style="thin">
          <color auto="1"/>
        </vertical>
        <horizontal style="thin">
          <color auto="1"/>
        </horizontal>
      </border>
    </dxf>
    <dxf>
      <font>
        <b val="0"/>
        <i/>
        <strike val="0"/>
        <condense val="0"/>
        <extend val="0"/>
        <outline val="0"/>
        <shadow val="0"/>
        <u val="none"/>
        <vertAlign val="baseline"/>
        <sz val="8"/>
        <color theme="1"/>
        <name val="Calibri"/>
        <scheme val="minor"/>
      </font>
      <border diagonalUp="0" diagonalDown="0">
        <left style="thin">
          <color auto="1"/>
        </left>
        <right style="thin">
          <color auto="1"/>
        </right>
        <top style="thin">
          <color auto="1"/>
        </top>
        <bottom style="thin">
          <color auto="1"/>
        </bottom>
        <vertical style="thin">
          <color auto="1"/>
        </vertical>
        <horizontal style="thin">
          <color auto="1"/>
        </horizontal>
      </border>
    </dxf>
    <dxf>
      <font>
        <b val="0"/>
        <i/>
        <strike val="0"/>
        <condense val="0"/>
        <extend val="0"/>
        <outline val="0"/>
        <shadow val="0"/>
        <u val="none"/>
        <vertAlign val="baseline"/>
        <sz val="8"/>
        <color theme="1"/>
        <name val="Calibri"/>
        <scheme val="minor"/>
      </font>
      <border diagonalUp="0" diagonalDown="0">
        <left style="thin">
          <color auto="1"/>
        </left>
        <right style="thin">
          <color auto="1"/>
        </right>
        <top style="thin">
          <color auto="1"/>
        </top>
        <bottom style="thin">
          <color auto="1"/>
        </bottom>
        <vertical style="thin">
          <color auto="1"/>
        </vertical>
        <horizontal style="thin">
          <color auto="1"/>
        </horizontal>
      </border>
    </dxf>
    <dxf>
      <font>
        <b val="0"/>
        <i/>
        <strike val="0"/>
        <condense val="0"/>
        <extend val="0"/>
        <outline val="0"/>
        <shadow val="0"/>
        <u val="none"/>
        <vertAlign val="baseline"/>
        <sz val="8"/>
        <color rgb="FFFF0000"/>
        <name val="Calibri"/>
        <scheme val="minor"/>
      </font>
      <border diagonalUp="0" diagonalDown="0">
        <left style="thin">
          <color auto="1"/>
        </left>
        <right style="thin">
          <color auto="1"/>
        </right>
        <top style="thin">
          <color auto="1"/>
        </top>
        <bottom style="thin">
          <color auto="1"/>
        </bottom>
        <vertical style="thin">
          <color auto="1"/>
        </vertical>
        <horizontal style="thin">
          <color auto="1"/>
        </horizontal>
      </border>
    </dxf>
    <dxf>
      <font>
        <b val="0"/>
        <i/>
        <strike val="0"/>
        <condense val="0"/>
        <extend val="0"/>
        <outline val="0"/>
        <shadow val="0"/>
        <u val="none"/>
        <vertAlign val="baseline"/>
        <sz val="8"/>
        <color theme="1"/>
        <name val="Calibri"/>
        <scheme val="minor"/>
      </font>
      <border diagonalUp="0" diagonalDown="0">
        <left style="thin">
          <color auto="1"/>
        </left>
        <right style="thin">
          <color auto="1"/>
        </right>
        <top style="thin">
          <color auto="1"/>
        </top>
        <bottom style="thin">
          <color auto="1"/>
        </bottom>
        <vertical style="thin">
          <color auto="1"/>
        </vertical>
        <horizontal style="thin">
          <color auto="1"/>
        </horizontal>
      </border>
    </dxf>
    <dxf>
      <font>
        <b val="0"/>
        <i/>
        <strike val="0"/>
        <condense val="0"/>
        <extend val="0"/>
        <outline val="0"/>
        <shadow val="0"/>
        <u val="none"/>
        <vertAlign val="baseline"/>
        <sz val="8"/>
        <color theme="1"/>
        <name val="Calibri"/>
        <scheme val="minor"/>
      </font>
      <border diagonalUp="0" diagonalDown="0">
        <left style="thin">
          <color auto="1"/>
        </left>
        <right style="thin">
          <color auto="1"/>
        </right>
        <top style="thin">
          <color auto="1"/>
        </top>
        <bottom style="thin">
          <color auto="1"/>
        </bottom>
        <vertical style="thin">
          <color auto="1"/>
        </vertical>
        <horizontal style="thin">
          <color auto="1"/>
        </horizontal>
      </border>
    </dxf>
    <dxf>
      <font>
        <b val="0"/>
        <i/>
        <strike val="0"/>
        <condense val="0"/>
        <extend val="0"/>
        <outline val="0"/>
        <shadow val="0"/>
        <u val="none"/>
        <vertAlign val="baseline"/>
        <sz val="8"/>
        <color rgb="FFFF0000"/>
        <name val="Calibri"/>
        <scheme val="minor"/>
      </font>
      <border diagonalUp="0" diagonalDown="0">
        <left style="thin">
          <color auto="1"/>
        </left>
        <right style="thin">
          <color auto="1"/>
        </right>
        <top style="thin">
          <color auto="1"/>
        </top>
        <bottom style="thin">
          <color auto="1"/>
        </bottom>
        <vertical style="thin">
          <color auto="1"/>
        </vertical>
        <horizontal style="thin">
          <color auto="1"/>
        </horizontal>
      </border>
    </dxf>
    <dxf>
      <font>
        <b val="0"/>
        <i/>
        <strike val="0"/>
        <condense val="0"/>
        <extend val="0"/>
        <outline val="0"/>
        <shadow val="0"/>
        <u val="none"/>
        <vertAlign val="baseline"/>
        <sz val="8"/>
        <color theme="1"/>
        <name val="Calibri"/>
        <scheme val="minor"/>
      </font>
      <border diagonalUp="0" diagonalDown="0">
        <left style="thin">
          <color auto="1"/>
        </left>
        <right style="thin">
          <color auto="1"/>
        </right>
        <top style="thin">
          <color auto="1"/>
        </top>
        <bottom style="thin">
          <color auto="1"/>
        </bottom>
        <vertical style="thin">
          <color auto="1"/>
        </vertical>
        <horizontal style="thin">
          <color auto="1"/>
        </horizontal>
      </border>
    </dxf>
    <dxf>
      <font>
        <b val="0"/>
        <i/>
        <strike val="0"/>
        <condense val="0"/>
        <extend val="0"/>
        <outline val="0"/>
        <shadow val="0"/>
        <u val="none"/>
        <vertAlign val="baseline"/>
        <sz val="8"/>
        <color theme="1"/>
        <name val="Calibri"/>
        <scheme val="minor"/>
      </font>
      <border diagonalUp="0" diagonalDown="0">
        <left style="thin">
          <color auto="1"/>
        </left>
        <right style="thin">
          <color auto="1"/>
        </right>
        <top style="thin">
          <color auto="1"/>
        </top>
        <bottom style="thin">
          <color auto="1"/>
        </bottom>
        <vertical style="thin">
          <color auto="1"/>
        </vertical>
        <horizontal style="thin">
          <color auto="1"/>
        </horizontal>
      </border>
    </dxf>
    <dxf>
      <font>
        <b val="0"/>
        <i/>
        <strike val="0"/>
        <condense val="0"/>
        <extend val="0"/>
        <outline val="0"/>
        <shadow val="0"/>
        <u val="none"/>
        <vertAlign val="baseline"/>
        <sz val="8"/>
        <color rgb="FFFF0000"/>
        <name val="Calibri"/>
        <scheme val="minor"/>
      </font>
      <border diagonalUp="0" diagonalDown="0">
        <left style="thin">
          <color auto="1"/>
        </left>
        <right style="thin">
          <color auto="1"/>
        </right>
        <top style="thin">
          <color auto="1"/>
        </top>
        <bottom style="thin">
          <color auto="1"/>
        </bottom>
        <vertical style="thin">
          <color auto="1"/>
        </vertical>
        <horizontal style="thin">
          <color auto="1"/>
        </horizontal>
      </border>
    </dxf>
    <dxf>
      <font>
        <b val="0"/>
        <i/>
        <strike val="0"/>
        <condense val="0"/>
        <extend val="0"/>
        <outline val="0"/>
        <shadow val="0"/>
        <u val="none"/>
        <vertAlign val="baseline"/>
        <sz val="8"/>
        <color theme="1"/>
        <name val="Calibri"/>
        <scheme val="minor"/>
      </font>
      <border diagonalUp="0" diagonalDown="0">
        <left style="thin">
          <color auto="1"/>
        </left>
        <right style="thin">
          <color auto="1"/>
        </right>
        <top style="thin">
          <color auto="1"/>
        </top>
        <bottom style="thin">
          <color auto="1"/>
        </bottom>
        <vertical style="thin">
          <color auto="1"/>
        </vertical>
        <horizontal style="thin">
          <color auto="1"/>
        </horizontal>
      </border>
    </dxf>
    <dxf>
      <font>
        <b val="0"/>
        <i/>
        <strike val="0"/>
        <condense val="0"/>
        <extend val="0"/>
        <outline val="0"/>
        <shadow val="0"/>
        <u val="none"/>
        <vertAlign val="baseline"/>
        <sz val="8"/>
        <color theme="1"/>
        <name val="Calibri"/>
        <scheme val="minor"/>
      </font>
      <border diagonalUp="0" diagonalDown="0">
        <left style="thin">
          <color auto="1"/>
        </left>
        <right style="thin">
          <color auto="1"/>
        </right>
        <top style="thin">
          <color auto="1"/>
        </top>
        <bottom style="thin">
          <color auto="1"/>
        </bottom>
        <vertical style="thin">
          <color auto="1"/>
        </vertical>
        <horizontal style="thin">
          <color auto="1"/>
        </horizontal>
      </border>
    </dxf>
    <dxf>
      <font>
        <b val="0"/>
        <i/>
        <strike val="0"/>
        <condense val="0"/>
        <extend val="0"/>
        <outline val="0"/>
        <shadow val="0"/>
        <u val="none"/>
        <vertAlign val="baseline"/>
        <sz val="8"/>
        <color theme="1"/>
        <name val="Calibri"/>
        <scheme val="minor"/>
      </font>
      <border diagonalUp="0" diagonalDown="0">
        <left style="thin">
          <color auto="1"/>
        </left>
        <right style="thin">
          <color auto="1"/>
        </right>
        <top style="thin">
          <color auto="1"/>
        </top>
        <bottom style="thin">
          <color auto="1"/>
        </bottom>
        <vertical style="thin">
          <color auto="1"/>
        </vertical>
        <horizontal style="thin">
          <color auto="1"/>
        </horizontal>
      </border>
    </dxf>
    <dxf>
      <font>
        <b val="0"/>
        <i/>
        <strike val="0"/>
        <condense val="0"/>
        <extend val="0"/>
        <outline val="0"/>
        <shadow val="0"/>
        <u val="none"/>
        <vertAlign val="baseline"/>
        <sz val="8"/>
        <color theme="1"/>
        <name val="Calibri"/>
        <scheme val="minor"/>
      </font>
      <border diagonalUp="0" diagonalDown="0">
        <left style="thin">
          <color auto="1"/>
        </left>
        <right style="thin">
          <color auto="1"/>
        </right>
        <top style="thin">
          <color auto="1"/>
        </top>
        <bottom style="thin">
          <color auto="1"/>
        </bottom>
        <vertical style="thin">
          <color auto="1"/>
        </vertical>
        <horizontal style="thin">
          <color auto="1"/>
        </horizontal>
      </border>
    </dxf>
    <dxf>
      <font>
        <b val="0"/>
        <i/>
        <strike val="0"/>
        <condense val="0"/>
        <extend val="0"/>
        <outline val="0"/>
        <shadow val="0"/>
        <u val="none"/>
        <vertAlign val="baseline"/>
        <sz val="8"/>
        <color theme="1"/>
        <name val="Calibri"/>
        <scheme val="minor"/>
      </font>
      <border diagonalUp="0" diagonalDown="0">
        <left style="thin">
          <color auto="1"/>
        </left>
        <right style="thin">
          <color auto="1"/>
        </right>
        <top style="thin">
          <color auto="1"/>
        </top>
        <bottom style="thin">
          <color auto="1"/>
        </bottom>
        <vertical style="thin">
          <color auto="1"/>
        </vertical>
        <horizontal style="thin">
          <color auto="1"/>
        </horizontal>
      </border>
    </dxf>
    <dxf>
      <font>
        <b val="0"/>
        <i/>
        <strike val="0"/>
        <condense val="0"/>
        <extend val="0"/>
        <outline val="0"/>
        <shadow val="0"/>
        <u val="none"/>
        <vertAlign val="baseline"/>
        <sz val="8"/>
        <color theme="1"/>
        <name val="Calibri"/>
        <scheme val="minor"/>
      </font>
      <border diagonalUp="0" diagonalDown="0">
        <left style="thin">
          <color auto="1"/>
        </left>
        <right style="thin">
          <color auto="1"/>
        </right>
        <top style="thin">
          <color auto="1"/>
        </top>
        <bottom style="thin">
          <color auto="1"/>
        </bottom>
        <vertical style="thin">
          <color auto="1"/>
        </vertical>
        <horizontal style="thin">
          <color auto="1"/>
        </horizontal>
      </border>
    </dxf>
    <dxf>
      <font>
        <b val="0"/>
        <i/>
        <strike val="0"/>
        <condense val="0"/>
        <extend val="0"/>
        <outline val="0"/>
        <shadow val="0"/>
        <u val="none"/>
        <vertAlign val="baseline"/>
        <sz val="8"/>
        <color theme="1"/>
        <name val="Calibri"/>
        <scheme val="minor"/>
      </font>
      <border diagonalUp="0" diagonalDown="0">
        <left style="thin">
          <color auto="1"/>
        </left>
        <right style="thin">
          <color auto="1"/>
        </right>
        <top style="thin">
          <color auto="1"/>
        </top>
        <bottom style="thin">
          <color auto="1"/>
        </bottom>
        <vertical style="thin">
          <color auto="1"/>
        </vertical>
        <horizontal style="thin">
          <color auto="1"/>
        </horizontal>
      </border>
    </dxf>
    <dxf>
      <font>
        <b val="0"/>
        <i/>
        <strike val="0"/>
        <condense val="0"/>
        <extend val="0"/>
        <outline val="0"/>
        <shadow val="0"/>
        <u val="none"/>
        <vertAlign val="baseline"/>
        <sz val="8"/>
        <color theme="1"/>
        <name val="Calibri"/>
        <scheme val="minor"/>
      </font>
      <border diagonalUp="0" diagonalDown="0">
        <left style="thin">
          <color auto="1"/>
        </left>
        <right style="thin">
          <color auto="1"/>
        </right>
        <top style="thin">
          <color auto="1"/>
        </top>
        <bottom style="thin">
          <color auto="1"/>
        </bottom>
        <vertical style="thin">
          <color auto="1"/>
        </vertical>
        <horizontal style="thin">
          <color auto="1"/>
        </horizontal>
      </border>
    </dxf>
    <dxf>
      <font>
        <b val="0"/>
        <i/>
        <strike val="0"/>
        <condense val="0"/>
        <extend val="0"/>
        <outline val="0"/>
        <shadow val="0"/>
        <u val="none"/>
        <vertAlign val="baseline"/>
        <sz val="8"/>
        <color theme="1"/>
        <name val="Calibri"/>
        <scheme val="minor"/>
      </font>
      <border diagonalUp="0" diagonalDown="0">
        <left style="thin">
          <color auto="1"/>
        </left>
        <right style="thin">
          <color auto="1"/>
        </right>
        <top style="thin">
          <color auto="1"/>
        </top>
        <bottom style="thin">
          <color auto="1"/>
        </bottom>
        <vertical style="thin">
          <color auto="1"/>
        </vertical>
        <horizontal style="thin">
          <color auto="1"/>
        </horizontal>
      </border>
    </dxf>
    <dxf>
      <font>
        <b val="0"/>
        <i/>
        <strike val="0"/>
        <condense val="0"/>
        <extend val="0"/>
        <outline val="0"/>
        <shadow val="0"/>
        <u val="none"/>
        <vertAlign val="baseline"/>
        <sz val="8"/>
        <color theme="1"/>
        <name val="Calibri"/>
        <scheme val="minor"/>
      </font>
      <border diagonalUp="0" diagonalDown="0">
        <left style="thin">
          <color auto="1"/>
        </left>
        <right style="thin">
          <color auto="1"/>
        </right>
        <top style="thin">
          <color auto="1"/>
        </top>
        <bottom style="thin">
          <color auto="1"/>
        </bottom>
        <vertical style="thin">
          <color auto="1"/>
        </vertical>
        <horizontal style="thin">
          <color auto="1"/>
        </horizontal>
      </border>
    </dxf>
    <dxf>
      <font>
        <b val="0"/>
        <i/>
        <strike val="0"/>
        <condense val="0"/>
        <extend val="0"/>
        <outline val="0"/>
        <shadow val="0"/>
        <u val="none"/>
        <vertAlign val="baseline"/>
        <sz val="8"/>
        <color theme="1"/>
        <name val="Calibri"/>
        <scheme val="minor"/>
      </font>
      <border diagonalUp="0" diagonalDown="0">
        <left style="thin">
          <color auto="1"/>
        </left>
        <right style="thin">
          <color auto="1"/>
        </right>
        <top style="thin">
          <color auto="1"/>
        </top>
        <bottom style="thin">
          <color auto="1"/>
        </bottom>
        <vertical style="thin">
          <color auto="1"/>
        </vertical>
        <horizontal style="thin">
          <color auto="1"/>
        </horizontal>
      </border>
    </dxf>
    <dxf>
      <font>
        <b val="0"/>
        <i/>
        <strike val="0"/>
        <condense val="0"/>
        <extend val="0"/>
        <outline val="0"/>
        <shadow val="0"/>
        <u val="none"/>
        <vertAlign val="baseline"/>
        <sz val="8"/>
        <color theme="1"/>
        <name val="Calibri"/>
        <scheme val="minor"/>
      </font>
      <border diagonalUp="0" diagonalDown="0">
        <left style="thin">
          <color auto="1"/>
        </left>
        <right style="thin">
          <color auto="1"/>
        </right>
        <top style="thin">
          <color auto="1"/>
        </top>
        <bottom style="thin">
          <color auto="1"/>
        </bottom>
        <vertical style="thin">
          <color auto="1"/>
        </vertical>
        <horizontal style="thin">
          <color auto="1"/>
        </horizontal>
      </border>
    </dxf>
    <dxf>
      <font>
        <b val="0"/>
        <i/>
        <strike val="0"/>
        <condense val="0"/>
        <extend val="0"/>
        <outline val="0"/>
        <shadow val="0"/>
        <u val="none"/>
        <vertAlign val="baseline"/>
        <sz val="8"/>
        <color theme="1"/>
        <name val="Calibri"/>
        <scheme val="minor"/>
      </font>
      <border diagonalUp="0" diagonalDown="0">
        <left style="thin">
          <color auto="1"/>
        </left>
        <right style="thin">
          <color auto="1"/>
        </right>
        <top style="thin">
          <color auto="1"/>
        </top>
        <bottom style="thin">
          <color auto="1"/>
        </bottom>
        <vertical style="thin">
          <color auto="1"/>
        </vertical>
        <horizontal style="thin">
          <color auto="1"/>
        </horizontal>
      </border>
    </dxf>
    <dxf>
      <font>
        <b val="0"/>
        <i/>
        <strike val="0"/>
        <condense val="0"/>
        <extend val="0"/>
        <outline val="0"/>
        <shadow val="0"/>
        <u val="none"/>
        <vertAlign val="baseline"/>
        <sz val="8"/>
        <color theme="1"/>
        <name val="Calibri"/>
        <scheme val="minor"/>
      </font>
      <border diagonalUp="0" diagonalDown="0">
        <left style="thin">
          <color auto="1"/>
        </left>
        <right style="thin">
          <color auto="1"/>
        </right>
        <top style="thin">
          <color auto="1"/>
        </top>
        <bottom style="thin">
          <color auto="1"/>
        </bottom>
        <vertical style="thin">
          <color auto="1"/>
        </vertical>
        <horizontal style="thin">
          <color auto="1"/>
        </horizontal>
      </border>
    </dxf>
    <dxf>
      <font>
        <b val="0"/>
        <i/>
        <strike val="0"/>
        <condense val="0"/>
        <extend val="0"/>
        <outline val="0"/>
        <shadow val="0"/>
        <u val="none"/>
        <vertAlign val="baseline"/>
        <sz val="8"/>
        <color theme="1"/>
        <name val="Calibri"/>
        <scheme val="minor"/>
      </font>
      <border diagonalUp="0" diagonalDown="0">
        <left style="thin">
          <color auto="1"/>
        </left>
        <right style="thin">
          <color auto="1"/>
        </right>
        <top style="thin">
          <color auto="1"/>
        </top>
        <bottom style="thin">
          <color auto="1"/>
        </bottom>
        <vertical style="thin">
          <color auto="1"/>
        </vertical>
        <horizontal style="thin">
          <color auto="1"/>
        </horizontal>
      </border>
    </dxf>
    <dxf>
      <font>
        <b val="0"/>
        <i/>
        <strike val="0"/>
        <condense val="0"/>
        <extend val="0"/>
        <outline val="0"/>
        <shadow val="0"/>
        <u val="none"/>
        <vertAlign val="baseline"/>
        <sz val="8"/>
        <color theme="1"/>
        <name val="Calibri"/>
        <scheme val="minor"/>
      </font>
      <border diagonalUp="0" diagonalDown="0">
        <left style="thin">
          <color auto="1"/>
        </left>
        <right style="thin">
          <color auto="1"/>
        </right>
        <top style="thin">
          <color auto="1"/>
        </top>
        <bottom style="thin">
          <color auto="1"/>
        </bottom>
        <vertical style="thin">
          <color auto="1"/>
        </vertical>
        <horizontal style="thin">
          <color auto="1"/>
        </horizontal>
      </border>
    </dxf>
    <dxf>
      <font>
        <b val="0"/>
        <i/>
        <strike val="0"/>
        <condense val="0"/>
        <extend val="0"/>
        <outline val="0"/>
        <shadow val="0"/>
        <u val="none"/>
        <vertAlign val="baseline"/>
        <sz val="8"/>
        <color theme="1"/>
        <name val="Calibri"/>
        <scheme val="minor"/>
      </font>
      <border diagonalUp="0" diagonalDown="0">
        <left style="thin">
          <color auto="1"/>
        </left>
        <right style="thin">
          <color auto="1"/>
        </right>
        <top style="thin">
          <color auto="1"/>
        </top>
        <bottom style="thin">
          <color auto="1"/>
        </bottom>
        <vertical style="thin">
          <color auto="1"/>
        </vertical>
        <horizontal style="thin">
          <color auto="1"/>
        </horizontal>
      </border>
    </dxf>
    <dxf>
      <font>
        <b val="0"/>
        <i/>
        <strike val="0"/>
        <condense val="0"/>
        <extend val="0"/>
        <outline val="0"/>
        <shadow val="0"/>
        <u val="none"/>
        <vertAlign val="baseline"/>
        <sz val="8"/>
        <color theme="1"/>
        <name val="Calibri"/>
        <scheme val="minor"/>
      </font>
      <border diagonalUp="0" diagonalDown="0">
        <left style="thin">
          <color auto="1"/>
        </left>
        <right style="thin">
          <color auto="1"/>
        </right>
        <top style="thin">
          <color auto="1"/>
        </top>
        <bottom style="thin">
          <color auto="1"/>
        </bottom>
        <vertical style="thin">
          <color auto="1"/>
        </vertical>
        <horizontal style="thin">
          <color auto="1"/>
        </horizontal>
      </border>
    </dxf>
    <dxf>
      <font>
        <b val="0"/>
        <i/>
        <strike val="0"/>
        <condense val="0"/>
        <extend val="0"/>
        <outline val="0"/>
        <shadow val="0"/>
        <u val="none"/>
        <vertAlign val="baseline"/>
        <sz val="8"/>
        <color theme="1"/>
        <name val="Calibri"/>
        <scheme val="minor"/>
      </font>
      <border diagonalUp="0" diagonalDown="0">
        <left style="thin">
          <color auto="1"/>
        </left>
        <right style="thin">
          <color auto="1"/>
        </right>
        <top style="thin">
          <color auto="1"/>
        </top>
        <bottom style="thin">
          <color auto="1"/>
        </bottom>
        <vertical style="thin">
          <color auto="1"/>
        </vertical>
        <horizontal style="thin">
          <color auto="1"/>
        </horizontal>
      </border>
    </dxf>
    <dxf>
      <font>
        <b val="0"/>
        <i/>
        <strike val="0"/>
        <condense val="0"/>
        <extend val="0"/>
        <outline val="0"/>
        <shadow val="0"/>
        <u val="none"/>
        <vertAlign val="baseline"/>
        <sz val="8"/>
        <color theme="1"/>
        <name val="Calibri"/>
        <scheme val="minor"/>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style="medium">
          <color indexed="64"/>
        </left>
        <right style="thin">
          <color auto="1"/>
        </right>
        <top style="thin">
          <color auto="1"/>
        </top>
        <bottom style="thin">
          <color auto="1"/>
        </bottom>
        <vertical style="thin">
          <color auto="1"/>
        </vertical>
        <horizontal style="thin">
          <color auto="1"/>
        </horizontal>
      </border>
    </dxf>
    <dxf>
      <border outline="0">
        <left style="medium">
          <color indexed="64"/>
        </left>
        <right style="medium">
          <color indexed="64"/>
        </right>
        <top style="medium">
          <color indexed="64"/>
        </top>
        <bottom style="medium">
          <color indexed="64"/>
        </bottom>
      </border>
    </dxf>
    <dxf>
      <font>
        <b val="0"/>
        <i/>
        <strike val="0"/>
        <condense val="0"/>
        <extend val="0"/>
        <outline val="0"/>
        <shadow val="0"/>
        <u val="none"/>
        <vertAlign val="baseline"/>
        <sz val="8"/>
        <color theme="1"/>
        <name val="Calibri"/>
        <scheme val="minor"/>
      </font>
    </dxf>
    <dxf>
      <font>
        <b val="0"/>
        <i/>
        <strike val="0"/>
        <condense val="0"/>
        <extend val="0"/>
        <outline val="0"/>
        <shadow val="0"/>
        <u val="none"/>
        <vertAlign val="baseline"/>
        <sz val="8"/>
        <color theme="1"/>
        <name val="Calibri"/>
        <scheme val="minor"/>
      </font>
      <fill>
        <patternFill patternType="solid">
          <fgColor theme="0" tint="-0.14999847407452621"/>
          <bgColor theme="0" tint="-0.14999847407452621"/>
        </patternFill>
      </fill>
      <alignment horizontal="center" vertical="center" textRotation="0" wrapText="0" indent="0" justifyLastLine="0" shrinkToFit="0" readingOrder="0"/>
    </dxf>
    <dxf>
      <numFmt numFmtId="2" formatCode="0.00"/>
      <border diagonalUp="0" diagonalDown="0" outline="0">
        <left/>
        <right/>
        <top style="medium">
          <color auto="1"/>
        </top>
        <bottom style="medium">
          <color auto="1"/>
        </bottom>
      </border>
    </dxf>
    <dxf>
      <numFmt numFmtId="1" formatCode="0"/>
      <border diagonalUp="0" diagonalDown="0">
        <left/>
        <right/>
        <top style="medium">
          <color auto="1"/>
        </top>
        <bottom style="medium">
          <color auto="1"/>
        </bottom>
      </border>
    </dxf>
    <dxf>
      <numFmt numFmtId="1" formatCode="0"/>
      <border diagonalUp="0" diagonalDown="0">
        <left/>
        <right/>
        <top style="medium">
          <color auto="1"/>
        </top>
        <bottom style="medium">
          <color auto="1"/>
        </bottom>
        <vertical/>
        <horizontal style="medium">
          <color auto="1"/>
        </horizontal>
      </border>
    </dxf>
    <dxf>
      <numFmt numFmtId="1" formatCode="0"/>
      <border diagonalUp="0" diagonalDown="0">
        <left/>
        <right/>
        <top style="medium">
          <color auto="1"/>
        </top>
        <bottom style="medium">
          <color auto="1"/>
        </bottom>
        <vertical/>
        <horizontal style="medium">
          <color auto="1"/>
        </horizontal>
      </border>
    </dxf>
    <dxf>
      <numFmt numFmtId="1" formatCode="0"/>
      <border diagonalUp="0" diagonalDown="0">
        <left/>
        <right/>
        <top style="medium">
          <color auto="1"/>
        </top>
        <bottom style="medium">
          <color auto="1"/>
        </bottom>
        <vertical/>
        <horizontal style="medium">
          <color auto="1"/>
        </horizontal>
      </border>
    </dxf>
    <dxf>
      <numFmt numFmtId="1" formatCode="0"/>
      <border diagonalUp="0" diagonalDown="0">
        <left/>
        <right/>
        <top style="medium">
          <color auto="1"/>
        </top>
        <bottom style="medium">
          <color auto="1"/>
        </bottom>
        <vertical/>
        <horizontal style="medium">
          <color auto="1"/>
        </horizontal>
      </border>
    </dxf>
    <dxf>
      <numFmt numFmtId="1" formatCode="0"/>
      <border diagonalUp="0" diagonalDown="0">
        <left/>
        <right/>
        <top style="medium">
          <color auto="1"/>
        </top>
        <bottom style="medium">
          <color auto="1"/>
        </bottom>
        <vertical/>
        <horizontal style="medium">
          <color auto="1"/>
        </horizontal>
      </border>
    </dxf>
    <dxf>
      <numFmt numFmtId="1" formatCode="0"/>
      <border diagonalUp="0" diagonalDown="0">
        <left/>
        <right/>
        <top style="medium">
          <color auto="1"/>
        </top>
        <bottom style="medium">
          <color auto="1"/>
        </bottom>
        <vertical/>
        <horizontal style="medium">
          <color auto="1"/>
        </horizontal>
      </border>
    </dxf>
    <dxf>
      <numFmt numFmtId="1" formatCode="0"/>
      <border diagonalUp="0" diagonalDown="0">
        <left/>
        <right/>
        <top style="medium">
          <color auto="1"/>
        </top>
        <bottom style="medium">
          <color auto="1"/>
        </bottom>
        <vertical/>
        <horizontal style="medium">
          <color auto="1"/>
        </horizontal>
      </border>
    </dxf>
    <dxf>
      <numFmt numFmtId="1" formatCode="0"/>
      <border diagonalUp="0" diagonalDown="0">
        <left/>
        <right/>
        <top style="medium">
          <color auto="1"/>
        </top>
        <bottom style="medium">
          <color auto="1"/>
        </bottom>
        <vertical/>
        <horizontal style="medium">
          <color auto="1"/>
        </horizontal>
      </border>
    </dxf>
    <dxf>
      <alignment vertical="bottom" textRotation="0" wrapText="1" indent="0" justifyLastLine="0" shrinkToFit="0" readingOrder="0"/>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alignment vertical="bottom" textRotation="0" wrapText="1" indent="0" justifyLastLine="0" shrinkToFit="0" readingOrder="0"/>
    </dxf>
    <dxf>
      <numFmt numFmtId="1" formatCode="0"/>
      <alignment horizontal="center" vertical="center" textRotation="0" wrapText="0" indent="0" justifyLastLine="0" shrinkToFit="0" readingOrder="0"/>
      <border diagonalUp="0" diagonalDown="0">
        <left/>
        <right style="medium">
          <color indexed="64"/>
        </right>
        <top style="thin">
          <color auto="1"/>
        </top>
        <bottom style="thin">
          <color auto="1"/>
        </bottom>
        <vertical/>
        <horizontal style="thin">
          <color auto="1"/>
        </horizontal>
      </border>
    </dxf>
    <dxf>
      <numFmt numFmtId="1" formatCode="0"/>
      <alignment horizontal="center" vertical="center" textRotation="0" wrapText="0" indent="0" justifyLastLine="0" shrinkToFit="0" readingOrder="0"/>
      <border diagonalUp="0" diagonalDown="0">
        <left/>
        <right/>
        <top style="thin">
          <color auto="1"/>
        </top>
        <bottom style="thin">
          <color auto="1"/>
        </bottom>
        <vertical/>
        <horizontal style="thin">
          <color auto="1"/>
        </horizontal>
      </border>
    </dxf>
    <dxf>
      <numFmt numFmtId="1" formatCode="0"/>
      <alignment horizontal="center" vertical="center" textRotation="0" wrapText="0" indent="0" justifyLastLine="0" shrinkToFit="0" readingOrder="0"/>
      <border diagonalUp="0" diagonalDown="0">
        <left/>
        <right/>
        <top style="thin">
          <color auto="1"/>
        </top>
        <bottom style="thin">
          <color auto="1"/>
        </bottom>
        <vertical/>
        <horizontal style="thin">
          <color auto="1"/>
        </horizontal>
      </border>
    </dxf>
    <dxf>
      <numFmt numFmtId="1" formatCode="0"/>
      <alignment horizontal="center" vertical="center" textRotation="0" wrapText="0" indent="0" justifyLastLine="0" shrinkToFit="0" readingOrder="0"/>
      <border diagonalUp="0" diagonalDown="0">
        <left/>
        <right/>
        <top style="thin">
          <color auto="1"/>
        </top>
        <bottom style="thin">
          <color auto="1"/>
        </bottom>
        <vertical/>
        <horizontal style="thin">
          <color auto="1"/>
        </horizontal>
      </border>
    </dxf>
    <dxf>
      <numFmt numFmtId="0" formatCode="General"/>
      <alignment horizontal="center" vertical="center" textRotation="0" wrapText="0" indent="0" justifyLastLine="0" shrinkToFit="0" readingOrder="0"/>
      <border diagonalUp="0" diagonalDown="0">
        <left style="medium">
          <color indexed="64"/>
        </left>
        <right/>
        <top style="thin">
          <color auto="1"/>
        </top>
        <bottom style="thin">
          <color auto="1"/>
        </bottom>
        <vertical/>
        <horizontal style="thin">
          <color auto="1"/>
        </horizontal>
      </border>
    </dxf>
    <dxf>
      <alignment horizontal="center" vertical="center" textRotation="0" wrapText="0" indent="0" justifyLastLine="0" shrinkToFit="0" readingOrder="0"/>
      <border diagonalUp="0" diagonalDown="0">
        <left/>
        <right style="medium">
          <color indexed="64"/>
        </right>
        <top/>
        <bottom/>
        <vertical/>
        <horizontal/>
      </border>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164" formatCode="0.0"/>
      <alignment horizontal="center" vertical="center" textRotation="0" wrapText="0" indent="0" justifyLastLine="0" shrinkToFit="0" readingOrder="0"/>
      <border diagonalUp="0" diagonalDown="0">
        <left style="medium">
          <color indexed="64"/>
        </left>
        <right/>
        <top/>
        <bottom/>
        <vertical/>
        <horizontal/>
      </border>
    </dxf>
    <dxf>
      <alignment horizontal="center" vertical="bottom" textRotation="0" wrapText="1" indent="0" justifyLastLine="0" shrinkToFit="0" readingOrder="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vertical="bottom" textRotation="0" wrapText="1" indent="0" justifyLastLine="0" shrinkToFit="0" readingOrder="0"/>
    </dxf>
    <dxf>
      <numFmt numFmtId="2" formatCode="0.00"/>
      <border diagonalUp="0" diagonalDown="0" outline="0">
        <left/>
        <right/>
        <top style="medium">
          <color auto="1"/>
        </top>
        <bottom style="medium">
          <color auto="1"/>
        </bottom>
      </border>
    </dxf>
    <dxf>
      <numFmt numFmtId="1" formatCode="0"/>
      <border diagonalUp="0" diagonalDown="0">
        <left/>
        <right/>
        <top style="medium">
          <color auto="1"/>
        </top>
        <bottom style="medium">
          <color auto="1"/>
        </bottom>
      </border>
    </dxf>
    <dxf>
      <numFmt numFmtId="1" formatCode="0"/>
      <border diagonalUp="0" diagonalDown="0">
        <left/>
        <right/>
        <top style="medium">
          <color auto="1"/>
        </top>
        <bottom style="medium">
          <color auto="1"/>
        </bottom>
        <vertical/>
        <horizontal style="medium">
          <color auto="1"/>
        </horizontal>
      </border>
    </dxf>
    <dxf>
      <numFmt numFmtId="1" formatCode="0"/>
      <border diagonalUp="0" diagonalDown="0">
        <left/>
        <right/>
        <top style="medium">
          <color auto="1"/>
        </top>
        <bottom style="medium">
          <color auto="1"/>
        </bottom>
        <vertical/>
        <horizontal style="medium">
          <color auto="1"/>
        </horizontal>
      </border>
    </dxf>
    <dxf>
      <numFmt numFmtId="1" formatCode="0"/>
      <border diagonalUp="0" diagonalDown="0">
        <left/>
        <right/>
        <top style="medium">
          <color auto="1"/>
        </top>
        <bottom style="medium">
          <color auto="1"/>
        </bottom>
        <vertical/>
        <horizontal style="medium">
          <color auto="1"/>
        </horizontal>
      </border>
    </dxf>
    <dxf>
      <numFmt numFmtId="1" formatCode="0"/>
      <border diagonalUp="0" diagonalDown="0">
        <left/>
        <right/>
        <top style="medium">
          <color auto="1"/>
        </top>
        <bottom style="medium">
          <color auto="1"/>
        </bottom>
        <vertical/>
        <horizontal style="medium">
          <color auto="1"/>
        </horizontal>
      </border>
    </dxf>
    <dxf>
      <numFmt numFmtId="1" formatCode="0"/>
      <border diagonalUp="0" diagonalDown="0">
        <left/>
        <right/>
        <top style="medium">
          <color auto="1"/>
        </top>
        <bottom style="medium">
          <color auto="1"/>
        </bottom>
        <vertical/>
        <horizontal style="medium">
          <color auto="1"/>
        </horizontal>
      </border>
    </dxf>
    <dxf>
      <numFmt numFmtId="1" formatCode="0"/>
      <border diagonalUp="0" diagonalDown="0">
        <left/>
        <right/>
        <top style="medium">
          <color auto="1"/>
        </top>
        <bottom style="medium">
          <color auto="1"/>
        </bottom>
        <vertical/>
        <horizontal style="medium">
          <color auto="1"/>
        </horizontal>
      </border>
    </dxf>
    <dxf>
      <numFmt numFmtId="1" formatCode="0"/>
      <border diagonalUp="0" diagonalDown="0">
        <left/>
        <right/>
        <top style="medium">
          <color auto="1"/>
        </top>
        <bottom style="medium">
          <color auto="1"/>
        </bottom>
        <vertical/>
        <horizontal style="medium">
          <color auto="1"/>
        </horizontal>
      </border>
    </dxf>
    <dxf>
      <numFmt numFmtId="1" formatCode="0"/>
      <border diagonalUp="0" diagonalDown="0">
        <left/>
        <right/>
        <top style="medium">
          <color auto="1"/>
        </top>
        <bottom style="medium">
          <color auto="1"/>
        </bottom>
        <vertical/>
        <horizontal style="medium">
          <color auto="1"/>
        </horizontal>
      </border>
    </dxf>
    <dxf>
      <alignment vertical="bottom" textRotation="0" wrapText="1" indent="0" justifyLastLine="0" shrinkToFit="0" readingOrder="0"/>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alignment vertical="bottom" textRotation="0" wrapText="1" indent="0" justifyLastLine="0" shrinkToFit="0" readingOrder="0"/>
    </dxf>
    <dxf>
      <numFmt numFmtId="1" formatCode="0"/>
      <alignment horizontal="center" vertical="center" textRotation="0" wrapText="0" indent="0" justifyLastLine="0" shrinkToFit="0" readingOrder="0"/>
      <border diagonalUp="0" diagonalDown="0">
        <left/>
        <right style="medium">
          <color indexed="64"/>
        </right>
        <top style="thin">
          <color auto="1"/>
        </top>
        <bottom style="thin">
          <color auto="1"/>
        </bottom>
        <vertical/>
        <horizontal style="thin">
          <color auto="1"/>
        </horizontal>
      </border>
    </dxf>
    <dxf>
      <numFmt numFmtId="1" formatCode="0"/>
      <alignment horizontal="center" vertical="center" textRotation="0" wrapText="0" indent="0" justifyLastLine="0" shrinkToFit="0" readingOrder="0"/>
      <border diagonalUp="0" diagonalDown="0">
        <left/>
        <right/>
        <top style="thin">
          <color auto="1"/>
        </top>
        <bottom style="thin">
          <color auto="1"/>
        </bottom>
        <vertical/>
        <horizontal style="thin">
          <color auto="1"/>
        </horizontal>
      </border>
    </dxf>
    <dxf>
      <numFmt numFmtId="1" formatCode="0"/>
      <alignment horizontal="center" vertical="center" textRotation="0" wrapText="0" indent="0" justifyLastLine="0" shrinkToFit="0" readingOrder="0"/>
      <border diagonalUp="0" diagonalDown="0">
        <left/>
        <right/>
        <top style="thin">
          <color auto="1"/>
        </top>
        <bottom style="thin">
          <color auto="1"/>
        </bottom>
        <vertical/>
        <horizontal style="thin">
          <color auto="1"/>
        </horizontal>
      </border>
    </dxf>
    <dxf>
      <numFmt numFmtId="1" formatCode="0"/>
      <alignment horizontal="center" vertical="center" textRotation="0" wrapText="0" indent="0" justifyLastLine="0" shrinkToFit="0" readingOrder="0"/>
      <border diagonalUp="0" diagonalDown="0">
        <left/>
        <right/>
        <top style="thin">
          <color auto="1"/>
        </top>
        <bottom style="thin">
          <color auto="1"/>
        </bottom>
        <vertical/>
        <horizontal style="thin">
          <color auto="1"/>
        </horizontal>
      </border>
    </dxf>
    <dxf>
      <numFmt numFmtId="0" formatCode="General"/>
      <alignment horizontal="center" vertical="center" textRotation="0" wrapText="0" indent="0" justifyLastLine="0" shrinkToFit="0" readingOrder="0"/>
      <border diagonalUp="0" diagonalDown="0">
        <left style="medium">
          <color indexed="64"/>
        </left>
        <right/>
        <top style="thin">
          <color auto="1"/>
        </top>
        <bottom style="thin">
          <color auto="1"/>
        </bottom>
        <vertical/>
        <horizontal style="thin">
          <color auto="1"/>
        </horizontal>
      </border>
    </dxf>
    <dxf>
      <alignment horizontal="center" vertical="center" textRotation="0" wrapText="0" indent="0" justifyLastLine="0" shrinkToFit="0" readingOrder="0"/>
      <border diagonalUp="0" diagonalDown="0">
        <left/>
        <right style="medium">
          <color indexed="64"/>
        </right>
        <top/>
        <bottom/>
        <vertical/>
        <horizontal/>
      </border>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164" formatCode="0.0"/>
      <alignment horizontal="center" vertical="center" textRotation="0" wrapText="0" indent="0" justifyLastLine="0" shrinkToFit="0" readingOrder="0"/>
      <border diagonalUp="0" diagonalDown="0">
        <left style="medium">
          <color indexed="64"/>
        </left>
        <right/>
        <top/>
        <bottom/>
        <vertical/>
        <horizontal/>
      </border>
    </dxf>
    <dxf>
      <alignment horizontal="center" vertical="bottom" textRotation="0" wrapText="1"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vertical="bottom" textRotation="0" wrapText="1" indent="0" justifyLastLine="0" shrinkToFit="0" readingOrder="0"/>
    </dxf>
    <dxf>
      <font>
        <b val="0"/>
        <i/>
        <strike val="0"/>
        <condense val="0"/>
        <extend val="0"/>
        <outline val="0"/>
        <shadow val="0"/>
        <u val="none"/>
        <vertAlign val="baseline"/>
        <sz val="11"/>
        <color theme="1"/>
        <name val="Calibri"/>
        <scheme val="minor"/>
      </font>
      <numFmt numFmtId="0" formatCode="General"/>
    </dxf>
    <dxf>
      <font>
        <b val="0"/>
        <i/>
        <strike val="0"/>
        <condense val="0"/>
        <extend val="0"/>
        <outline val="0"/>
        <shadow val="0"/>
        <u val="none"/>
        <vertAlign val="baseline"/>
        <sz val="11"/>
        <color theme="1"/>
        <name val="Calibri"/>
        <scheme val="minor"/>
      </font>
    </dxf>
    <dxf>
      <font>
        <b val="0"/>
        <i/>
        <strike val="0"/>
        <condense val="0"/>
        <extend val="0"/>
        <outline val="0"/>
        <shadow val="0"/>
        <u val="none"/>
        <vertAlign val="baseline"/>
        <sz val="11"/>
        <color theme="1"/>
        <name val="Calibri"/>
        <scheme val="minor"/>
      </font>
    </dxf>
    <dxf>
      <font>
        <b val="0"/>
        <i/>
        <strike val="0"/>
        <condense val="0"/>
        <extend val="0"/>
        <outline val="0"/>
        <shadow val="0"/>
        <u val="none"/>
        <vertAlign val="baseline"/>
        <sz val="11"/>
        <color theme="1"/>
        <name val="Calibri"/>
        <scheme val="minor"/>
      </font>
    </dxf>
    <dxf>
      <font>
        <b val="0"/>
        <i/>
        <strike val="0"/>
        <condense val="0"/>
        <extend val="0"/>
        <outline val="0"/>
        <shadow val="0"/>
        <u val="none"/>
        <vertAlign val="baseline"/>
        <sz val="11"/>
        <color theme="1"/>
        <name val="Calibri"/>
        <scheme val="minor"/>
      </font>
    </dxf>
    <dxf>
      <font>
        <b val="0"/>
        <i/>
        <strike val="0"/>
        <condense val="0"/>
        <extend val="0"/>
        <outline val="0"/>
        <shadow val="0"/>
        <u val="none"/>
        <vertAlign val="baseline"/>
        <sz val="11"/>
        <color theme="1"/>
        <name val="Calibri"/>
        <scheme val="minor"/>
      </font>
    </dxf>
    <dxf>
      <font>
        <b val="0"/>
        <i/>
        <strike val="0"/>
        <condense val="0"/>
        <extend val="0"/>
        <outline val="0"/>
        <shadow val="0"/>
        <u val="none"/>
        <vertAlign val="baseline"/>
        <sz val="11"/>
        <color theme="1"/>
        <name val="Calibri"/>
        <scheme val="minor"/>
      </font>
      <numFmt numFmtId="2" formatCode="0.00"/>
    </dxf>
    <dxf>
      <font>
        <b val="0"/>
        <i/>
        <strike val="0"/>
        <condense val="0"/>
        <extend val="0"/>
        <outline val="0"/>
        <shadow val="0"/>
        <u val="none"/>
        <vertAlign val="baseline"/>
        <sz val="11"/>
        <color theme="1"/>
        <name val="Calibri"/>
        <scheme val="minor"/>
      </font>
    </dxf>
    <dxf>
      <font>
        <b val="0"/>
        <i/>
        <strike val="0"/>
        <condense val="0"/>
        <extend val="0"/>
        <outline val="0"/>
        <shadow val="0"/>
        <u val="none"/>
        <vertAlign val="baseline"/>
        <sz val="11"/>
        <color theme="1"/>
        <name val="Calibri"/>
        <scheme val="minor"/>
      </font>
    </dxf>
    <dxf>
      <font>
        <b val="0"/>
        <i/>
        <strike val="0"/>
        <condense val="0"/>
        <extend val="0"/>
        <outline val="0"/>
        <shadow val="0"/>
        <u val="none"/>
        <vertAlign val="baseline"/>
        <sz val="11"/>
        <color theme="1"/>
        <name val="Calibri"/>
        <scheme val="minor"/>
      </font>
    </dxf>
    <dxf>
      <font>
        <b val="0"/>
        <i/>
        <strike val="0"/>
        <condense val="0"/>
        <extend val="0"/>
        <outline val="0"/>
        <shadow val="0"/>
        <u val="none"/>
        <vertAlign val="baseline"/>
        <sz val="11"/>
        <color theme="1"/>
        <name val="Calibri"/>
        <scheme val="minor"/>
      </font>
    </dxf>
    <dxf>
      <font>
        <b val="0"/>
        <i/>
        <strike val="0"/>
        <condense val="0"/>
        <extend val="0"/>
        <outline val="0"/>
        <shadow val="0"/>
        <u val="none"/>
        <vertAlign val="baseline"/>
        <sz val="11"/>
        <color theme="1"/>
        <name val="Calibri"/>
        <scheme val="minor"/>
      </font>
    </dxf>
    <dxf>
      <font>
        <b val="0"/>
        <i/>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strike val="0"/>
        <condense val="0"/>
        <extend val="0"/>
        <outline val="0"/>
        <shadow val="0"/>
        <u val="none"/>
        <vertAlign val="baseline"/>
        <sz val="11"/>
        <color theme="1"/>
        <name val="Calibri"/>
        <scheme val="minor"/>
      </font>
    </dxf>
    <dxf>
      <font>
        <b val="0"/>
        <i/>
        <strike val="0"/>
        <condense val="0"/>
        <extend val="0"/>
        <outline val="0"/>
        <shadow val="0"/>
        <u val="none"/>
        <vertAlign val="baseline"/>
        <sz val="11"/>
        <color theme="1"/>
        <name val="Calibri"/>
        <scheme val="minor"/>
      </font>
    </dxf>
    <dxf>
      <numFmt numFmtId="2" formatCode="0.00"/>
      <border diagonalUp="0" diagonalDown="0" outline="0">
        <left style="thin">
          <color indexed="64"/>
        </left>
        <right/>
        <top style="thin">
          <color indexed="64"/>
        </top>
        <bottom/>
      </border>
    </dxf>
    <dxf>
      <numFmt numFmtId="2" formatCode="0.00"/>
      <border diagonalUp="0" diagonalDown="0" outline="0">
        <left style="thin">
          <color indexed="64"/>
        </left>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numFmt numFmtId="0" formatCode="General"/>
      <border diagonalUp="0" diagonalDown="0" outline="0">
        <left/>
        <right style="thin">
          <color indexed="64"/>
        </right>
        <top style="thin">
          <color indexed="64"/>
        </top>
        <bottom/>
      </border>
    </dxf>
    <dxf>
      <numFmt numFmtId="0" formatCode="General"/>
      <border diagonalUp="0" diagonalDown="0">
        <left/>
        <right style="thin">
          <color indexed="64"/>
        </right>
        <top style="thin">
          <color indexed="64"/>
        </top>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s>
  <tableStyles count="1" defaultPivotStyle="PivotStyleLight16">
    <tableStyle name="Table Style 1" pivot="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18" Type="http://schemas.openxmlformats.org/officeDocument/2006/relationships/styles" Target="styles.xml" /><Relationship Id="rId3" Type="http://schemas.openxmlformats.org/officeDocument/2006/relationships/worksheet" Target="worksheets/sheet3.xml" /><Relationship Id="rId21" Type="http://schemas.openxmlformats.org/officeDocument/2006/relationships/customXml" Target="../customXml/item1.xml" /><Relationship Id="rId7" Type="http://schemas.openxmlformats.org/officeDocument/2006/relationships/worksheet" Target="worksheets/sheet7.xml" /><Relationship Id="rId12" Type="http://schemas.openxmlformats.org/officeDocument/2006/relationships/worksheet" Target="worksheets/sheet12.xml" /><Relationship Id="rId17" Type="http://schemas.openxmlformats.org/officeDocument/2006/relationships/connections" Target="connections.xml" /><Relationship Id="rId2" Type="http://schemas.openxmlformats.org/officeDocument/2006/relationships/worksheet" Target="worksheets/sheet2.xml" /><Relationship Id="rId16" Type="http://schemas.openxmlformats.org/officeDocument/2006/relationships/theme" Target="theme/theme1.xml" /><Relationship Id="rId20" Type="http://schemas.openxmlformats.org/officeDocument/2006/relationships/calcChain" Target="calcChain.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5" Type="http://schemas.openxmlformats.org/officeDocument/2006/relationships/worksheet" Target="worksheets/sheet15.xml" /><Relationship Id="rId10" Type="http://schemas.openxmlformats.org/officeDocument/2006/relationships/worksheet" Target="worksheets/sheet10.xml" /><Relationship Id="rId19" Type="http://schemas.openxmlformats.org/officeDocument/2006/relationships/sharedStrings" Target="sharedStrings.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worksheet" Target="worksheets/sheet14.xml" /></Relationships>
</file>

<file path=xl/ctrlProps/ctrlProp1.xml><?xml version="1.0" encoding="utf-8"?>
<formControlPr xmlns="http://schemas.microsoft.com/office/spreadsheetml/2009/9/main" objectType="Radio" firstButton="1" fmlaLink="$S$1" lockText="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checked="Checked"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Radio" lockText="1" noThreeD="1"/>
</file>

<file path=xl/ctrlProps/ctrlProp6.xml><?xml version="1.0" encoding="utf-8"?>
<formControlPr xmlns="http://schemas.microsoft.com/office/spreadsheetml/2009/9/main" objectType="GBox" noThreeD="1"/>
</file>

<file path=xl/ctrlProps/ctrlProp7.xml><?xml version="1.0" encoding="utf-8"?>
<formControlPr xmlns="http://schemas.microsoft.com/office/spreadsheetml/2009/9/main" objectType="GBox"/>
</file>

<file path=xl/ctrlProps/ctrlProp8.xml><?xml version="1.0" encoding="utf-8"?>
<formControlPr xmlns="http://schemas.microsoft.com/office/spreadsheetml/2009/9/main" objectType="Radio" firstButton="1" fmlaLink="$R$1"/>
</file>

<file path=xl/ctrlProps/ctrlProp9.xml><?xml version="1.0" encoding="utf-8"?>
<formControlPr xmlns="http://schemas.microsoft.com/office/spreadsheetml/2009/9/main" objectType="Radio" checked="Checked" lockText="1"/>
</file>

<file path=xl/ctrlProps/ctrlProp10.xml><?xml version="1.0" encoding="utf-8"?>
<formControlPr xmlns="http://schemas.microsoft.com/office/spreadsheetml/2009/9/main" objectType="Radio" lockText="1"/>
</file>

<file path=xl/drawings/_rels/drawing2.xml.rels><?xml version="1.0" encoding="UTF-8" standalone="yes"?>
<Relationships xmlns="http://schemas.openxmlformats.org/package/2006/relationships"><Relationship Id="rId1" Type="http://schemas.openxmlformats.org/officeDocument/2006/relationships/image" Target="../media/image1.png" /></Relationships>
</file>

<file path=xl/drawings/_rels/drawing3.xml.rels><?xml version="1.0" encoding="UTF-8" standalone="yes"?>
<Relationships xmlns="http://schemas.openxmlformats.org/package/2006/relationships"><Relationship Id="rId3" Type="http://schemas.openxmlformats.org/officeDocument/2006/relationships/image" Target="../media/image4.png" /><Relationship Id="rId2" Type="http://schemas.openxmlformats.org/officeDocument/2006/relationships/image" Target="../media/image3.png" /><Relationship Id="rId1" Type="http://schemas.openxmlformats.org/officeDocument/2006/relationships/image" Target="../media/image2.png" /><Relationship Id="rId6" Type="http://schemas.openxmlformats.org/officeDocument/2006/relationships/image" Target="../media/image7.png" /><Relationship Id="rId5" Type="http://schemas.openxmlformats.org/officeDocument/2006/relationships/image" Target="../media/image6.png" /><Relationship Id="rId4" Type="http://schemas.openxmlformats.org/officeDocument/2006/relationships/image" Target="../media/image5.png" /></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 /><Relationship Id="rId2" Type="http://schemas.openxmlformats.org/officeDocument/2006/relationships/image" Target="../media/image9.png" /><Relationship Id="rId1" Type="http://schemas.openxmlformats.org/officeDocument/2006/relationships/image" Target="../media/image8.png" /><Relationship Id="rId4" Type="http://schemas.openxmlformats.org/officeDocument/2006/relationships/image" Target="../media/image11.png" /></Relationships>
</file>

<file path=xl/drawings/_rels/drawing5.xml.rels><?xml version="1.0" encoding="UTF-8" standalone="yes"?>
<Relationships xmlns="http://schemas.openxmlformats.org/package/2006/relationships"><Relationship Id="rId8" Type="http://schemas.openxmlformats.org/officeDocument/2006/relationships/image" Target="../media/image19.png" /><Relationship Id="rId13" Type="http://schemas.openxmlformats.org/officeDocument/2006/relationships/image" Target="../media/image24.png" /><Relationship Id="rId3" Type="http://schemas.openxmlformats.org/officeDocument/2006/relationships/image" Target="../media/image14.png" /><Relationship Id="rId7" Type="http://schemas.openxmlformats.org/officeDocument/2006/relationships/image" Target="../media/image18.png" /><Relationship Id="rId12" Type="http://schemas.openxmlformats.org/officeDocument/2006/relationships/image" Target="../media/image23.png" /><Relationship Id="rId2" Type="http://schemas.openxmlformats.org/officeDocument/2006/relationships/image" Target="../media/image13.png" /><Relationship Id="rId16" Type="http://schemas.openxmlformats.org/officeDocument/2006/relationships/image" Target="../media/image27.png" /><Relationship Id="rId1" Type="http://schemas.openxmlformats.org/officeDocument/2006/relationships/image" Target="../media/image12.png" /><Relationship Id="rId6" Type="http://schemas.openxmlformats.org/officeDocument/2006/relationships/image" Target="../media/image17.png" /><Relationship Id="rId11" Type="http://schemas.openxmlformats.org/officeDocument/2006/relationships/image" Target="../media/image22.png" /><Relationship Id="rId5" Type="http://schemas.openxmlformats.org/officeDocument/2006/relationships/image" Target="../media/image16.png" /><Relationship Id="rId15" Type="http://schemas.openxmlformats.org/officeDocument/2006/relationships/image" Target="../media/image26.png" /><Relationship Id="rId10" Type="http://schemas.openxmlformats.org/officeDocument/2006/relationships/image" Target="../media/image21.png" /><Relationship Id="rId4" Type="http://schemas.openxmlformats.org/officeDocument/2006/relationships/image" Target="../media/image15.png" /><Relationship Id="rId9" Type="http://schemas.openxmlformats.org/officeDocument/2006/relationships/image" Target="../media/image20.png" /><Relationship Id="rId14" Type="http://schemas.openxmlformats.org/officeDocument/2006/relationships/image" Target="../media/image25.png" /></Relationships>
</file>

<file path=xl/drawings/_rels/drawing6.xml.rels><?xml version="1.0" encoding="UTF-8" standalone="yes"?>
<Relationships xmlns="http://schemas.openxmlformats.org/package/2006/relationships"><Relationship Id="rId8" Type="http://schemas.openxmlformats.org/officeDocument/2006/relationships/image" Target="../media/image19.png" /><Relationship Id="rId13" Type="http://schemas.openxmlformats.org/officeDocument/2006/relationships/image" Target="../media/image24.png" /><Relationship Id="rId3" Type="http://schemas.openxmlformats.org/officeDocument/2006/relationships/image" Target="../media/image14.png" /><Relationship Id="rId7" Type="http://schemas.openxmlformats.org/officeDocument/2006/relationships/image" Target="../media/image18.png" /><Relationship Id="rId12" Type="http://schemas.openxmlformats.org/officeDocument/2006/relationships/image" Target="../media/image23.png" /><Relationship Id="rId2" Type="http://schemas.openxmlformats.org/officeDocument/2006/relationships/image" Target="../media/image13.png" /><Relationship Id="rId16" Type="http://schemas.openxmlformats.org/officeDocument/2006/relationships/image" Target="../media/image27.png" /><Relationship Id="rId1" Type="http://schemas.openxmlformats.org/officeDocument/2006/relationships/image" Target="../media/image12.png" /><Relationship Id="rId6" Type="http://schemas.openxmlformats.org/officeDocument/2006/relationships/image" Target="../media/image17.png" /><Relationship Id="rId11" Type="http://schemas.openxmlformats.org/officeDocument/2006/relationships/image" Target="../media/image22.png" /><Relationship Id="rId5" Type="http://schemas.openxmlformats.org/officeDocument/2006/relationships/image" Target="../media/image16.png" /><Relationship Id="rId15" Type="http://schemas.openxmlformats.org/officeDocument/2006/relationships/image" Target="../media/image26.png" /><Relationship Id="rId10" Type="http://schemas.openxmlformats.org/officeDocument/2006/relationships/image" Target="../media/image21.png" /><Relationship Id="rId4" Type="http://schemas.openxmlformats.org/officeDocument/2006/relationships/image" Target="../media/image15.png" /><Relationship Id="rId9" Type="http://schemas.openxmlformats.org/officeDocument/2006/relationships/image" Target="../media/image20.png" /><Relationship Id="rId14" Type="http://schemas.openxmlformats.org/officeDocument/2006/relationships/image" Target="../media/image25.png" /></Relationships>
</file>

<file path=xl/drawings/_rels/drawing7.xml.rels><?xml version="1.0" encoding="UTF-8" standalone="yes"?>
<Relationships xmlns="http://schemas.openxmlformats.org/package/2006/relationships"><Relationship Id="rId3" Type="http://schemas.openxmlformats.org/officeDocument/2006/relationships/image" Target="../media/image30.png" /><Relationship Id="rId2" Type="http://schemas.openxmlformats.org/officeDocument/2006/relationships/image" Target="../media/image29.png" /><Relationship Id="rId1" Type="http://schemas.openxmlformats.org/officeDocument/2006/relationships/image" Target="../media/image28.png" /><Relationship Id="rId6" Type="http://schemas.openxmlformats.org/officeDocument/2006/relationships/image" Target="../media/image33.png" /><Relationship Id="rId5" Type="http://schemas.openxmlformats.org/officeDocument/2006/relationships/image" Target="../media/image32.png" /><Relationship Id="rId4" Type="http://schemas.openxmlformats.org/officeDocument/2006/relationships/image" Target="../media/image31.png" /></Relationships>
</file>

<file path=xl/drawings/_rels/drawing8.xml.rels><?xml version="1.0" encoding="UTF-8" standalone="yes"?>
<Relationships xmlns="http://schemas.openxmlformats.org/package/2006/relationships"><Relationship Id="rId2" Type="http://schemas.openxmlformats.org/officeDocument/2006/relationships/image" Target="../media/image35.png" /><Relationship Id="rId1" Type="http://schemas.openxmlformats.org/officeDocument/2006/relationships/image" Target="../media/image34.png" /></Relationships>
</file>

<file path=xl/drawings/_rels/drawing9.xml.rels><?xml version="1.0" encoding="UTF-8" standalone="yes"?>
<Relationships xmlns="http://schemas.openxmlformats.org/package/2006/relationships"><Relationship Id="rId8" Type="http://schemas.openxmlformats.org/officeDocument/2006/relationships/image" Target="../media/image43.png" /><Relationship Id="rId13" Type="http://schemas.openxmlformats.org/officeDocument/2006/relationships/image" Target="../media/image48.png" /><Relationship Id="rId18" Type="http://schemas.openxmlformats.org/officeDocument/2006/relationships/image" Target="../media/image53.png" /><Relationship Id="rId3" Type="http://schemas.openxmlformats.org/officeDocument/2006/relationships/image" Target="../media/image38.png" /><Relationship Id="rId7" Type="http://schemas.openxmlformats.org/officeDocument/2006/relationships/image" Target="../media/image42.png" /><Relationship Id="rId12" Type="http://schemas.openxmlformats.org/officeDocument/2006/relationships/image" Target="../media/image47.png" /><Relationship Id="rId17" Type="http://schemas.openxmlformats.org/officeDocument/2006/relationships/image" Target="../media/image52.png" /><Relationship Id="rId2" Type="http://schemas.openxmlformats.org/officeDocument/2006/relationships/image" Target="../media/image37.png" /><Relationship Id="rId16" Type="http://schemas.openxmlformats.org/officeDocument/2006/relationships/image" Target="../media/image51.png" /><Relationship Id="rId20" Type="http://schemas.openxmlformats.org/officeDocument/2006/relationships/image" Target="../media/image55.png" /><Relationship Id="rId1" Type="http://schemas.openxmlformats.org/officeDocument/2006/relationships/image" Target="../media/image36.png" /><Relationship Id="rId6" Type="http://schemas.openxmlformats.org/officeDocument/2006/relationships/image" Target="../media/image41.png" /><Relationship Id="rId11" Type="http://schemas.openxmlformats.org/officeDocument/2006/relationships/image" Target="../media/image46.png" /><Relationship Id="rId5" Type="http://schemas.openxmlformats.org/officeDocument/2006/relationships/image" Target="../media/image40.png" /><Relationship Id="rId15" Type="http://schemas.openxmlformats.org/officeDocument/2006/relationships/image" Target="../media/image50.png" /><Relationship Id="rId10" Type="http://schemas.openxmlformats.org/officeDocument/2006/relationships/image" Target="../media/image45.png" /><Relationship Id="rId19" Type="http://schemas.openxmlformats.org/officeDocument/2006/relationships/image" Target="../media/image54.png" /><Relationship Id="rId4" Type="http://schemas.openxmlformats.org/officeDocument/2006/relationships/image" Target="../media/image39.png" /><Relationship Id="rId9" Type="http://schemas.openxmlformats.org/officeDocument/2006/relationships/image" Target="../media/image44.png" /><Relationship Id="rId14" Type="http://schemas.openxmlformats.org/officeDocument/2006/relationships/image" Target="../media/image49.png" /></Relationships>
</file>

<file path=xl/drawings/_rels/drawing10.xml.rels><?xml version="1.0" encoding="UTF-8" standalone="yes"?>
<Relationships xmlns="http://schemas.openxmlformats.org/package/2006/relationships"><Relationship Id="rId8" Type="http://schemas.openxmlformats.org/officeDocument/2006/relationships/image" Target="../media/image63.png" /><Relationship Id="rId3" Type="http://schemas.openxmlformats.org/officeDocument/2006/relationships/image" Target="../media/image58.png" /><Relationship Id="rId7" Type="http://schemas.openxmlformats.org/officeDocument/2006/relationships/image" Target="../media/image62.png" /><Relationship Id="rId2" Type="http://schemas.openxmlformats.org/officeDocument/2006/relationships/image" Target="../media/image57.png" /><Relationship Id="rId1" Type="http://schemas.openxmlformats.org/officeDocument/2006/relationships/image" Target="../media/image56.png" /><Relationship Id="rId6" Type="http://schemas.openxmlformats.org/officeDocument/2006/relationships/image" Target="../media/image61.png" /><Relationship Id="rId11" Type="http://schemas.openxmlformats.org/officeDocument/2006/relationships/image" Target="../media/image66.png" /><Relationship Id="rId5" Type="http://schemas.openxmlformats.org/officeDocument/2006/relationships/image" Target="../media/image60.png" /><Relationship Id="rId10" Type="http://schemas.openxmlformats.org/officeDocument/2006/relationships/image" Target="../media/image65.png" /><Relationship Id="rId4" Type="http://schemas.openxmlformats.org/officeDocument/2006/relationships/image" Target="../media/image59.png" /><Relationship Id="rId9" Type="http://schemas.openxmlformats.org/officeDocument/2006/relationships/image" Target="../media/image64.png" /></Relationships>
</file>

<file path=xl/drawings/_rels/drawing11.xml.rels><?xml version="1.0" encoding="UTF-8" standalone="yes"?>
<Relationships xmlns="http://schemas.openxmlformats.org/package/2006/relationships"><Relationship Id="rId3" Type="http://schemas.openxmlformats.org/officeDocument/2006/relationships/image" Target="../media/image69.png" /><Relationship Id="rId7" Type="http://schemas.openxmlformats.org/officeDocument/2006/relationships/image" Target="../media/image73.png" /><Relationship Id="rId2" Type="http://schemas.openxmlformats.org/officeDocument/2006/relationships/image" Target="../media/image68.png" /><Relationship Id="rId1" Type="http://schemas.openxmlformats.org/officeDocument/2006/relationships/image" Target="../media/image67.png" /><Relationship Id="rId6" Type="http://schemas.openxmlformats.org/officeDocument/2006/relationships/image" Target="../media/image72.png" /><Relationship Id="rId5" Type="http://schemas.openxmlformats.org/officeDocument/2006/relationships/image" Target="../media/image71.png" /><Relationship Id="rId4" Type="http://schemas.openxmlformats.org/officeDocument/2006/relationships/image" Target="../media/image70.png" /></Relationships>
</file>

<file path=xl/drawings/_rels/drawing12.xml.rels><?xml version="1.0" encoding="UTF-8" standalone="yes"?>
<Relationships xmlns="http://schemas.openxmlformats.org/package/2006/relationships"><Relationship Id="rId8" Type="http://schemas.openxmlformats.org/officeDocument/2006/relationships/image" Target="../media/image81.png" /><Relationship Id="rId13" Type="http://schemas.openxmlformats.org/officeDocument/2006/relationships/image" Target="../media/image86.png" /><Relationship Id="rId18" Type="http://schemas.openxmlformats.org/officeDocument/2006/relationships/image" Target="../media/image49.png" /><Relationship Id="rId3" Type="http://schemas.openxmlformats.org/officeDocument/2006/relationships/image" Target="../media/image76.png" /><Relationship Id="rId21" Type="http://schemas.openxmlformats.org/officeDocument/2006/relationships/image" Target="../media/image43.png" /><Relationship Id="rId7" Type="http://schemas.openxmlformats.org/officeDocument/2006/relationships/image" Target="../media/image80.png" /><Relationship Id="rId12" Type="http://schemas.openxmlformats.org/officeDocument/2006/relationships/image" Target="../media/image85.png" /><Relationship Id="rId17" Type="http://schemas.openxmlformats.org/officeDocument/2006/relationships/image" Target="../media/image48.png" /><Relationship Id="rId2" Type="http://schemas.openxmlformats.org/officeDocument/2006/relationships/image" Target="../media/image75.png" /><Relationship Id="rId16" Type="http://schemas.openxmlformats.org/officeDocument/2006/relationships/image" Target="../media/image47.png" /><Relationship Id="rId20" Type="http://schemas.openxmlformats.org/officeDocument/2006/relationships/image" Target="../media/image42.png" /><Relationship Id="rId1" Type="http://schemas.openxmlformats.org/officeDocument/2006/relationships/image" Target="../media/image74.png" /><Relationship Id="rId6" Type="http://schemas.openxmlformats.org/officeDocument/2006/relationships/image" Target="../media/image79.png" /><Relationship Id="rId11" Type="http://schemas.openxmlformats.org/officeDocument/2006/relationships/image" Target="../media/image84.png" /><Relationship Id="rId5" Type="http://schemas.openxmlformats.org/officeDocument/2006/relationships/image" Target="../media/image78.png" /><Relationship Id="rId15" Type="http://schemas.openxmlformats.org/officeDocument/2006/relationships/image" Target="../media/image46.png" /><Relationship Id="rId10" Type="http://schemas.openxmlformats.org/officeDocument/2006/relationships/image" Target="../media/image83.png" /><Relationship Id="rId19" Type="http://schemas.openxmlformats.org/officeDocument/2006/relationships/image" Target="../media/image41.png" /><Relationship Id="rId4" Type="http://schemas.openxmlformats.org/officeDocument/2006/relationships/image" Target="../media/image77.png" /><Relationship Id="rId9" Type="http://schemas.openxmlformats.org/officeDocument/2006/relationships/image" Target="../media/image82.png" /><Relationship Id="rId14" Type="http://schemas.openxmlformats.org/officeDocument/2006/relationships/image" Target="../media/image45.png" /><Relationship Id="rId22" Type="http://schemas.openxmlformats.org/officeDocument/2006/relationships/image" Target="../media/image44.png" /></Relationships>
</file>

<file path=xl/drawings/_rels/drawing13.xml.rels><?xml version="1.0" encoding="UTF-8" standalone="yes"?>
<Relationships xmlns="http://schemas.openxmlformats.org/package/2006/relationships"><Relationship Id="rId1" Type="http://schemas.openxmlformats.org/officeDocument/2006/relationships/image" Target="../media/image87.png" /></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8</xdr:col>
          <xdr:colOff>110881</xdr:colOff>
          <xdr:row>2</xdr:row>
          <xdr:rowOff>76290</xdr:rowOff>
        </xdr:from>
        <xdr:to>
          <xdr:col>9</xdr:col>
          <xdr:colOff>164950</xdr:colOff>
          <xdr:row>12</xdr:row>
          <xdr:rowOff>171546</xdr:rowOff>
        </xdr:to>
        <xdr:grpSp>
          <xdr:nvGrpSpPr>
            <xdr:cNvPr id="19" name="Grup 18">
              <a:extLst>
                <a:ext uri="{FF2B5EF4-FFF2-40B4-BE49-F238E27FC236}">
                  <a16:creationId xmlns:a16="http://schemas.microsoft.com/office/drawing/2014/main" id="{00000000-0008-0000-0000-000013000000}"/>
                </a:ext>
              </a:extLst>
            </xdr:cNvPr>
            <xdr:cNvGrpSpPr/>
          </xdr:nvGrpSpPr>
          <xdr:grpSpPr>
            <a:xfrm>
              <a:off x="5426871" y="466988"/>
              <a:ext cx="665053" cy="2007184"/>
              <a:chOff x="4610100" y="485776"/>
              <a:chExt cx="666750" cy="2128836"/>
            </a:xfrm>
          </xdr:grpSpPr>
          <xdr:sp macro="" textlink="">
            <xdr:nvSpPr>
              <xdr:cNvPr id="11265" name="Option Button 1" hidden="1">
                <a:extLst>
                  <a:ext uri="{63B3BB69-23CF-44E3-9099-C40C66FF867C}">
                    <a14:compatExt spid="_x0000_s11265"/>
                  </a:ext>
                  <a:ext uri="{FF2B5EF4-FFF2-40B4-BE49-F238E27FC236}">
                    <a16:creationId xmlns:a16="http://schemas.microsoft.com/office/drawing/2014/main" id="{00000000-0008-0000-0000-0000012C0000}"/>
                  </a:ext>
                </a:extLst>
              </xdr:cNvPr>
              <xdr:cNvSpPr/>
            </xdr:nvSpPr>
            <xdr:spPr bwMode="auto">
              <a:xfrm>
                <a:off x="4610100" y="485776"/>
                <a:ext cx="666750" cy="56652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tr-TR" sz="800" b="0" i="0" u="none" strike="noStrike" baseline="0">
                    <a:solidFill>
                      <a:srgbClr val="000000"/>
                    </a:solidFill>
                    <a:latin typeface="Segoe UI"/>
                    <a:cs typeface="Segoe UI"/>
                  </a:rPr>
                  <a:t>0,4</a:t>
                </a:r>
              </a:p>
            </xdr:txBody>
          </xdr:sp>
          <xdr:sp macro="" textlink="">
            <xdr:nvSpPr>
              <xdr:cNvPr id="11266" name="Option Button 2" hidden="1">
                <a:extLst>
                  <a:ext uri="{63B3BB69-23CF-44E3-9099-C40C66FF867C}">
                    <a14:compatExt spid="_x0000_s11266"/>
                  </a:ext>
                  <a:ext uri="{FF2B5EF4-FFF2-40B4-BE49-F238E27FC236}">
                    <a16:creationId xmlns:a16="http://schemas.microsoft.com/office/drawing/2014/main" id="{00000000-0008-0000-0000-0000022C0000}"/>
                  </a:ext>
                </a:extLst>
              </xdr:cNvPr>
              <xdr:cNvSpPr/>
            </xdr:nvSpPr>
            <xdr:spPr bwMode="auto">
              <a:xfrm>
                <a:off x="4610100" y="871591"/>
                <a:ext cx="666750" cy="56652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tr-TR" sz="800" b="0" i="0" u="none" strike="noStrike" baseline="0">
                    <a:solidFill>
                      <a:srgbClr val="000000"/>
                    </a:solidFill>
                    <a:latin typeface="Segoe UI"/>
                    <a:cs typeface="Segoe UI"/>
                  </a:rPr>
                  <a:t>0,5</a:t>
                </a:r>
              </a:p>
            </xdr:txBody>
          </xdr:sp>
          <xdr:sp macro="" textlink="">
            <xdr:nvSpPr>
              <xdr:cNvPr id="11267" name="Option Button 3" hidden="1">
                <a:extLst>
                  <a:ext uri="{63B3BB69-23CF-44E3-9099-C40C66FF867C}">
                    <a14:compatExt spid="_x0000_s11267"/>
                  </a:ext>
                  <a:ext uri="{FF2B5EF4-FFF2-40B4-BE49-F238E27FC236}">
                    <a16:creationId xmlns:a16="http://schemas.microsoft.com/office/drawing/2014/main" id="{00000000-0008-0000-0000-0000032C0000}"/>
                  </a:ext>
                </a:extLst>
              </xdr:cNvPr>
              <xdr:cNvSpPr/>
            </xdr:nvSpPr>
            <xdr:spPr bwMode="auto">
              <a:xfrm>
                <a:off x="4610100" y="1257407"/>
                <a:ext cx="666750" cy="56652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tr-TR" sz="800" b="0" i="0" u="none" strike="noStrike" baseline="0">
                    <a:solidFill>
                      <a:srgbClr val="000000"/>
                    </a:solidFill>
                    <a:latin typeface="Segoe UI"/>
                    <a:cs typeface="Segoe UI"/>
                  </a:rPr>
                  <a:t>0,6</a:t>
                </a:r>
              </a:p>
            </xdr:txBody>
          </xdr:sp>
          <xdr:sp macro="" textlink="">
            <xdr:nvSpPr>
              <xdr:cNvPr id="11268" name="Option Button 4" hidden="1">
                <a:extLst>
                  <a:ext uri="{63B3BB69-23CF-44E3-9099-C40C66FF867C}">
                    <a14:compatExt spid="_x0000_s11268"/>
                  </a:ext>
                  <a:ext uri="{FF2B5EF4-FFF2-40B4-BE49-F238E27FC236}">
                    <a16:creationId xmlns:a16="http://schemas.microsoft.com/office/drawing/2014/main" id="{00000000-0008-0000-0000-0000042C0000}"/>
                  </a:ext>
                </a:extLst>
              </xdr:cNvPr>
              <xdr:cNvSpPr/>
            </xdr:nvSpPr>
            <xdr:spPr bwMode="auto">
              <a:xfrm>
                <a:off x="4610100" y="1652750"/>
                <a:ext cx="666750" cy="56652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tr-TR" sz="800" b="0" i="0" u="none" strike="noStrike" baseline="0">
                    <a:solidFill>
                      <a:srgbClr val="000000"/>
                    </a:solidFill>
                    <a:latin typeface="Segoe UI"/>
                    <a:cs typeface="Segoe UI"/>
                  </a:rPr>
                  <a:t>0,72</a:t>
                </a:r>
              </a:p>
            </xdr:txBody>
          </xdr:sp>
          <xdr:sp macro="" textlink="">
            <xdr:nvSpPr>
              <xdr:cNvPr id="11269" name="Option Button 5" hidden="1">
                <a:extLst>
                  <a:ext uri="{63B3BB69-23CF-44E3-9099-C40C66FF867C}">
                    <a14:compatExt spid="_x0000_s11269"/>
                  </a:ext>
                  <a:ext uri="{FF2B5EF4-FFF2-40B4-BE49-F238E27FC236}">
                    <a16:creationId xmlns:a16="http://schemas.microsoft.com/office/drawing/2014/main" id="{00000000-0008-0000-0000-0000052C0000}"/>
                  </a:ext>
                </a:extLst>
              </xdr:cNvPr>
              <xdr:cNvSpPr/>
            </xdr:nvSpPr>
            <xdr:spPr bwMode="auto">
              <a:xfrm>
                <a:off x="4610100" y="2048092"/>
                <a:ext cx="666750" cy="56652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tr-TR" sz="800" b="0" i="0" u="none" strike="noStrike" baseline="0">
                    <a:solidFill>
                      <a:srgbClr val="000000"/>
                    </a:solidFill>
                    <a:latin typeface="Segoe UI"/>
                    <a:cs typeface="Segoe UI"/>
                  </a:rPr>
                  <a:t>0,8</a:t>
                </a:r>
              </a:p>
            </xdr:txBody>
          </xdr:sp>
        </xdr:grp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76200</xdr:colOff>
          <xdr:row>1</xdr:row>
          <xdr:rowOff>175260</xdr:rowOff>
        </xdr:from>
        <xdr:to>
          <xdr:col>9</xdr:col>
          <xdr:colOff>327660</xdr:colOff>
          <xdr:row>14</xdr:row>
          <xdr:rowOff>76200</xdr:rowOff>
        </xdr:to>
        <xdr:sp macro="" textlink="">
          <xdr:nvSpPr>
            <xdr:cNvPr id="11272" name="Group Box 8" hidden="1">
              <a:extLst>
                <a:ext uri="{63B3BB69-23CF-44E3-9099-C40C66FF867C}">
                  <a14:compatExt spid="_x0000_s11272"/>
                </a:ext>
                <a:ext uri="{FF2B5EF4-FFF2-40B4-BE49-F238E27FC236}">
                  <a16:creationId xmlns:a16="http://schemas.microsoft.com/office/drawing/2014/main" id="{00000000-0008-0000-0000-0000082C0000}"/>
                </a:ext>
              </a:extLst>
            </xdr:cNvPr>
            <xdr:cNvSpPr/>
          </xdr:nvSpPr>
          <xdr:spPr bwMode="auto">
            <a:xfrm>
              <a:off x="0" y="0"/>
              <a:ext cx="0" cy="0"/>
            </a:xfrm>
            <a:prstGeom prst="rect">
              <a:avLst/>
            </a:prstGeom>
            <a:noFill/>
            <a:ln w="9525">
              <a:solidFill>
                <a:srgbClr val="000000" mc:Ignorable="a14" a14:legacySpreadsheetColorIndex="64"/>
              </a:solidFill>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tr-TR" sz="800" b="0" i="0" u="none" strike="noStrike" baseline="0">
                  <a:solidFill>
                    <a:srgbClr val="000000"/>
                  </a:solidFill>
                  <a:latin typeface="Segoe UI"/>
                  <a:cs typeface="Segoe UI"/>
                </a:rPr>
                <a:t>Design Factor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83820</xdr:colOff>
          <xdr:row>2</xdr:row>
          <xdr:rowOff>121920</xdr:rowOff>
        </xdr:from>
        <xdr:to>
          <xdr:col>7</xdr:col>
          <xdr:colOff>365760</xdr:colOff>
          <xdr:row>12</xdr:row>
          <xdr:rowOff>60960</xdr:rowOff>
        </xdr:to>
        <xdr:sp macro="" textlink="">
          <xdr:nvSpPr>
            <xdr:cNvPr id="11273" name="Group Box 9" hidden="1">
              <a:extLst>
                <a:ext uri="{63B3BB69-23CF-44E3-9099-C40C66FF867C}">
                  <a14:compatExt spid="_x0000_s11273"/>
                </a:ext>
                <a:ext uri="{FF2B5EF4-FFF2-40B4-BE49-F238E27FC236}">
                  <a16:creationId xmlns:a16="http://schemas.microsoft.com/office/drawing/2014/main" id="{00000000-0008-0000-0000-0000092C0000}"/>
                </a:ext>
              </a:extLst>
            </xdr:cNvPr>
            <xdr:cNvSpPr/>
          </xdr:nvSpPr>
          <xdr:spPr bwMode="auto">
            <a:xfrm>
              <a:off x="0" y="0"/>
              <a:ext cx="0" cy="0"/>
            </a:xfrm>
            <a:prstGeom prst="rect">
              <a:avLst/>
            </a:prstGeom>
            <a:noFill/>
            <a:ln w="9525">
              <a:solidFill>
                <a:srgbClr val="000000" mc:Ignorable="a14" a14:legacySpreadsheetColorIndex="64"/>
              </a:solidFill>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tr-TR" sz="800" b="0" i="0" u="none" strike="noStrike" baseline="0">
                  <a:solidFill>
                    <a:srgbClr val="000000"/>
                  </a:solidFill>
                  <a:latin typeface="Segoe UI"/>
                  <a:cs typeface="Segoe UI"/>
                </a:rPr>
                <a:t>Design Type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137160</xdr:colOff>
          <xdr:row>3</xdr:row>
          <xdr:rowOff>38100</xdr:rowOff>
        </xdr:from>
        <xdr:to>
          <xdr:col>7</xdr:col>
          <xdr:colOff>312420</xdr:colOff>
          <xdr:row>5</xdr:row>
          <xdr:rowOff>175260</xdr:rowOff>
        </xdr:to>
        <xdr:sp macro="" textlink="">
          <xdr:nvSpPr>
            <xdr:cNvPr id="11283" name="Option Button 19" descr="Station" hidden="1">
              <a:extLst>
                <a:ext uri="{63B3BB69-23CF-44E3-9099-C40C66FF867C}">
                  <a14:compatExt spid="_x0000_s11283"/>
                </a:ext>
                <a:ext uri="{FF2B5EF4-FFF2-40B4-BE49-F238E27FC236}">
                  <a16:creationId xmlns:a16="http://schemas.microsoft.com/office/drawing/2014/main" id="{00000000-0008-0000-0000-0000132C0000}"/>
                </a:ext>
              </a:extLst>
            </xdr:cNvPr>
            <xdr:cNvSpPr/>
          </xdr:nvSpPr>
          <xdr:spPr bwMode="auto">
            <a:xfrm>
              <a:off x="0" y="0"/>
              <a:ext cx="0" cy="0"/>
            </a:xfrm>
            <a:prstGeom prst="rect">
              <a:avLst/>
            </a:prstGeom>
            <a:solidFill>
              <a:srgbClr val="808080" mc:Ignorable="a14" a14:legacySpreadsheetColorIndex="23"/>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tr-TR" sz="800" b="0" i="0" u="none" strike="noStrike" baseline="0">
                  <a:solidFill>
                    <a:srgbClr val="000000"/>
                  </a:solidFill>
                  <a:latin typeface="Segoe UI"/>
                  <a:cs typeface="Segoe UI"/>
                </a:rPr>
                <a:t>Station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121920</xdr:colOff>
          <xdr:row>6</xdr:row>
          <xdr:rowOff>68580</xdr:rowOff>
        </xdr:from>
        <xdr:to>
          <xdr:col>7</xdr:col>
          <xdr:colOff>312420</xdr:colOff>
          <xdr:row>9</xdr:row>
          <xdr:rowOff>22860</xdr:rowOff>
        </xdr:to>
        <xdr:sp macro="" textlink="">
          <xdr:nvSpPr>
            <xdr:cNvPr id="11271" name="Option Button 7" hidden="1">
              <a:extLst>
                <a:ext uri="{63B3BB69-23CF-44E3-9099-C40C66FF867C}">
                  <a14:compatExt spid="_x0000_s11271"/>
                </a:ext>
                <a:ext uri="{FF2B5EF4-FFF2-40B4-BE49-F238E27FC236}">
                  <a16:creationId xmlns:a16="http://schemas.microsoft.com/office/drawing/2014/main" id="{00000000-0008-0000-0000-0000072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tr-TR" sz="800" b="0" i="0" u="none" strike="noStrike" baseline="0">
                  <a:solidFill>
                    <a:srgbClr val="000000"/>
                  </a:solidFill>
                  <a:latin typeface="Segoe UI"/>
                  <a:cs typeface="Segoe UI"/>
                </a:rPr>
                <a:t>Pipeline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121920</xdr:colOff>
          <xdr:row>9</xdr:row>
          <xdr:rowOff>68580</xdr:rowOff>
        </xdr:from>
        <xdr:to>
          <xdr:col>7</xdr:col>
          <xdr:colOff>312420</xdr:colOff>
          <xdr:row>12</xdr:row>
          <xdr:rowOff>22860</xdr:rowOff>
        </xdr:to>
        <xdr:sp macro="" textlink="">
          <xdr:nvSpPr>
            <xdr:cNvPr id="11270" name="Option Button 6" hidden="1">
              <a:extLst>
                <a:ext uri="{63B3BB69-23CF-44E3-9099-C40C66FF867C}">
                  <a14:compatExt spid="_x0000_s11270"/>
                </a:ext>
                <a:ext uri="{FF2B5EF4-FFF2-40B4-BE49-F238E27FC236}">
                  <a16:creationId xmlns:a16="http://schemas.microsoft.com/office/drawing/2014/main" id="{00000000-0008-0000-0000-0000062C0000}"/>
                </a:ext>
              </a:extLst>
            </xdr:cNvPr>
            <xdr:cNvSpPr/>
          </xdr:nvSpPr>
          <xdr:spPr bwMode="auto">
            <a:xfrm>
              <a:off x="0" y="0"/>
              <a:ext cx="0" cy="0"/>
            </a:xfrm>
            <a:prstGeom prst="rect">
              <a:avLst/>
            </a:prstGeom>
            <a:solidFill>
              <a:srgbClr val="969696" mc:Ignorable="a14" a14:legacySpreadsheetColorIndex="5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tr-TR" sz="800" b="0" i="0" u="none" strike="noStrike" baseline="0">
                  <a:solidFill>
                    <a:srgbClr val="000000"/>
                  </a:solidFill>
                  <a:latin typeface="Segoe UI"/>
                  <a:cs typeface="Segoe UI"/>
                </a:rPr>
                <a:t>Pig Or Valve Station</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15</xdr:col>
      <xdr:colOff>76200</xdr:colOff>
      <xdr:row>8</xdr:row>
      <xdr:rowOff>95250</xdr:rowOff>
    </xdr:from>
    <xdr:to>
      <xdr:col>15</xdr:col>
      <xdr:colOff>552450</xdr:colOff>
      <xdr:row>8</xdr:row>
      <xdr:rowOff>95250</xdr:rowOff>
    </xdr:to>
    <xdr:cxnSp macro="">
      <xdr:nvCxnSpPr>
        <xdr:cNvPr id="3" name="Düz Ok Bağlayıcısı 2">
          <a:extLst>
            <a:ext uri="{FF2B5EF4-FFF2-40B4-BE49-F238E27FC236}">
              <a16:creationId xmlns:a16="http://schemas.microsoft.com/office/drawing/2014/main" id="{00000000-0008-0000-0100-000003000000}"/>
            </a:ext>
          </a:extLst>
        </xdr:cNvPr>
        <xdr:cNvCxnSpPr/>
      </xdr:nvCxnSpPr>
      <xdr:spPr>
        <a:xfrm>
          <a:off x="12792075" y="6943725"/>
          <a:ext cx="4762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76200</xdr:colOff>
      <xdr:row>7</xdr:row>
      <xdr:rowOff>85725</xdr:rowOff>
    </xdr:from>
    <xdr:to>
      <xdr:col>15</xdr:col>
      <xdr:colOff>552450</xdr:colOff>
      <xdr:row>7</xdr:row>
      <xdr:rowOff>85725</xdr:rowOff>
    </xdr:to>
    <xdr:cxnSp macro="">
      <xdr:nvCxnSpPr>
        <xdr:cNvPr id="5" name="Düz Ok Bağlayıcısı 4">
          <a:extLst>
            <a:ext uri="{FF2B5EF4-FFF2-40B4-BE49-F238E27FC236}">
              <a16:creationId xmlns:a16="http://schemas.microsoft.com/office/drawing/2014/main" id="{00000000-0008-0000-0100-000005000000}"/>
            </a:ext>
          </a:extLst>
        </xdr:cNvPr>
        <xdr:cNvCxnSpPr/>
      </xdr:nvCxnSpPr>
      <xdr:spPr>
        <a:xfrm>
          <a:off x="12096750" y="1447800"/>
          <a:ext cx="4762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85725</xdr:colOff>
      <xdr:row>9</xdr:row>
      <xdr:rowOff>95250</xdr:rowOff>
    </xdr:from>
    <xdr:to>
      <xdr:col>15</xdr:col>
      <xdr:colOff>561975</xdr:colOff>
      <xdr:row>9</xdr:row>
      <xdr:rowOff>95250</xdr:rowOff>
    </xdr:to>
    <xdr:cxnSp macro="">
      <xdr:nvCxnSpPr>
        <xdr:cNvPr id="7" name="Düz Ok Bağlayıcısı 6">
          <a:extLst>
            <a:ext uri="{FF2B5EF4-FFF2-40B4-BE49-F238E27FC236}">
              <a16:creationId xmlns:a16="http://schemas.microsoft.com/office/drawing/2014/main" id="{00000000-0008-0000-0100-000007000000}"/>
            </a:ext>
          </a:extLst>
        </xdr:cNvPr>
        <xdr:cNvCxnSpPr/>
      </xdr:nvCxnSpPr>
      <xdr:spPr>
        <a:xfrm>
          <a:off x="12106275" y="1847850"/>
          <a:ext cx="4762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11</xdr:col>
      <xdr:colOff>507999</xdr:colOff>
      <xdr:row>48</xdr:row>
      <xdr:rowOff>42333</xdr:rowOff>
    </xdr:from>
    <xdr:to>
      <xdr:col>27</xdr:col>
      <xdr:colOff>542176</xdr:colOff>
      <xdr:row>66</xdr:row>
      <xdr:rowOff>49406</xdr:rowOff>
    </xdr:to>
    <xdr:pic>
      <xdr:nvPicPr>
        <xdr:cNvPr id="2" name="Resim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9556749" y="9376833"/>
          <a:ext cx="6687483" cy="518232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15</xdr:col>
      <xdr:colOff>152400</xdr:colOff>
      <xdr:row>2</xdr:row>
      <xdr:rowOff>0</xdr:rowOff>
    </xdr:from>
    <xdr:to>
      <xdr:col>33</xdr:col>
      <xdr:colOff>135062</xdr:colOff>
      <xdr:row>13</xdr:row>
      <xdr:rowOff>149943</xdr:rowOff>
    </xdr:to>
    <xdr:pic>
      <xdr:nvPicPr>
        <xdr:cNvPr id="3" name="Resim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11306175" y="400050"/>
          <a:ext cx="10955462" cy="2426418"/>
        </a:xfrm>
        <a:prstGeom prst="rect">
          <a:avLst/>
        </a:prstGeom>
      </xdr:spPr>
    </xdr:pic>
    <xdr:clientData/>
  </xdr:twoCellAnchor>
  <xdr:twoCellAnchor editAs="oneCell">
    <xdr:from>
      <xdr:col>0</xdr:col>
      <xdr:colOff>209550</xdr:colOff>
      <xdr:row>18</xdr:row>
      <xdr:rowOff>9525</xdr:rowOff>
    </xdr:from>
    <xdr:to>
      <xdr:col>7</xdr:col>
      <xdr:colOff>790734</xdr:colOff>
      <xdr:row>39</xdr:row>
      <xdr:rowOff>114300</xdr:rowOff>
    </xdr:to>
    <xdr:pic>
      <xdr:nvPicPr>
        <xdr:cNvPr id="5" name="Resim 4">
          <a:extLst>
            <a:ext uri="{FF2B5EF4-FFF2-40B4-BE49-F238E27FC236}">
              <a16:creationId xmlns:a16="http://schemas.microsoft.com/office/drawing/2014/main" id="{00000000-0008-0000-0200-000005000000}"/>
            </a:ext>
          </a:extLst>
        </xdr:cNvPr>
        <xdr:cNvPicPr>
          <a:picLocks noChangeAspect="1"/>
        </xdr:cNvPicPr>
      </xdr:nvPicPr>
      <xdr:blipFill rotWithShape="1">
        <a:blip xmlns:r="http://schemas.openxmlformats.org/officeDocument/2006/relationships" r:embed="rId2"/>
        <a:srcRect l="31723" t="20558" r="29366" b="29251"/>
        <a:stretch/>
      </xdr:blipFill>
      <xdr:spPr>
        <a:xfrm>
          <a:off x="209550" y="3457575"/>
          <a:ext cx="5658009" cy="4105275"/>
        </a:xfrm>
        <a:prstGeom prst="rect">
          <a:avLst/>
        </a:prstGeom>
      </xdr:spPr>
    </xdr:pic>
    <xdr:clientData/>
  </xdr:twoCellAnchor>
  <xdr:twoCellAnchor editAs="oneCell">
    <xdr:from>
      <xdr:col>0</xdr:col>
      <xdr:colOff>152400</xdr:colOff>
      <xdr:row>40</xdr:row>
      <xdr:rowOff>38100</xdr:rowOff>
    </xdr:from>
    <xdr:to>
      <xdr:col>8</xdr:col>
      <xdr:colOff>104775</xdr:colOff>
      <xdr:row>60</xdr:row>
      <xdr:rowOff>62788</xdr:rowOff>
    </xdr:to>
    <xdr:pic>
      <xdr:nvPicPr>
        <xdr:cNvPr id="6" name="Resim 5">
          <a:extLst>
            <a:ext uri="{FF2B5EF4-FFF2-40B4-BE49-F238E27FC236}">
              <a16:creationId xmlns:a16="http://schemas.microsoft.com/office/drawing/2014/main" id="{00000000-0008-0000-0200-000006000000}"/>
            </a:ext>
          </a:extLst>
        </xdr:cNvPr>
        <xdr:cNvPicPr>
          <a:picLocks noChangeAspect="1"/>
        </xdr:cNvPicPr>
      </xdr:nvPicPr>
      <xdr:blipFill rotWithShape="1">
        <a:blip xmlns:r="http://schemas.openxmlformats.org/officeDocument/2006/relationships" r:embed="rId3"/>
        <a:srcRect l="31202" t="27874" r="30252" b="27120"/>
        <a:stretch/>
      </xdr:blipFill>
      <xdr:spPr>
        <a:xfrm>
          <a:off x="152400" y="7677150"/>
          <a:ext cx="5838825" cy="3834688"/>
        </a:xfrm>
        <a:prstGeom prst="rect">
          <a:avLst/>
        </a:prstGeom>
      </xdr:spPr>
    </xdr:pic>
    <xdr:clientData/>
  </xdr:twoCellAnchor>
  <xdr:twoCellAnchor editAs="oneCell">
    <xdr:from>
      <xdr:col>8</xdr:col>
      <xdr:colOff>76200</xdr:colOff>
      <xdr:row>17</xdr:row>
      <xdr:rowOff>123825</xdr:rowOff>
    </xdr:from>
    <xdr:to>
      <xdr:col>14</xdr:col>
      <xdr:colOff>552450</xdr:colOff>
      <xdr:row>48</xdr:row>
      <xdr:rowOff>89738</xdr:rowOff>
    </xdr:to>
    <xdr:pic>
      <xdr:nvPicPr>
        <xdr:cNvPr id="7" name="Resim 6">
          <a:extLst>
            <a:ext uri="{FF2B5EF4-FFF2-40B4-BE49-F238E27FC236}">
              <a16:creationId xmlns:a16="http://schemas.microsoft.com/office/drawing/2014/main" id="{00000000-0008-0000-0200-000007000000}"/>
            </a:ext>
          </a:extLst>
        </xdr:cNvPr>
        <xdr:cNvPicPr>
          <a:picLocks noChangeAspect="1"/>
        </xdr:cNvPicPr>
      </xdr:nvPicPr>
      <xdr:blipFill rotWithShape="1">
        <a:blip xmlns:r="http://schemas.openxmlformats.org/officeDocument/2006/relationships" r:embed="rId4"/>
        <a:srcRect l="31567" t="12038" r="30355" b="10544"/>
        <a:stretch/>
      </xdr:blipFill>
      <xdr:spPr>
        <a:xfrm>
          <a:off x="5962650" y="3381375"/>
          <a:ext cx="5133975" cy="5871413"/>
        </a:xfrm>
        <a:prstGeom prst="rect">
          <a:avLst/>
        </a:prstGeom>
      </xdr:spPr>
    </xdr:pic>
    <xdr:clientData/>
  </xdr:twoCellAnchor>
  <xdr:twoCellAnchor editAs="oneCell">
    <xdr:from>
      <xdr:col>15</xdr:col>
      <xdr:colOff>66675</xdr:colOff>
      <xdr:row>17</xdr:row>
      <xdr:rowOff>9525</xdr:rowOff>
    </xdr:from>
    <xdr:to>
      <xdr:col>24</xdr:col>
      <xdr:colOff>123825</xdr:colOff>
      <xdr:row>58</xdr:row>
      <xdr:rowOff>78433</xdr:rowOff>
    </xdr:to>
    <xdr:pic>
      <xdr:nvPicPr>
        <xdr:cNvPr id="9" name="Resim 8">
          <a:extLst>
            <a:ext uri="{FF2B5EF4-FFF2-40B4-BE49-F238E27FC236}">
              <a16:creationId xmlns:a16="http://schemas.microsoft.com/office/drawing/2014/main" id="{00000000-0008-0000-0200-000009000000}"/>
            </a:ext>
          </a:extLst>
        </xdr:cNvPr>
        <xdr:cNvPicPr>
          <a:picLocks noChangeAspect="1"/>
        </xdr:cNvPicPr>
      </xdr:nvPicPr>
      <xdr:blipFill rotWithShape="1">
        <a:blip xmlns:r="http://schemas.openxmlformats.org/officeDocument/2006/relationships" r:embed="rId5"/>
        <a:srcRect l="33611" t="10001" r="33981" b="8108"/>
        <a:stretch/>
      </xdr:blipFill>
      <xdr:spPr>
        <a:xfrm>
          <a:off x="11220450" y="3267075"/>
          <a:ext cx="5543550" cy="7879408"/>
        </a:xfrm>
        <a:prstGeom prst="rect">
          <a:avLst/>
        </a:prstGeom>
      </xdr:spPr>
    </xdr:pic>
    <xdr:clientData/>
  </xdr:twoCellAnchor>
  <xdr:twoCellAnchor editAs="oneCell">
    <xdr:from>
      <xdr:col>24</xdr:col>
      <xdr:colOff>0</xdr:colOff>
      <xdr:row>17</xdr:row>
      <xdr:rowOff>0</xdr:rowOff>
    </xdr:from>
    <xdr:to>
      <xdr:col>31</xdr:col>
      <xdr:colOff>288717</xdr:colOff>
      <xdr:row>42</xdr:row>
      <xdr:rowOff>76200</xdr:rowOff>
    </xdr:to>
    <xdr:pic>
      <xdr:nvPicPr>
        <xdr:cNvPr id="11" name="Resim 10">
          <a:extLst>
            <a:ext uri="{FF2B5EF4-FFF2-40B4-BE49-F238E27FC236}">
              <a16:creationId xmlns:a16="http://schemas.microsoft.com/office/drawing/2014/main" id="{00000000-0008-0000-0200-00000B000000}"/>
            </a:ext>
          </a:extLst>
        </xdr:cNvPr>
        <xdr:cNvPicPr>
          <a:picLocks noChangeAspect="1"/>
        </xdr:cNvPicPr>
      </xdr:nvPicPr>
      <xdr:blipFill rotWithShape="1">
        <a:blip xmlns:r="http://schemas.openxmlformats.org/officeDocument/2006/relationships" r:embed="rId6"/>
        <a:srcRect l="33610" t="25473" r="31529" b="8706"/>
        <a:stretch/>
      </xdr:blipFill>
      <xdr:spPr>
        <a:xfrm>
          <a:off x="15420975" y="3257550"/>
          <a:ext cx="4555917" cy="48387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19050</xdr:colOff>
      <xdr:row>39</xdr:row>
      <xdr:rowOff>123825</xdr:rowOff>
    </xdr:from>
    <xdr:to>
      <xdr:col>1</xdr:col>
      <xdr:colOff>2790825</xdr:colOff>
      <xdr:row>39</xdr:row>
      <xdr:rowOff>123825</xdr:rowOff>
    </xdr:to>
    <xdr:sp macro="" textlink="">
      <xdr:nvSpPr>
        <xdr:cNvPr id="2" name="Line 1">
          <a:extLst>
            <a:ext uri="{FF2B5EF4-FFF2-40B4-BE49-F238E27FC236}">
              <a16:creationId xmlns:a16="http://schemas.microsoft.com/office/drawing/2014/main" id="{00000000-0008-0000-0300-000002000000}"/>
            </a:ext>
          </a:extLst>
        </xdr:cNvPr>
        <xdr:cNvSpPr>
          <a:spLocks noChangeShapeType="1"/>
        </xdr:cNvSpPr>
      </xdr:nvSpPr>
      <xdr:spPr bwMode="auto">
        <a:xfrm>
          <a:off x="19050" y="7839075"/>
          <a:ext cx="3257550" cy="0"/>
        </a:xfrm>
        <a:prstGeom prst="line">
          <a:avLst/>
        </a:prstGeom>
        <a:noFill/>
        <a:ln w="9525" cap="flat">
          <a:solidFill>
            <a:srgbClr xmlns:mc="http://schemas.openxmlformats.org/markup-compatibility/2006" xmlns:a14="http://schemas.microsoft.com/office/drawing/2010/main" val="000000" mc:Ignorable="a14" a14:legacySpreadsheetColorIndex="8"/>
          </a:solidFill>
          <a:prstDash val="solid"/>
          <a:round/>
          <a:headEnd/>
          <a:tailEnd type="none" w="med" len="med"/>
        </a:ln>
        <a:extLst>
          <a:ext uri="{909E8E84-426E-40DD-AFC4-6F175D3DCCD1}">
            <a14:hiddenFill xmlns:a14="http://schemas.microsoft.com/office/drawing/2010/main">
              <a:noFill/>
            </a14:hiddenFill>
          </a:ext>
        </a:extLst>
      </xdr:spPr>
    </xdr:sp>
    <xdr:clientData/>
  </xdr:twoCellAnchor>
  <xdr:twoCellAnchor>
    <xdr:from>
      <xdr:col>5</xdr:col>
      <xdr:colOff>600075</xdr:colOff>
      <xdr:row>39</xdr:row>
      <xdr:rowOff>123825</xdr:rowOff>
    </xdr:from>
    <xdr:to>
      <xdr:col>11</xdr:col>
      <xdr:colOff>600075</xdr:colOff>
      <xdr:row>39</xdr:row>
      <xdr:rowOff>123825</xdr:rowOff>
    </xdr:to>
    <xdr:sp macro="" textlink="">
      <xdr:nvSpPr>
        <xdr:cNvPr id="3" name="Line 2">
          <a:extLst>
            <a:ext uri="{FF2B5EF4-FFF2-40B4-BE49-F238E27FC236}">
              <a16:creationId xmlns:a16="http://schemas.microsoft.com/office/drawing/2014/main" id="{00000000-0008-0000-0300-000003000000}"/>
            </a:ext>
          </a:extLst>
        </xdr:cNvPr>
        <xdr:cNvSpPr>
          <a:spLocks noChangeShapeType="1"/>
        </xdr:cNvSpPr>
      </xdr:nvSpPr>
      <xdr:spPr bwMode="auto">
        <a:xfrm>
          <a:off x="5143500" y="7839075"/>
          <a:ext cx="4686300" cy="0"/>
        </a:xfrm>
        <a:prstGeom prst="line">
          <a:avLst/>
        </a:prstGeom>
        <a:noFill/>
        <a:ln w="9525" cap="flat">
          <a:solidFill>
            <a:srgbClr xmlns:mc="http://schemas.openxmlformats.org/markup-compatibility/2006" xmlns:a14="http://schemas.microsoft.com/office/drawing/2010/main" val="000000" mc:Ignorable="a14" a14:legacySpreadsheetColorIndex="8"/>
          </a:solidFill>
          <a:prstDash val="solid"/>
          <a:round/>
          <a:headEnd/>
          <a:tailEnd type="none" w="med" len="med"/>
        </a:ln>
        <a:extLst>
          <a:ext uri="{909E8E84-426E-40DD-AFC4-6F175D3DCCD1}">
            <a14:hiddenFill xmlns:a14="http://schemas.microsoft.com/office/drawing/2010/main">
              <a:noFill/>
            </a14:hiddenFill>
          </a:ext>
        </a:extLst>
      </xdr:spPr>
    </xdr:sp>
    <xdr:clientData/>
  </xdr:twoCellAnchor>
  <xdr:twoCellAnchor>
    <xdr:from>
      <xdr:col>1</xdr:col>
      <xdr:colOff>1762125</xdr:colOff>
      <xdr:row>5</xdr:row>
      <xdr:rowOff>47625</xdr:rowOff>
    </xdr:from>
    <xdr:to>
      <xdr:col>1</xdr:col>
      <xdr:colOff>1847850</xdr:colOff>
      <xdr:row>5</xdr:row>
      <xdr:rowOff>47625</xdr:rowOff>
    </xdr:to>
    <xdr:sp macro="" textlink="">
      <xdr:nvSpPr>
        <xdr:cNvPr id="4" name="Line 4">
          <a:extLst>
            <a:ext uri="{FF2B5EF4-FFF2-40B4-BE49-F238E27FC236}">
              <a16:creationId xmlns:a16="http://schemas.microsoft.com/office/drawing/2014/main" id="{00000000-0008-0000-0300-000004000000}"/>
            </a:ext>
          </a:extLst>
        </xdr:cNvPr>
        <xdr:cNvSpPr>
          <a:spLocks noChangeShapeType="1"/>
        </xdr:cNvSpPr>
      </xdr:nvSpPr>
      <xdr:spPr bwMode="auto">
        <a:xfrm>
          <a:off x="2247900" y="1000125"/>
          <a:ext cx="85725" cy="0"/>
        </a:xfrm>
        <a:prstGeom prst="line">
          <a:avLst/>
        </a:prstGeom>
        <a:noFill/>
        <a:ln w="9525" cap="flat">
          <a:solidFill>
            <a:srgbClr xmlns:mc="http://schemas.openxmlformats.org/markup-compatibility/2006" xmlns:a14="http://schemas.microsoft.com/office/drawing/2010/main" val="000000" mc:Ignorable="a14" a14:legacySpreadsheetColorIndex="8"/>
          </a:solidFill>
          <a:prstDash val="solid"/>
          <a:round/>
          <a:headEnd/>
          <a:tailEnd type="none" w="med" len="med"/>
        </a:ln>
        <a:extLst>
          <a:ext uri="{909E8E84-426E-40DD-AFC4-6F175D3DCCD1}">
            <a14:hiddenFill xmlns:a14="http://schemas.microsoft.com/office/drawing/2010/main">
              <a:noFill/>
            </a14:hiddenFill>
          </a:ext>
        </a:extLst>
      </xdr:spPr>
    </xdr:sp>
    <xdr:clientData/>
  </xdr:twoCellAnchor>
  <xdr:twoCellAnchor>
    <xdr:from>
      <xdr:col>1</xdr:col>
      <xdr:colOff>1609725</xdr:colOff>
      <xdr:row>7</xdr:row>
      <xdr:rowOff>9525</xdr:rowOff>
    </xdr:from>
    <xdr:to>
      <xdr:col>1</xdr:col>
      <xdr:colOff>1714500</xdr:colOff>
      <xdr:row>7</xdr:row>
      <xdr:rowOff>9525</xdr:rowOff>
    </xdr:to>
    <xdr:sp macro="" textlink="">
      <xdr:nvSpPr>
        <xdr:cNvPr id="5" name="Line 5">
          <a:extLst>
            <a:ext uri="{FF2B5EF4-FFF2-40B4-BE49-F238E27FC236}">
              <a16:creationId xmlns:a16="http://schemas.microsoft.com/office/drawing/2014/main" id="{00000000-0008-0000-0300-000005000000}"/>
            </a:ext>
          </a:extLst>
        </xdr:cNvPr>
        <xdr:cNvSpPr>
          <a:spLocks noChangeShapeType="1"/>
        </xdr:cNvSpPr>
      </xdr:nvSpPr>
      <xdr:spPr bwMode="auto">
        <a:xfrm>
          <a:off x="2095500" y="1381125"/>
          <a:ext cx="104775" cy="0"/>
        </a:xfrm>
        <a:prstGeom prst="line">
          <a:avLst/>
        </a:prstGeom>
        <a:noFill/>
        <a:ln w="9525" cap="flat">
          <a:solidFill>
            <a:srgbClr xmlns:mc="http://schemas.openxmlformats.org/markup-compatibility/2006" xmlns:a14="http://schemas.microsoft.com/office/drawing/2010/main" val="000000" mc:Ignorable="a14" a14:legacySpreadsheetColorIndex="8"/>
          </a:solidFill>
          <a:prstDash val="solid"/>
          <a:round/>
          <a:headEnd/>
          <a:tailEnd type="none" w="med" len="med"/>
        </a:ln>
        <a:extLst>
          <a:ext uri="{909E8E84-426E-40DD-AFC4-6F175D3DCCD1}">
            <a14:hiddenFill xmlns:a14="http://schemas.microsoft.com/office/drawing/2010/main">
              <a:noFill/>
            </a14:hiddenFill>
          </a:ext>
        </a:extLst>
      </xdr:spPr>
    </xdr:sp>
    <xdr:clientData/>
  </xdr:twoCellAnchor>
  <xdr:twoCellAnchor editAs="oneCell">
    <xdr:from>
      <xdr:col>0</xdr:col>
      <xdr:colOff>0</xdr:colOff>
      <xdr:row>41</xdr:row>
      <xdr:rowOff>104775</xdr:rowOff>
    </xdr:from>
    <xdr:to>
      <xdr:col>10</xdr:col>
      <xdr:colOff>1377959</xdr:colOff>
      <xdr:row>66</xdr:row>
      <xdr:rowOff>6087</xdr:rowOff>
    </xdr:to>
    <xdr:pic>
      <xdr:nvPicPr>
        <xdr:cNvPr id="6" name="Resim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
        <a:stretch>
          <a:fillRect/>
        </a:stretch>
      </xdr:blipFill>
      <xdr:spPr>
        <a:xfrm>
          <a:off x="0" y="8324850"/>
          <a:ext cx="9431066" cy="5487166"/>
        </a:xfrm>
        <a:prstGeom prst="rect">
          <a:avLst/>
        </a:prstGeom>
      </xdr:spPr>
    </xdr:pic>
    <xdr:clientData/>
  </xdr:twoCellAnchor>
  <xdr:twoCellAnchor editAs="oneCell">
    <xdr:from>
      <xdr:col>19</xdr:col>
      <xdr:colOff>533161</xdr:colOff>
      <xdr:row>14</xdr:row>
      <xdr:rowOff>76201</xdr:rowOff>
    </xdr:from>
    <xdr:to>
      <xdr:col>33</xdr:col>
      <xdr:colOff>423925</xdr:colOff>
      <xdr:row>42</xdr:row>
      <xdr:rowOff>65315</xdr:rowOff>
    </xdr:to>
    <xdr:pic>
      <xdr:nvPicPr>
        <xdr:cNvPr id="7" name="Resim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2"/>
        <a:stretch>
          <a:fillRect/>
        </a:stretch>
      </xdr:blipFill>
      <xdr:spPr>
        <a:xfrm>
          <a:off x="18276875" y="2667001"/>
          <a:ext cx="8577562" cy="5497285"/>
        </a:xfrm>
        <a:prstGeom prst="rect">
          <a:avLst/>
        </a:prstGeom>
      </xdr:spPr>
    </xdr:pic>
    <xdr:clientData/>
  </xdr:twoCellAnchor>
  <xdr:twoCellAnchor editAs="oneCell">
    <xdr:from>
      <xdr:col>14</xdr:col>
      <xdr:colOff>1824</xdr:colOff>
      <xdr:row>0</xdr:row>
      <xdr:rowOff>0</xdr:rowOff>
    </xdr:from>
    <xdr:to>
      <xdr:col>17</xdr:col>
      <xdr:colOff>1922603</xdr:colOff>
      <xdr:row>21</xdr:row>
      <xdr:rowOff>44823</xdr:rowOff>
    </xdr:to>
    <xdr:pic>
      <xdr:nvPicPr>
        <xdr:cNvPr id="9" name="Resim 8">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3"/>
        <a:stretch>
          <a:fillRect/>
        </a:stretch>
      </xdr:blipFill>
      <xdr:spPr>
        <a:xfrm>
          <a:off x="11548241" y="0"/>
          <a:ext cx="4358876" cy="4140573"/>
        </a:xfrm>
        <a:prstGeom prst="rect">
          <a:avLst/>
        </a:prstGeom>
      </xdr:spPr>
    </xdr:pic>
    <xdr:clientData/>
  </xdr:twoCellAnchor>
  <xdr:twoCellAnchor>
    <xdr:from>
      <xdr:col>14</xdr:col>
      <xdr:colOff>1762125</xdr:colOff>
      <xdr:row>25</xdr:row>
      <xdr:rowOff>47625</xdr:rowOff>
    </xdr:from>
    <xdr:to>
      <xdr:col>14</xdr:col>
      <xdr:colOff>1847850</xdr:colOff>
      <xdr:row>25</xdr:row>
      <xdr:rowOff>47625</xdr:rowOff>
    </xdr:to>
    <xdr:sp macro="" textlink="">
      <xdr:nvSpPr>
        <xdr:cNvPr id="10" name="Line 4">
          <a:extLst>
            <a:ext uri="{FF2B5EF4-FFF2-40B4-BE49-F238E27FC236}">
              <a16:creationId xmlns:a16="http://schemas.microsoft.com/office/drawing/2014/main" id="{00000000-0008-0000-0300-00000A000000}"/>
            </a:ext>
          </a:extLst>
        </xdr:cNvPr>
        <xdr:cNvSpPr>
          <a:spLocks noChangeShapeType="1"/>
        </xdr:cNvSpPr>
      </xdr:nvSpPr>
      <xdr:spPr bwMode="auto">
        <a:xfrm>
          <a:off x="2243978" y="1000125"/>
          <a:ext cx="85725" cy="0"/>
        </a:xfrm>
        <a:prstGeom prst="line">
          <a:avLst/>
        </a:prstGeom>
        <a:noFill/>
        <a:ln w="9525" cap="flat">
          <a:solidFill>
            <a:srgbClr xmlns:mc="http://schemas.openxmlformats.org/markup-compatibility/2006" xmlns:a14="http://schemas.microsoft.com/office/drawing/2010/main" val="000000" mc:Ignorable="a14" a14:legacySpreadsheetColorIndex="8"/>
          </a:solidFill>
          <a:prstDash val="solid"/>
          <a:round/>
          <a:headEnd/>
          <a:tailEnd type="none" w="med" len="med"/>
        </a:ln>
        <a:extLst>
          <a:ext uri="{909E8E84-426E-40DD-AFC4-6F175D3DCCD1}">
            <a14:hiddenFill xmlns:a14="http://schemas.microsoft.com/office/drawing/2010/main">
              <a:noFill/>
            </a14:hiddenFill>
          </a:ext>
        </a:extLst>
      </xdr:spPr>
    </xdr:sp>
    <xdr:clientData/>
  </xdr:twoCellAnchor>
  <xdr:twoCellAnchor editAs="oneCell">
    <xdr:from>
      <xdr:col>19</xdr:col>
      <xdr:colOff>54428</xdr:colOff>
      <xdr:row>0</xdr:row>
      <xdr:rowOff>0</xdr:rowOff>
    </xdr:from>
    <xdr:to>
      <xdr:col>31</xdr:col>
      <xdr:colOff>455578</xdr:colOff>
      <xdr:row>15</xdr:row>
      <xdr:rowOff>53463</xdr:rowOff>
    </xdr:to>
    <xdr:pic>
      <xdr:nvPicPr>
        <xdr:cNvPr id="8" name="Resim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4"/>
        <a:stretch>
          <a:fillRect/>
        </a:stretch>
      </xdr:blipFill>
      <xdr:spPr>
        <a:xfrm>
          <a:off x="16448314" y="0"/>
          <a:ext cx="7868748" cy="28293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25</xdr:col>
      <xdr:colOff>416606</xdr:colOff>
      <xdr:row>0</xdr:row>
      <xdr:rowOff>95250</xdr:rowOff>
    </xdr:from>
    <xdr:to>
      <xdr:col>33</xdr:col>
      <xdr:colOff>201706</xdr:colOff>
      <xdr:row>13</xdr:row>
      <xdr:rowOff>167470</xdr:rowOff>
    </xdr:to>
    <xdr:pic>
      <xdr:nvPicPr>
        <xdr:cNvPr id="2" name="Resim 1">
          <a:extLst>
            <a:ext uri="{FF2B5EF4-FFF2-40B4-BE49-F238E27FC236}">
              <a16:creationId xmlns:a16="http://schemas.microsoft.com/office/drawing/2014/main" id="{00000000-0008-0000-0400-000002000000}"/>
            </a:ext>
          </a:extLst>
        </xdr:cNvPr>
        <xdr:cNvPicPr>
          <a:picLocks noChangeAspect="1"/>
        </xdr:cNvPicPr>
      </xdr:nvPicPr>
      <xdr:blipFill rotWithShape="1">
        <a:blip xmlns:r="http://schemas.openxmlformats.org/officeDocument/2006/relationships" r:embed="rId1"/>
        <a:srcRect l="12952" t="7171" r="11874" b="3140"/>
        <a:stretch/>
      </xdr:blipFill>
      <xdr:spPr>
        <a:xfrm>
          <a:off x="19763786" y="95250"/>
          <a:ext cx="5286740" cy="2449660"/>
        </a:xfrm>
        <a:prstGeom prst="rect">
          <a:avLst/>
        </a:prstGeom>
      </xdr:spPr>
    </xdr:pic>
    <xdr:clientData/>
  </xdr:twoCellAnchor>
  <xdr:twoCellAnchor editAs="oneCell">
    <xdr:from>
      <xdr:col>0</xdr:col>
      <xdr:colOff>513284</xdr:colOff>
      <xdr:row>0</xdr:row>
      <xdr:rowOff>0</xdr:rowOff>
    </xdr:from>
    <xdr:to>
      <xdr:col>7</xdr:col>
      <xdr:colOff>272413</xdr:colOff>
      <xdr:row>13</xdr:row>
      <xdr:rowOff>83577</xdr:rowOff>
    </xdr:to>
    <xdr:pic>
      <xdr:nvPicPr>
        <xdr:cNvPr id="3" name="Resim 2">
          <a:extLst>
            <a:ext uri="{FF2B5EF4-FFF2-40B4-BE49-F238E27FC236}">
              <a16:creationId xmlns:a16="http://schemas.microsoft.com/office/drawing/2014/main" id="{00000000-0008-0000-0400-000003000000}"/>
            </a:ext>
          </a:extLst>
        </xdr:cNvPr>
        <xdr:cNvPicPr>
          <a:picLocks noChangeAspect="1"/>
        </xdr:cNvPicPr>
      </xdr:nvPicPr>
      <xdr:blipFill rotWithShape="1">
        <a:blip xmlns:r="http://schemas.openxmlformats.org/officeDocument/2006/relationships" r:embed="rId2"/>
        <a:srcRect l="27972" t="26485" r="21865" b="20916"/>
        <a:stretch/>
      </xdr:blipFill>
      <xdr:spPr>
        <a:xfrm>
          <a:off x="513284" y="0"/>
          <a:ext cx="4453049" cy="2461017"/>
        </a:xfrm>
        <a:prstGeom prst="rect">
          <a:avLst/>
        </a:prstGeom>
      </xdr:spPr>
    </xdr:pic>
    <xdr:clientData/>
  </xdr:twoCellAnchor>
  <xdr:twoCellAnchor editAs="oneCell">
    <xdr:from>
      <xdr:col>7</xdr:col>
      <xdr:colOff>388802</xdr:colOff>
      <xdr:row>0</xdr:row>
      <xdr:rowOff>114097</xdr:rowOff>
    </xdr:from>
    <xdr:to>
      <xdr:col>14</xdr:col>
      <xdr:colOff>127182</xdr:colOff>
      <xdr:row>13</xdr:row>
      <xdr:rowOff>63874</xdr:rowOff>
    </xdr:to>
    <xdr:pic>
      <xdr:nvPicPr>
        <xdr:cNvPr id="4" name="Resim 3">
          <a:extLst>
            <a:ext uri="{FF2B5EF4-FFF2-40B4-BE49-F238E27FC236}">
              <a16:creationId xmlns:a16="http://schemas.microsoft.com/office/drawing/2014/main" id="{00000000-0008-0000-0400-000004000000}"/>
            </a:ext>
          </a:extLst>
        </xdr:cNvPr>
        <xdr:cNvPicPr>
          <a:picLocks noChangeAspect="1"/>
        </xdr:cNvPicPr>
      </xdr:nvPicPr>
      <xdr:blipFill rotWithShape="1">
        <a:blip xmlns:r="http://schemas.openxmlformats.org/officeDocument/2006/relationships" r:embed="rId3"/>
        <a:srcRect l="23649" t="22412" r="19467" b="36009"/>
        <a:stretch/>
      </xdr:blipFill>
      <xdr:spPr>
        <a:xfrm>
          <a:off x="5082722" y="114097"/>
          <a:ext cx="6047740" cy="2327217"/>
        </a:xfrm>
        <a:prstGeom prst="rect">
          <a:avLst/>
        </a:prstGeom>
      </xdr:spPr>
    </xdr:pic>
    <xdr:clientData/>
  </xdr:twoCellAnchor>
  <xdr:twoCellAnchor editAs="oneCell">
    <xdr:from>
      <xdr:col>14</xdr:col>
      <xdr:colOff>661146</xdr:colOff>
      <xdr:row>2</xdr:row>
      <xdr:rowOff>15688</xdr:rowOff>
    </xdr:from>
    <xdr:to>
      <xdr:col>21</xdr:col>
      <xdr:colOff>159927</xdr:colOff>
      <xdr:row>13</xdr:row>
      <xdr:rowOff>39091</xdr:rowOff>
    </xdr:to>
    <xdr:pic>
      <xdr:nvPicPr>
        <xdr:cNvPr id="5" name="Resim 4">
          <a:extLst>
            <a:ext uri="{FF2B5EF4-FFF2-40B4-BE49-F238E27FC236}">
              <a16:creationId xmlns:a16="http://schemas.microsoft.com/office/drawing/2014/main" id="{00000000-0008-0000-0400-000005000000}"/>
            </a:ext>
          </a:extLst>
        </xdr:cNvPr>
        <xdr:cNvPicPr>
          <a:picLocks noChangeAspect="1"/>
        </xdr:cNvPicPr>
      </xdr:nvPicPr>
      <xdr:blipFill rotWithShape="1">
        <a:blip xmlns:r="http://schemas.openxmlformats.org/officeDocument/2006/relationships" r:embed="rId4"/>
        <a:srcRect l="23650" t="22040" r="20041" b="41012"/>
        <a:stretch/>
      </xdr:blipFill>
      <xdr:spPr>
        <a:xfrm>
          <a:off x="11664426" y="381448"/>
          <a:ext cx="5267121" cy="2035083"/>
        </a:xfrm>
        <a:prstGeom prst="rect">
          <a:avLst/>
        </a:prstGeom>
      </xdr:spPr>
    </xdr:pic>
    <xdr:clientData/>
  </xdr:twoCellAnchor>
  <xdr:twoCellAnchor editAs="oneCell">
    <xdr:from>
      <xdr:col>34</xdr:col>
      <xdr:colOff>280708</xdr:colOff>
      <xdr:row>0</xdr:row>
      <xdr:rowOff>44824</xdr:rowOff>
    </xdr:from>
    <xdr:to>
      <xdr:col>41</xdr:col>
      <xdr:colOff>541438</xdr:colOff>
      <xdr:row>12</xdr:row>
      <xdr:rowOff>175679</xdr:rowOff>
    </xdr:to>
    <xdr:pic>
      <xdr:nvPicPr>
        <xdr:cNvPr id="6" name="Resim 5">
          <a:extLst>
            <a:ext uri="{FF2B5EF4-FFF2-40B4-BE49-F238E27FC236}">
              <a16:creationId xmlns:a16="http://schemas.microsoft.com/office/drawing/2014/main" id="{00000000-0008-0000-0400-000006000000}"/>
            </a:ext>
          </a:extLst>
        </xdr:cNvPr>
        <xdr:cNvPicPr>
          <a:picLocks noChangeAspect="1"/>
        </xdr:cNvPicPr>
      </xdr:nvPicPr>
      <xdr:blipFill rotWithShape="1">
        <a:blip xmlns:r="http://schemas.openxmlformats.org/officeDocument/2006/relationships" r:embed="rId5"/>
        <a:srcRect l="23857" t="14200" r="20178" b="38436"/>
        <a:stretch/>
      </xdr:blipFill>
      <xdr:spPr>
        <a:xfrm>
          <a:off x="25914388" y="44824"/>
          <a:ext cx="5213730" cy="2325415"/>
        </a:xfrm>
        <a:prstGeom prst="rect">
          <a:avLst/>
        </a:prstGeom>
      </xdr:spPr>
    </xdr:pic>
    <xdr:clientData/>
  </xdr:twoCellAnchor>
  <xdr:twoCellAnchor editAs="oneCell">
    <xdr:from>
      <xdr:col>29</xdr:col>
      <xdr:colOff>478338</xdr:colOff>
      <xdr:row>53</xdr:row>
      <xdr:rowOff>75362</xdr:rowOff>
    </xdr:from>
    <xdr:to>
      <xdr:col>38</xdr:col>
      <xdr:colOff>219499</xdr:colOff>
      <xdr:row>73</xdr:row>
      <xdr:rowOff>59485</xdr:rowOff>
    </xdr:to>
    <xdr:pic>
      <xdr:nvPicPr>
        <xdr:cNvPr id="7" name="Resim 6">
          <a:extLst>
            <a:ext uri="{FF2B5EF4-FFF2-40B4-BE49-F238E27FC236}">
              <a16:creationId xmlns:a16="http://schemas.microsoft.com/office/drawing/2014/main" id="{00000000-0008-0000-0400-000007000000}"/>
            </a:ext>
          </a:extLst>
        </xdr:cNvPr>
        <xdr:cNvPicPr>
          <a:picLocks noChangeAspect="1"/>
        </xdr:cNvPicPr>
      </xdr:nvPicPr>
      <xdr:blipFill rotWithShape="1">
        <a:blip xmlns:r="http://schemas.openxmlformats.org/officeDocument/2006/relationships" r:embed="rId6"/>
        <a:srcRect l="31567" t="31856" r="30304" b="23972"/>
        <a:stretch/>
      </xdr:blipFill>
      <xdr:spPr>
        <a:xfrm>
          <a:off x="22683018" y="10072802"/>
          <a:ext cx="6035281" cy="3641723"/>
        </a:xfrm>
        <a:prstGeom prst="rect">
          <a:avLst/>
        </a:prstGeom>
      </xdr:spPr>
    </xdr:pic>
    <xdr:clientData/>
  </xdr:twoCellAnchor>
  <xdr:twoCellAnchor editAs="oneCell">
    <xdr:from>
      <xdr:col>21</xdr:col>
      <xdr:colOff>157959</xdr:colOff>
      <xdr:row>54</xdr:row>
      <xdr:rowOff>4698</xdr:rowOff>
    </xdr:from>
    <xdr:to>
      <xdr:col>28</xdr:col>
      <xdr:colOff>573372</xdr:colOff>
      <xdr:row>72</xdr:row>
      <xdr:rowOff>169667</xdr:rowOff>
    </xdr:to>
    <xdr:pic>
      <xdr:nvPicPr>
        <xdr:cNvPr id="8" name="Resim 7">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7"/>
        <a:stretch>
          <a:fillRect/>
        </a:stretch>
      </xdr:blipFill>
      <xdr:spPr>
        <a:xfrm>
          <a:off x="16929579" y="10185018"/>
          <a:ext cx="5094093" cy="3456809"/>
        </a:xfrm>
        <a:prstGeom prst="rect">
          <a:avLst/>
        </a:prstGeom>
      </xdr:spPr>
    </xdr:pic>
    <xdr:clientData/>
  </xdr:twoCellAnchor>
  <xdr:twoCellAnchor editAs="oneCell">
    <xdr:from>
      <xdr:col>14</xdr:col>
      <xdr:colOff>384363</xdr:colOff>
      <xdr:row>53</xdr:row>
      <xdr:rowOff>140635</xdr:rowOff>
    </xdr:from>
    <xdr:to>
      <xdr:col>21</xdr:col>
      <xdr:colOff>88349</xdr:colOff>
      <xdr:row>72</xdr:row>
      <xdr:rowOff>23821</xdr:rowOff>
    </xdr:to>
    <xdr:pic>
      <xdr:nvPicPr>
        <xdr:cNvPr id="9" name="Resim 8">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8"/>
        <a:stretch>
          <a:fillRect/>
        </a:stretch>
      </xdr:blipFill>
      <xdr:spPr>
        <a:xfrm>
          <a:off x="11387643" y="10138075"/>
          <a:ext cx="5472326" cy="3357906"/>
        </a:xfrm>
        <a:prstGeom prst="rect">
          <a:avLst/>
        </a:prstGeom>
      </xdr:spPr>
    </xdr:pic>
    <xdr:clientData/>
  </xdr:twoCellAnchor>
  <xdr:twoCellAnchor editAs="oneCell">
    <xdr:from>
      <xdr:col>7</xdr:col>
      <xdr:colOff>211876</xdr:colOff>
      <xdr:row>61</xdr:row>
      <xdr:rowOff>104904</xdr:rowOff>
    </xdr:from>
    <xdr:to>
      <xdr:col>12</xdr:col>
      <xdr:colOff>19303</xdr:colOff>
      <xdr:row>70</xdr:row>
      <xdr:rowOff>0</xdr:rowOff>
    </xdr:to>
    <xdr:pic>
      <xdr:nvPicPr>
        <xdr:cNvPr id="10" name="Resim 9">
          <a:extLst>
            <a:ext uri="{FF2B5EF4-FFF2-40B4-BE49-F238E27FC236}">
              <a16:creationId xmlns:a16="http://schemas.microsoft.com/office/drawing/2014/main" id="{00000000-0008-0000-0400-00000A000000}"/>
            </a:ext>
          </a:extLst>
        </xdr:cNvPr>
        <xdr:cNvPicPr>
          <a:picLocks noChangeAspect="1"/>
        </xdr:cNvPicPr>
      </xdr:nvPicPr>
      <xdr:blipFill rotWithShape="1">
        <a:blip xmlns:r="http://schemas.openxmlformats.org/officeDocument/2006/relationships" r:embed="rId9"/>
        <a:srcRect l="35577" t="31949" r="34367" b="47679"/>
        <a:stretch/>
      </xdr:blipFill>
      <xdr:spPr>
        <a:xfrm>
          <a:off x="4905796" y="11565384"/>
          <a:ext cx="4364187" cy="1541016"/>
        </a:xfrm>
        <a:prstGeom prst="rect">
          <a:avLst/>
        </a:prstGeom>
      </xdr:spPr>
    </xdr:pic>
    <xdr:clientData/>
  </xdr:twoCellAnchor>
  <xdr:twoCellAnchor editAs="oneCell">
    <xdr:from>
      <xdr:col>0</xdr:col>
      <xdr:colOff>1</xdr:colOff>
      <xdr:row>60</xdr:row>
      <xdr:rowOff>115678</xdr:rowOff>
    </xdr:from>
    <xdr:to>
      <xdr:col>6</xdr:col>
      <xdr:colOff>639481</xdr:colOff>
      <xdr:row>70</xdr:row>
      <xdr:rowOff>0</xdr:rowOff>
    </xdr:to>
    <xdr:pic>
      <xdr:nvPicPr>
        <xdr:cNvPr id="11" name="Resim 10">
          <a:extLst>
            <a:ext uri="{FF2B5EF4-FFF2-40B4-BE49-F238E27FC236}">
              <a16:creationId xmlns:a16="http://schemas.microsoft.com/office/drawing/2014/main" id="{00000000-0008-0000-0400-00000B000000}"/>
            </a:ext>
          </a:extLst>
        </xdr:cNvPr>
        <xdr:cNvPicPr>
          <a:picLocks noChangeAspect="1"/>
        </xdr:cNvPicPr>
      </xdr:nvPicPr>
      <xdr:blipFill rotWithShape="1">
        <a:blip xmlns:r="http://schemas.openxmlformats.org/officeDocument/2006/relationships" r:embed="rId10"/>
        <a:srcRect l="35786" t="45746" r="34523" b="33325"/>
        <a:stretch/>
      </xdr:blipFill>
      <xdr:spPr>
        <a:xfrm>
          <a:off x="1" y="11393278"/>
          <a:ext cx="4586640" cy="1709536"/>
        </a:xfrm>
        <a:prstGeom prst="rect">
          <a:avLst/>
        </a:prstGeom>
      </xdr:spPr>
    </xdr:pic>
    <xdr:clientData/>
  </xdr:twoCellAnchor>
  <xdr:twoCellAnchor editAs="oneCell">
    <xdr:from>
      <xdr:col>14</xdr:col>
      <xdr:colOff>320228</xdr:colOff>
      <xdr:row>74</xdr:row>
      <xdr:rowOff>178777</xdr:rowOff>
    </xdr:from>
    <xdr:to>
      <xdr:col>21</xdr:col>
      <xdr:colOff>229650</xdr:colOff>
      <xdr:row>88</xdr:row>
      <xdr:rowOff>33781</xdr:rowOff>
    </xdr:to>
    <xdr:pic>
      <xdr:nvPicPr>
        <xdr:cNvPr id="12" name="Resim 11">
          <a:extLst>
            <a:ext uri="{FF2B5EF4-FFF2-40B4-BE49-F238E27FC236}">
              <a16:creationId xmlns:a16="http://schemas.microsoft.com/office/drawing/2014/main" id="{00000000-0008-0000-0400-00000C000000}"/>
            </a:ext>
          </a:extLst>
        </xdr:cNvPr>
        <xdr:cNvPicPr>
          <a:picLocks noChangeAspect="1"/>
        </xdr:cNvPicPr>
      </xdr:nvPicPr>
      <xdr:blipFill rotWithShape="1">
        <a:blip xmlns:r="http://schemas.openxmlformats.org/officeDocument/2006/relationships" r:embed="rId11"/>
        <a:srcRect l="31775" t="22410" r="31450" b="47587"/>
        <a:stretch/>
      </xdr:blipFill>
      <xdr:spPr>
        <a:xfrm>
          <a:off x="11323508" y="14016697"/>
          <a:ext cx="5677762" cy="2415324"/>
        </a:xfrm>
        <a:prstGeom prst="rect">
          <a:avLst/>
        </a:prstGeom>
      </xdr:spPr>
    </xdr:pic>
    <xdr:clientData/>
  </xdr:twoCellAnchor>
  <xdr:twoCellAnchor editAs="oneCell">
    <xdr:from>
      <xdr:col>21</xdr:col>
      <xdr:colOff>216275</xdr:colOff>
      <xdr:row>74</xdr:row>
      <xdr:rowOff>16410</xdr:rowOff>
    </xdr:from>
    <xdr:to>
      <xdr:col>30</xdr:col>
      <xdr:colOff>97687</xdr:colOff>
      <xdr:row>90</xdr:row>
      <xdr:rowOff>62192</xdr:rowOff>
    </xdr:to>
    <xdr:pic>
      <xdr:nvPicPr>
        <xdr:cNvPr id="13" name="Resim 12">
          <a:extLst>
            <a:ext uri="{FF2B5EF4-FFF2-40B4-BE49-F238E27FC236}">
              <a16:creationId xmlns:a16="http://schemas.microsoft.com/office/drawing/2014/main" id="{00000000-0008-0000-0400-00000D000000}"/>
            </a:ext>
          </a:extLst>
        </xdr:cNvPr>
        <xdr:cNvPicPr>
          <a:picLocks noChangeAspect="1"/>
        </xdr:cNvPicPr>
      </xdr:nvPicPr>
      <xdr:blipFill rotWithShape="1">
        <a:blip xmlns:r="http://schemas.openxmlformats.org/officeDocument/2006/relationships" r:embed="rId12"/>
        <a:srcRect l="31723" t="59452" r="33273" b="6748"/>
        <a:stretch/>
      </xdr:blipFill>
      <xdr:spPr>
        <a:xfrm>
          <a:off x="16987895" y="13854330"/>
          <a:ext cx="5863112" cy="2971862"/>
        </a:xfrm>
        <a:prstGeom prst="rect">
          <a:avLst/>
        </a:prstGeom>
      </xdr:spPr>
    </xdr:pic>
    <xdr:clientData/>
  </xdr:twoCellAnchor>
  <xdr:twoCellAnchor editAs="oneCell">
    <xdr:from>
      <xdr:col>7</xdr:col>
      <xdr:colOff>368932</xdr:colOff>
      <xdr:row>70</xdr:row>
      <xdr:rowOff>94922</xdr:rowOff>
    </xdr:from>
    <xdr:to>
      <xdr:col>14</xdr:col>
      <xdr:colOff>300329</xdr:colOff>
      <xdr:row>86</xdr:row>
      <xdr:rowOff>22411</xdr:rowOff>
    </xdr:to>
    <xdr:pic>
      <xdr:nvPicPr>
        <xdr:cNvPr id="14" name="Resim 13">
          <a:extLst>
            <a:ext uri="{FF2B5EF4-FFF2-40B4-BE49-F238E27FC236}">
              <a16:creationId xmlns:a16="http://schemas.microsoft.com/office/drawing/2014/main" id="{00000000-0008-0000-0400-00000E000000}"/>
            </a:ext>
          </a:extLst>
        </xdr:cNvPr>
        <xdr:cNvPicPr>
          <a:picLocks noChangeAspect="1"/>
        </xdr:cNvPicPr>
      </xdr:nvPicPr>
      <xdr:blipFill rotWithShape="1">
        <a:blip xmlns:r="http://schemas.openxmlformats.org/officeDocument/2006/relationships" r:embed="rId13"/>
        <a:srcRect l="27757" t="32996" r="26345" b="27254"/>
        <a:stretch/>
      </xdr:blipFill>
      <xdr:spPr>
        <a:xfrm>
          <a:off x="5062852" y="13201322"/>
          <a:ext cx="6240757" cy="2853569"/>
        </a:xfrm>
        <a:prstGeom prst="rect">
          <a:avLst/>
        </a:prstGeom>
      </xdr:spPr>
    </xdr:pic>
    <xdr:clientData/>
  </xdr:twoCellAnchor>
  <xdr:twoCellAnchor editAs="oneCell">
    <xdr:from>
      <xdr:col>0</xdr:col>
      <xdr:colOff>0</xdr:colOff>
      <xdr:row>71</xdr:row>
      <xdr:rowOff>123753</xdr:rowOff>
    </xdr:from>
    <xdr:to>
      <xdr:col>7</xdr:col>
      <xdr:colOff>89647</xdr:colOff>
      <xdr:row>80</xdr:row>
      <xdr:rowOff>96723</xdr:rowOff>
    </xdr:to>
    <xdr:pic>
      <xdr:nvPicPr>
        <xdr:cNvPr id="15" name="Resim 14">
          <a:extLst>
            <a:ext uri="{FF2B5EF4-FFF2-40B4-BE49-F238E27FC236}">
              <a16:creationId xmlns:a16="http://schemas.microsoft.com/office/drawing/2014/main" id="{00000000-0008-0000-0400-00000F000000}"/>
            </a:ext>
          </a:extLst>
        </xdr:cNvPr>
        <xdr:cNvPicPr>
          <a:picLocks noChangeAspect="1"/>
        </xdr:cNvPicPr>
      </xdr:nvPicPr>
      <xdr:blipFill rotWithShape="1">
        <a:blip xmlns:r="http://schemas.openxmlformats.org/officeDocument/2006/relationships" r:embed="rId14"/>
        <a:srcRect l="27313" t="42437" r="26349" b="32278"/>
        <a:stretch/>
      </xdr:blipFill>
      <xdr:spPr>
        <a:xfrm>
          <a:off x="0" y="13413033"/>
          <a:ext cx="4783567" cy="1618890"/>
        </a:xfrm>
        <a:prstGeom prst="rect">
          <a:avLst/>
        </a:prstGeom>
      </xdr:spPr>
    </xdr:pic>
    <xdr:clientData/>
  </xdr:twoCellAnchor>
  <xdr:twoCellAnchor editAs="oneCell">
    <xdr:from>
      <xdr:col>0</xdr:col>
      <xdr:colOff>257735</xdr:colOff>
      <xdr:row>54</xdr:row>
      <xdr:rowOff>69186</xdr:rowOff>
    </xdr:from>
    <xdr:to>
      <xdr:col>8</xdr:col>
      <xdr:colOff>874059</xdr:colOff>
      <xdr:row>60</xdr:row>
      <xdr:rowOff>51011</xdr:rowOff>
    </xdr:to>
    <xdr:pic>
      <xdr:nvPicPr>
        <xdr:cNvPr id="16" name="Resim 15">
          <a:extLst>
            <a:ext uri="{FF2B5EF4-FFF2-40B4-BE49-F238E27FC236}">
              <a16:creationId xmlns:a16="http://schemas.microsoft.com/office/drawing/2014/main" id="{00000000-0008-0000-0400-000010000000}"/>
            </a:ext>
          </a:extLst>
        </xdr:cNvPr>
        <xdr:cNvPicPr>
          <a:picLocks noChangeAspect="1"/>
        </xdr:cNvPicPr>
      </xdr:nvPicPr>
      <xdr:blipFill rotWithShape="1">
        <a:blip xmlns:r="http://schemas.openxmlformats.org/officeDocument/2006/relationships" r:embed="rId15"/>
        <a:srcRect l="26045" t="51376" r="24719" b="32680"/>
        <a:stretch/>
      </xdr:blipFill>
      <xdr:spPr>
        <a:xfrm>
          <a:off x="257735" y="10249506"/>
          <a:ext cx="6316084" cy="1079105"/>
        </a:xfrm>
        <a:prstGeom prst="rect">
          <a:avLst/>
        </a:prstGeom>
      </xdr:spPr>
    </xdr:pic>
    <xdr:clientData/>
  </xdr:twoCellAnchor>
  <xdr:twoCellAnchor editAs="oneCell">
    <xdr:from>
      <xdr:col>45</xdr:col>
      <xdr:colOff>56028</xdr:colOff>
      <xdr:row>13</xdr:row>
      <xdr:rowOff>22412</xdr:rowOff>
    </xdr:from>
    <xdr:to>
      <xdr:col>55</xdr:col>
      <xdr:colOff>504264</xdr:colOff>
      <xdr:row>35</xdr:row>
      <xdr:rowOff>137930</xdr:rowOff>
    </xdr:to>
    <xdr:pic>
      <xdr:nvPicPr>
        <xdr:cNvPr id="17" name="Resim 16">
          <a:extLst>
            <a:ext uri="{FF2B5EF4-FFF2-40B4-BE49-F238E27FC236}">
              <a16:creationId xmlns:a16="http://schemas.microsoft.com/office/drawing/2014/main" id="{00000000-0008-0000-0400-000011000000}"/>
            </a:ext>
          </a:extLst>
        </xdr:cNvPr>
        <xdr:cNvPicPr>
          <a:picLocks noChangeAspect="1"/>
        </xdr:cNvPicPr>
      </xdr:nvPicPr>
      <xdr:blipFill rotWithShape="1">
        <a:blip xmlns:r="http://schemas.openxmlformats.org/officeDocument/2006/relationships" r:embed="rId16"/>
        <a:srcRect l="11868" t="18902" r="28050" b="4615"/>
        <a:stretch/>
      </xdr:blipFill>
      <xdr:spPr>
        <a:xfrm>
          <a:off x="33812628" y="2399852"/>
          <a:ext cx="6544236" cy="442843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25</xdr:col>
      <xdr:colOff>416606</xdr:colOff>
      <xdr:row>0</xdr:row>
      <xdr:rowOff>95250</xdr:rowOff>
    </xdr:from>
    <xdr:to>
      <xdr:col>33</xdr:col>
      <xdr:colOff>201706</xdr:colOff>
      <xdr:row>13</xdr:row>
      <xdr:rowOff>167470</xdr:rowOff>
    </xdr:to>
    <xdr:pic>
      <xdr:nvPicPr>
        <xdr:cNvPr id="2" name="Resim 1">
          <a:extLst>
            <a:ext uri="{FF2B5EF4-FFF2-40B4-BE49-F238E27FC236}">
              <a16:creationId xmlns:a16="http://schemas.microsoft.com/office/drawing/2014/main" id="{00000000-0008-0000-0500-000002000000}"/>
            </a:ext>
          </a:extLst>
        </xdr:cNvPr>
        <xdr:cNvPicPr>
          <a:picLocks noChangeAspect="1"/>
        </xdr:cNvPicPr>
      </xdr:nvPicPr>
      <xdr:blipFill rotWithShape="1">
        <a:blip xmlns:r="http://schemas.openxmlformats.org/officeDocument/2006/relationships" r:embed="rId1"/>
        <a:srcRect l="12952" t="7171" r="11874" b="3140"/>
        <a:stretch/>
      </xdr:blipFill>
      <xdr:spPr>
        <a:xfrm>
          <a:off x="18592547" y="95250"/>
          <a:ext cx="5141512" cy="2548720"/>
        </a:xfrm>
        <a:prstGeom prst="rect">
          <a:avLst/>
        </a:prstGeom>
      </xdr:spPr>
    </xdr:pic>
    <xdr:clientData/>
  </xdr:twoCellAnchor>
  <xdr:twoCellAnchor editAs="oneCell">
    <xdr:from>
      <xdr:col>0</xdr:col>
      <xdr:colOff>513284</xdr:colOff>
      <xdr:row>0</xdr:row>
      <xdr:rowOff>0</xdr:rowOff>
    </xdr:from>
    <xdr:to>
      <xdr:col>7</xdr:col>
      <xdr:colOff>272413</xdr:colOff>
      <xdr:row>13</xdr:row>
      <xdr:rowOff>83577</xdr:rowOff>
    </xdr:to>
    <xdr:pic>
      <xdr:nvPicPr>
        <xdr:cNvPr id="3" name="Resim 2">
          <a:extLst>
            <a:ext uri="{FF2B5EF4-FFF2-40B4-BE49-F238E27FC236}">
              <a16:creationId xmlns:a16="http://schemas.microsoft.com/office/drawing/2014/main" id="{00000000-0008-0000-0500-000003000000}"/>
            </a:ext>
          </a:extLst>
        </xdr:cNvPr>
        <xdr:cNvPicPr>
          <a:picLocks noChangeAspect="1"/>
        </xdr:cNvPicPr>
      </xdr:nvPicPr>
      <xdr:blipFill rotWithShape="1">
        <a:blip xmlns:r="http://schemas.openxmlformats.org/officeDocument/2006/relationships" r:embed="rId2"/>
        <a:srcRect l="27972" t="26485" r="21865" b="20916"/>
        <a:stretch/>
      </xdr:blipFill>
      <xdr:spPr>
        <a:xfrm>
          <a:off x="513284" y="0"/>
          <a:ext cx="4331129" cy="2560077"/>
        </a:xfrm>
        <a:prstGeom prst="rect">
          <a:avLst/>
        </a:prstGeom>
      </xdr:spPr>
    </xdr:pic>
    <xdr:clientData/>
  </xdr:twoCellAnchor>
  <xdr:twoCellAnchor editAs="oneCell">
    <xdr:from>
      <xdr:col>7</xdr:col>
      <xdr:colOff>388802</xdr:colOff>
      <xdr:row>0</xdr:row>
      <xdr:rowOff>114097</xdr:rowOff>
    </xdr:from>
    <xdr:to>
      <xdr:col>14</xdr:col>
      <xdr:colOff>127182</xdr:colOff>
      <xdr:row>13</xdr:row>
      <xdr:rowOff>63874</xdr:rowOff>
    </xdr:to>
    <xdr:pic>
      <xdr:nvPicPr>
        <xdr:cNvPr id="4" name="Resim 3">
          <a:extLst>
            <a:ext uri="{FF2B5EF4-FFF2-40B4-BE49-F238E27FC236}">
              <a16:creationId xmlns:a16="http://schemas.microsoft.com/office/drawing/2014/main" id="{00000000-0008-0000-0500-000004000000}"/>
            </a:ext>
          </a:extLst>
        </xdr:cNvPr>
        <xdr:cNvPicPr>
          <a:picLocks noChangeAspect="1"/>
        </xdr:cNvPicPr>
      </xdr:nvPicPr>
      <xdr:blipFill rotWithShape="1">
        <a:blip xmlns:r="http://schemas.openxmlformats.org/officeDocument/2006/relationships" r:embed="rId3"/>
        <a:srcRect l="23649" t="22412" r="19467" b="36009"/>
        <a:stretch/>
      </xdr:blipFill>
      <xdr:spPr>
        <a:xfrm>
          <a:off x="4501361" y="114097"/>
          <a:ext cx="5870436" cy="2426277"/>
        </a:xfrm>
        <a:prstGeom prst="rect">
          <a:avLst/>
        </a:prstGeom>
      </xdr:spPr>
    </xdr:pic>
    <xdr:clientData/>
  </xdr:twoCellAnchor>
  <xdr:twoCellAnchor editAs="oneCell">
    <xdr:from>
      <xdr:col>14</xdr:col>
      <xdr:colOff>661146</xdr:colOff>
      <xdr:row>2</xdr:row>
      <xdr:rowOff>15688</xdr:rowOff>
    </xdr:from>
    <xdr:to>
      <xdr:col>21</xdr:col>
      <xdr:colOff>159927</xdr:colOff>
      <xdr:row>13</xdr:row>
      <xdr:rowOff>39091</xdr:rowOff>
    </xdr:to>
    <xdr:pic>
      <xdr:nvPicPr>
        <xdr:cNvPr id="5" name="Resim 4">
          <a:extLst>
            <a:ext uri="{FF2B5EF4-FFF2-40B4-BE49-F238E27FC236}">
              <a16:creationId xmlns:a16="http://schemas.microsoft.com/office/drawing/2014/main" id="{00000000-0008-0000-0500-000005000000}"/>
            </a:ext>
          </a:extLst>
        </xdr:cNvPr>
        <xdr:cNvPicPr>
          <a:picLocks noChangeAspect="1"/>
        </xdr:cNvPicPr>
      </xdr:nvPicPr>
      <xdr:blipFill rotWithShape="1">
        <a:blip xmlns:r="http://schemas.openxmlformats.org/officeDocument/2006/relationships" r:embed="rId4"/>
        <a:srcRect l="23650" t="22040" r="20041" b="41012"/>
        <a:stretch/>
      </xdr:blipFill>
      <xdr:spPr>
        <a:xfrm>
          <a:off x="11373970" y="396688"/>
          <a:ext cx="5101722" cy="2118903"/>
        </a:xfrm>
        <a:prstGeom prst="rect">
          <a:avLst/>
        </a:prstGeom>
      </xdr:spPr>
    </xdr:pic>
    <xdr:clientData/>
  </xdr:twoCellAnchor>
  <xdr:twoCellAnchor editAs="oneCell">
    <xdr:from>
      <xdr:col>34</xdr:col>
      <xdr:colOff>280708</xdr:colOff>
      <xdr:row>0</xdr:row>
      <xdr:rowOff>44824</xdr:rowOff>
    </xdr:from>
    <xdr:to>
      <xdr:col>41</xdr:col>
      <xdr:colOff>541438</xdr:colOff>
      <xdr:row>12</xdr:row>
      <xdr:rowOff>175679</xdr:rowOff>
    </xdr:to>
    <xdr:pic>
      <xdr:nvPicPr>
        <xdr:cNvPr id="6" name="Resim 5">
          <a:extLst>
            <a:ext uri="{FF2B5EF4-FFF2-40B4-BE49-F238E27FC236}">
              <a16:creationId xmlns:a16="http://schemas.microsoft.com/office/drawing/2014/main" id="{00000000-0008-0000-0500-000006000000}"/>
            </a:ext>
          </a:extLst>
        </xdr:cNvPr>
        <xdr:cNvPicPr>
          <a:picLocks noChangeAspect="1"/>
        </xdr:cNvPicPr>
      </xdr:nvPicPr>
      <xdr:blipFill rotWithShape="1">
        <a:blip xmlns:r="http://schemas.openxmlformats.org/officeDocument/2006/relationships" r:embed="rId5"/>
        <a:srcRect l="23857" t="14200" r="20178" b="38436"/>
        <a:stretch/>
      </xdr:blipFill>
      <xdr:spPr>
        <a:xfrm>
          <a:off x="25213796" y="44824"/>
          <a:ext cx="5079260" cy="2416855"/>
        </a:xfrm>
        <a:prstGeom prst="rect">
          <a:avLst/>
        </a:prstGeom>
      </xdr:spPr>
    </xdr:pic>
    <xdr:clientData/>
  </xdr:twoCellAnchor>
  <xdr:twoCellAnchor editAs="oneCell">
    <xdr:from>
      <xdr:col>29</xdr:col>
      <xdr:colOff>478338</xdr:colOff>
      <xdr:row>53</xdr:row>
      <xdr:rowOff>75362</xdr:rowOff>
    </xdr:from>
    <xdr:to>
      <xdr:col>38</xdr:col>
      <xdr:colOff>219499</xdr:colOff>
      <xdr:row>73</xdr:row>
      <xdr:rowOff>59485</xdr:rowOff>
    </xdr:to>
    <xdr:pic>
      <xdr:nvPicPr>
        <xdr:cNvPr id="9" name="Resim 8">
          <a:extLst>
            <a:ext uri="{FF2B5EF4-FFF2-40B4-BE49-F238E27FC236}">
              <a16:creationId xmlns:a16="http://schemas.microsoft.com/office/drawing/2014/main" id="{00000000-0008-0000-0500-000009000000}"/>
            </a:ext>
          </a:extLst>
        </xdr:cNvPr>
        <xdr:cNvPicPr>
          <a:picLocks noChangeAspect="1"/>
        </xdr:cNvPicPr>
      </xdr:nvPicPr>
      <xdr:blipFill rotWithShape="1">
        <a:blip xmlns:r="http://schemas.openxmlformats.org/officeDocument/2006/relationships" r:embed="rId6"/>
        <a:srcRect l="31567" t="31856" r="30304" b="23972"/>
        <a:stretch/>
      </xdr:blipFill>
      <xdr:spPr>
        <a:xfrm>
          <a:off x="22072073" y="10541656"/>
          <a:ext cx="5870779" cy="3794123"/>
        </a:xfrm>
        <a:prstGeom prst="rect">
          <a:avLst/>
        </a:prstGeom>
      </xdr:spPr>
    </xdr:pic>
    <xdr:clientData/>
  </xdr:twoCellAnchor>
  <xdr:twoCellAnchor editAs="oneCell">
    <xdr:from>
      <xdr:col>21</xdr:col>
      <xdr:colOff>157959</xdr:colOff>
      <xdr:row>54</xdr:row>
      <xdr:rowOff>4698</xdr:rowOff>
    </xdr:from>
    <xdr:to>
      <xdr:col>28</xdr:col>
      <xdr:colOff>573372</xdr:colOff>
      <xdr:row>72</xdr:row>
      <xdr:rowOff>169667</xdr:rowOff>
    </xdr:to>
    <xdr:pic>
      <xdr:nvPicPr>
        <xdr:cNvPr id="12" name="Resim 11">
          <a:extLst>
            <a:ext uri="{FF2B5EF4-FFF2-40B4-BE49-F238E27FC236}">
              <a16:creationId xmlns:a16="http://schemas.microsoft.com/office/drawing/2014/main" id="{00000000-0008-0000-0500-00000C000000}"/>
            </a:ext>
          </a:extLst>
        </xdr:cNvPr>
        <xdr:cNvPicPr>
          <a:picLocks noChangeAspect="1"/>
        </xdr:cNvPicPr>
      </xdr:nvPicPr>
      <xdr:blipFill>
        <a:blip xmlns:r="http://schemas.openxmlformats.org/officeDocument/2006/relationships" r:embed="rId7"/>
        <a:stretch>
          <a:fillRect/>
        </a:stretch>
      </xdr:blipFill>
      <xdr:spPr>
        <a:xfrm>
          <a:off x="14759224" y="10639080"/>
          <a:ext cx="4965001" cy="3593969"/>
        </a:xfrm>
        <a:prstGeom prst="rect">
          <a:avLst/>
        </a:prstGeom>
      </xdr:spPr>
    </xdr:pic>
    <xdr:clientData/>
  </xdr:twoCellAnchor>
  <xdr:twoCellAnchor editAs="oneCell">
    <xdr:from>
      <xdr:col>14</xdr:col>
      <xdr:colOff>384363</xdr:colOff>
      <xdr:row>53</xdr:row>
      <xdr:rowOff>140635</xdr:rowOff>
    </xdr:from>
    <xdr:to>
      <xdr:col>21</xdr:col>
      <xdr:colOff>88349</xdr:colOff>
      <xdr:row>72</xdr:row>
      <xdr:rowOff>23821</xdr:rowOff>
    </xdr:to>
    <xdr:pic>
      <xdr:nvPicPr>
        <xdr:cNvPr id="13" name="Resim 12">
          <a:extLst>
            <a:ext uri="{FF2B5EF4-FFF2-40B4-BE49-F238E27FC236}">
              <a16:creationId xmlns:a16="http://schemas.microsoft.com/office/drawing/2014/main" id="{00000000-0008-0000-0500-00000D000000}"/>
            </a:ext>
          </a:extLst>
        </xdr:cNvPr>
        <xdr:cNvPicPr>
          <a:picLocks noChangeAspect="1"/>
        </xdr:cNvPicPr>
      </xdr:nvPicPr>
      <xdr:blipFill>
        <a:blip xmlns:r="http://schemas.openxmlformats.org/officeDocument/2006/relationships" r:embed="rId8"/>
        <a:stretch>
          <a:fillRect/>
        </a:stretch>
      </xdr:blipFill>
      <xdr:spPr>
        <a:xfrm>
          <a:off x="11097187" y="10595723"/>
          <a:ext cx="5306927" cy="3502686"/>
        </a:xfrm>
        <a:prstGeom prst="rect">
          <a:avLst/>
        </a:prstGeom>
      </xdr:spPr>
    </xdr:pic>
    <xdr:clientData/>
  </xdr:twoCellAnchor>
  <xdr:twoCellAnchor editAs="oneCell">
    <xdr:from>
      <xdr:col>7</xdr:col>
      <xdr:colOff>211876</xdr:colOff>
      <xdr:row>61</xdr:row>
      <xdr:rowOff>104904</xdr:rowOff>
    </xdr:from>
    <xdr:to>
      <xdr:col>12</xdr:col>
      <xdr:colOff>19303</xdr:colOff>
      <xdr:row>70</xdr:row>
      <xdr:rowOff>0</xdr:rowOff>
    </xdr:to>
    <xdr:pic>
      <xdr:nvPicPr>
        <xdr:cNvPr id="15" name="Resim 14">
          <a:extLst>
            <a:ext uri="{FF2B5EF4-FFF2-40B4-BE49-F238E27FC236}">
              <a16:creationId xmlns:a16="http://schemas.microsoft.com/office/drawing/2014/main" id="{00000000-0008-0000-0500-00000F000000}"/>
            </a:ext>
          </a:extLst>
        </xdr:cNvPr>
        <xdr:cNvPicPr>
          <a:picLocks noChangeAspect="1"/>
        </xdr:cNvPicPr>
      </xdr:nvPicPr>
      <xdr:blipFill rotWithShape="1">
        <a:blip xmlns:r="http://schemas.openxmlformats.org/officeDocument/2006/relationships" r:embed="rId9"/>
        <a:srcRect l="35577" t="31949" r="34367" b="47679"/>
        <a:stretch/>
      </xdr:blipFill>
      <xdr:spPr>
        <a:xfrm>
          <a:off x="4783876" y="12095198"/>
          <a:ext cx="4244956" cy="1609596"/>
        </a:xfrm>
        <a:prstGeom prst="rect">
          <a:avLst/>
        </a:prstGeom>
      </xdr:spPr>
    </xdr:pic>
    <xdr:clientData/>
  </xdr:twoCellAnchor>
  <xdr:twoCellAnchor editAs="oneCell">
    <xdr:from>
      <xdr:col>0</xdr:col>
      <xdr:colOff>1</xdr:colOff>
      <xdr:row>60</xdr:row>
      <xdr:rowOff>115678</xdr:rowOff>
    </xdr:from>
    <xdr:to>
      <xdr:col>6</xdr:col>
      <xdr:colOff>639481</xdr:colOff>
      <xdr:row>69</xdr:row>
      <xdr:rowOff>179294</xdr:rowOff>
    </xdr:to>
    <xdr:pic>
      <xdr:nvPicPr>
        <xdr:cNvPr id="16" name="Resim 15">
          <a:extLst>
            <a:ext uri="{FF2B5EF4-FFF2-40B4-BE49-F238E27FC236}">
              <a16:creationId xmlns:a16="http://schemas.microsoft.com/office/drawing/2014/main" id="{00000000-0008-0000-0500-000010000000}"/>
            </a:ext>
          </a:extLst>
        </xdr:cNvPr>
        <xdr:cNvPicPr>
          <a:picLocks noChangeAspect="1"/>
        </xdr:cNvPicPr>
      </xdr:nvPicPr>
      <xdr:blipFill rotWithShape="1">
        <a:blip xmlns:r="http://schemas.openxmlformats.org/officeDocument/2006/relationships" r:embed="rId10"/>
        <a:srcRect l="35786" t="45746" r="34523" b="33325"/>
        <a:stretch/>
      </xdr:blipFill>
      <xdr:spPr>
        <a:xfrm>
          <a:off x="1" y="11893060"/>
          <a:ext cx="4483098" cy="1778116"/>
        </a:xfrm>
        <a:prstGeom prst="rect">
          <a:avLst/>
        </a:prstGeom>
      </xdr:spPr>
    </xdr:pic>
    <xdr:clientData/>
  </xdr:twoCellAnchor>
  <xdr:twoCellAnchor editAs="oneCell">
    <xdr:from>
      <xdr:col>14</xdr:col>
      <xdr:colOff>320228</xdr:colOff>
      <xdr:row>74</xdr:row>
      <xdr:rowOff>178777</xdr:rowOff>
    </xdr:from>
    <xdr:to>
      <xdr:col>21</xdr:col>
      <xdr:colOff>229650</xdr:colOff>
      <xdr:row>88</xdr:row>
      <xdr:rowOff>33781</xdr:rowOff>
    </xdr:to>
    <xdr:pic>
      <xdr:nvPicPr>
        <xdr:cNvPr id="17" name="Resim 16">
          <a:extLst>
            <a:ext uri="{FF2B5EF4-FFF2-40B4-BE49-F238E27FC236}">
              <a16:creationId xmlns:a16="http://schemas.microsoft.com/office/drawing/2014/main" id="{00000000-0008-0000-0500-000011000000}"/>
            </a:ext>
          </a:extLst>
        </xdr:cNvPr>
        <xdr:cNvPicPr>
          <a:picLocks noChangeAspect="1"/>
        </xdr:cNvPicPr>
      </xdr:nvPicPr>
      <xdr:blipFill rotWithShape="1">
        <a:blip xmlns:r="http://schemas.openxmlformats.org/officeDocument/2006/relationships" r:embed="rId11"/>
        <a:srcRect l="31775" t="22410" r="31450" b="47587"/>
        <a:stretch/>
      </xdr:blipFill>
      <xdr:spPr>
        <a:xfrm>
          <a:off x="11033052" y="14645571"/>
          <a:ext cx="5512363" cy="2522004"/>
        </a:xfrm>
        <a:prstGeom prst="rect">
          <a:avLst/>
        </a:prstGeom>
      </xdr:spPr>
    </xdr:pic>
    <xdr:clientData/>
  </xdr:twoCellAnchor>
  <xdr:twoCellAnchor editAs="oneCell">
    <xdr:from>
      <xdr:col>21</xdr:col>
      <xdr:colOff>216275</xdr:colOff>
      <xdr:row>74</xdr:row>
      <xdr:rowOff>16410</xdr:rowOff>
    </xdr:from>
    <xdr:to>
      <xdr:col>30</xdr:col>
      <xdr:colOff>97687</xdr:colOff>
      <xdr:row>90</xdr:row>
      <xdr:rowOff>62192</xdr:rowOff>
    </xdr:to>
    <xdr:pic>
      <xdr:nvPicPr>
        <xdr:cNvPr id="18" name="Resim 17">
          <a:extLst>
            <a:ext uri="{FF2B5EF4-FFF2-40B4-BE49-F238E27FC236}">
              <a16:creationId xmlns:a16="http://schemas.microsoft.com/office/drawing/2014/main" id="{00000000-0008-0000-0500-000012000000}"/>
            </a:ext>
          </a:extLst>
        </xdr:cNvPr>
        <xdr:cNvPicPr>
          <a:picLocks noChangeAspect="1"/>
        </xdr:cNvPicPr>
      </xdr:nvPicPr>
      <xdr:blipFill rotWithShape="1">
        <a:blip xmlns:r="http://schemas.openxmlformats.org/officeDocument/2006/relationships" r:embed="rId12"/>
        <a:srcRect l="31723" t="59452" r="33273" b="6748"/>
        <a:stretch/>
      </xdr:blipFill>
      <xdr:spPr>
        <a:xfrm>
          <a:off x="16532040" y="14483204"/>
          <a:ext cx="5697265" cy="3093782"/>
        </a:xfrm>
        <a:prstGeom prst="rect">
          <a:avLst/>
        </a:prstGeom>
      </xdr:spPr>
    </xdr:pic>
    <xdr:clientData/>
  </xdr:twoCellAnchor>
  <xdr:twoCellAnchor editAs="oneCell">
    <xdr:from>
      <xdr:col>7</xdr:col>
      <xdr:colOff>368932</xdr:colOff>
      <xdr:row>70</xdr:row>
      <xdr:rowOff>94922</xdr:rowOff>
    </xdr:from>
    <xdr:to>
      <xdr:col>14</xdr:col>
      <xdr:colOff>300329</xdr:colOff>
      <xdr:row>86</xdr:row>
      <xdr:rowOff>22411</xdr:rowOff>
    </xdr:to>
    <xdr:pic>
      <xdr:nvPicPr>
        <xdr:cNvPr id="19" name="Resim 18">
          <a:extLst>
            <a:ext uri="{FF2B5EF4-FFF2-40B4-BE49-F238E27FC236}">
              <a16:creationId xmlns:a16="http://schemas.microsoft.com/office/drawing/2014/main" id="{00000000-0008-0000-0500-000013000000}"/>
            </a:ext>
          </a:extLst>
        </xdr:cNvPr>
        <xdr:cNvPicPr>
          <a:picLocks noChangeAspect="1"/>
        </xdr:cNvPicPr>
      </xdr:nvPicPr>
      <xdr:blipFill rotWithShape="1">
        <a:blip xmlns:r="http://schemas.openxmlformats.org/officeDocument/2006/relationships" r:embed="rId13"/>
        <a:srcRect l="27757" t="32996" r="26345" b="27254"/>
        <a:stretch/>
      </xdr:blipFill>
      <xdr:spPr>
        <a:xfrm>
          <a:off x="4940932" y="13799716"/>
          <a:ext cx="6072221" cy="2975489"/>
        </a:xfrm>
        <a:prstGeom prst="rect">
          <a:avLst/>
        </a:prstGeom>
      </xdr:spPr>
    </xdr:pic>
    <xdr:clientData/>
  </xdr:twoCellAnchor>
  <xdr:twoCellAnchor editAs="oneCell">
    <xdr:from>
      <xdr:col>0</xdr:col>
      <xdr:colOff>0</xdr:colOff>
      <xdr:row>71</xdr:row>
      <xdr:rowOff>123753</xdr:rowOff>
    </xdr:from>
    <xdr:to>
      <xdr:col>7</xdr:col>
      <xdr:colOff>89647</xdr:colOff>
      <xdr:row>80</xdr:row>
      <xdr:rowOff>96723</xdr:rowOff>
    </xdr:to>
    <xdr:pic>
      <xdr:nvPicPr>
        <xdr:cNvPr id="24" name="Resim 23">
          <a:extLst>
            <a:ext uri="{FF2B5EF4-FFF2-40B4-BE49-F238E27FC236}">
              <a16:creationId xmlns:a16="http://schemas.microsoft.com/office/drawing/2014/main" id="{00000000-0008-0000-0500-000018000000}"/>
            </a:ext>
          </a:extLst>
        </xdr:cNvPr>
        <xdr:cNvPicPr>
          <a:picLocks noChangeAspect="1"/>
        </xdr:cNvPicPr>
      </xdr:nvPicPr>
      <xdr:blipFill rotWithShape="1">
        <a:blip xmlns:r="http://schemas.openxmlformats.org/officeDocument/2006/relationships" r:embed="rId14"/>
        <a:srcRect l="27313" t="42437" r="26349" b="32278"/>
        <a:stretch/>
      </xdr:blipFill>
      <xdr:spPr>
        <a:xfrm>
          <a:off x="0" y="13996635"/>
          <a:ext cx="4661647" cy="1687470"/>
        </a:xfrm>
        <a:prstGeom prst="rect">
          <a:avLst/>
        </a:prstGeom>
      </xdr:spPr>
    </xdr:pic>
    <xdr:clientData/>
  </xdr:twoCellAnchor>
  <xdr:twoCellAnchor editAs="oneCell">
    <xdr:from>
      <xdr:col>0</xdr:col>
      <xdr:colOff>257735</xdr:colOff>
      <xdr:row>54</xdr:row>
      <xdr:rowOff>69186</xdr:rowOff>
    </xdr:from>
    <xdr:to>
      <xdr:col>8</xdr:col>
      <xdr:colOff>874059</xdr:colOff>
      <xdr:row>60</xdr:row>
      <xdr:rowOff>51011</xdr:rowOff>
    </xdr:to>
    <xdr:pic>
      <xdr:nvPicPr>
        <xdr:cNvPr id="25" name="Resim 24">
          <a:extLst>
            <a:ext uri="{FF2B5EF4-FFF2-40B4-BE49-F238E27FC236}">
              <a16:creationId xmlns:a16="http://schemas.microsoft.com/office/drawing/2014/main" id="{00000000-0008-0000-0500-000019000000}"/>
            </a:ext>
          </a:extLst>
        </xdr:cNvPr>
        <xdr:cNvPicPr>
          <a:picLocks noChangeAspect="1"/>
        </xdr:cNvPicPr>
      </xdr:nvPicPr>
      <xdr:blipFill rotWithShape="1">
        <a:blip xmlns:r="http://schemas.openxmlformats.org/officeDocument/2006/relationships" r:embed="rId15"/>
        <a:srcRect l="26045" t="51376" r="24719" b="32680"/>
        <a:stretch/>
      </xdr:blipFill>
      <xdr:spPr>
        <a:xfrm>
          <a:off x="257735" y="10703568"/>
          <a:ext cx="6174442" cy="1124825"/>
        </a:xfrm>
        <a:prstGeom prst="rect">
          <a:avLst/>
        </a:prstGeom>
      </xdr:spPr>
    </xdr:pic>
    <xdr:clientData/>
  </xdr:twoCellAnchor>
  <xdr:twoCellAnchor editAs="oneCell">
    <xdr:from>
      <xdr:col>45</xdr:col>
      <xdr:colOff>56028</xdr:colOff>
      <xdr:row>13</xdr:row>
      <xdr:rowOff>22412</xdr:rowOff>
    </xdr:from>
    <xdr:to>
      <xdr:col>55</xdr:col>
      <xdr:colOff>504264</xdr:colOff>
      <xdr:row>35</xdr:row>
      <xdr:rowOff>137930</xdr:rowOff>
    </xdr:to>
    <xdr:pic>
      <xdr:nvPicPr>
        <xdr:cNvPr id="7" name="Resim 6">
          <a:extLst>
            <a:ext uri="{FF2B5EF4-FFF2-40B4-BE49-F238E27FC236}">
              <a16:creationId xmlns:a16="http://schemas.microsoft.com/office/drawing/2014/main" id="{00000000-0008-0000-0500-000007000000}"/>
            </a:ext>
          </a:extLst>
        </xdr:cNvPr>
        <xdr:cNvPicPr>
          <a:picLocks noChangeAspect="1"/>
        </xdr:cNvPicPr>
      </xdr:nvPicPr>
      <xdr:blipFill rotWithShape="1">
        <a:blip xmlns:r="http://schemas.openxmlformats.org/officeDocument/2006/relationships" r:embed="rId16"/>
        <a:srcRect l="11868" t="18902" r="28050" b="4615"/>
        <a:stretch/>
      </xdr:blipFill>
      <xdr:spPr>
        <a:xfrm>
          <a:off x="25717499" y="2498912"/>
          <a:ext cx="6499413" cy="46539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24</xdr:col>
      <xdr:colOff>21979</xdr:colOff>
      <xdr:row>39</xdr:row>
      <xdr:rowOff>1</xdr:rowOff>
    </xdr:from>
    <xdr:to>
      <xdr:col>29</xdr:col>
      <xdr:colOff>440198</xdr:colOff>
      <xdr:row>56</xdr:row>
      <xdr:rowOff>35007</xdr:rowOff>
    </xdr:to>
    <xdr:pic>
      <xdr:nvPicPr>
        <xdr:cNvPr id="4" name="Resim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stretch>
          <a:fillRect/>
        </a:stretch>
      </xdr:blipFill>
      <xdr:spPr>
        <a:xfrm>
          <a:off x="19870614" y="6352443"/>
          <a:ext cx="4491988" cy="2665371"/>
        </a:xfrm>
        <a:prstGeom prst="rect">
          <a:avLst/>
        </a:prstGeom>
      </xdr:spPr>
    </xdr:pic>
    <xdr:clientData/>
  </xdr:twoCellAnchor>
  <xdr:twoCellAnchor editAs="oneCell">
    <xdr:from>
      <xdr:col>16</xdr:col>
      <xdr:colOff>14655</xdr:colOff>
      <xdr:row>55</xdr:row>
      <xdr:rowOff>109790</xdr:rowOff>
    </xdr:from>
    <xdr:to>
      <xdr:col>23</xdr:col>
      <xdr:colOff>945174</xdr:colOff>
      <xdr:row>75</xdr:row>
      <xdr:rowOff>119765</xdr:rowOff>
    </xdr:to>
    <xdr:pic>
      <xdr:nvPicPr>
        <xdr:cNvPr id="5" name="Resim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2"/>
        <a:stretch>
          <a:fillRect/>
        </a:stretch>
      </xdr:blipFill>
      <xdr:spPr>
        <a:xfrm>
          <a:off x="11210193" y="8946059"/>
          <a:ext cx="3941884" cy="3079956"/>
        </a:xfrm>
        <a:prstGeom prst="rect">
          <a:avLst/>
        </a:prstGeom>
      </xdr:spPr>
    </xdr:pic>
    <xdr:clientData/>
  </xdr:twoCellAnchor>
  <xdr:twoCellAnchor editAs="oneCell">
    <xdr:from>
      <xdr:col>24</xdr:col>
      <xdr:colOff>51288</xdr:colOff>
      <xdr:row>55</xdr:row>
      <xdr:rowOff>121117</xdr:rowOff>
    </xdr:from>
    <xdr:to>
      <xdr:col>29</xdr:col>
      <xdr:colOff>365517</xdr:colOff>
      <xdr:row>73</xdr:row>
      <xdr:rowOff>120293</xdr:rowOff>
    </xdr:to>
    <xdr:pic>
      <xdr:nvPicPr>
        <xdr:cNvPr id="7" name="Resim 6">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3"/>
        <a:stretch>
          <a:fillRect/>
        </a:stretch>
      </xdr:blipFill>
      <xdr:spPr>
        <a:xfrm>
          <a:off x="15240000" y="8957386"/>
          <a:ext cx="4387998" cy="2776080"/>
        </a:xfrm>
        <a:prstGeom prst="rect">
          <a:avLst/>
        </a:prstGeom>
      </xdr:spPr>
    </xdr:pic>
    <xdr:clientData/>
  </xdr:twoCellAnchor>
  <xdr:twoCellAnchor editAs="oneCell">
    <xdr:from>
      <xdr:col>14</xdr:col>
      <xdr:colOff>95250</xdr:colOff>
      <xdr:row>36</xdr:row>
      <xdr:rowOff>118325</xdr:rowOff>
    </xdr:from>
    <xdr:to>
      <xdr:col>22</xdr:col>
      <xdr:colOff>573092</xdr:colOff>
      <xdr:row>55</xdr:row>
      <xdr:rowOff>114503</xdr:rowOff>
    </xdr:to>
    <xdr:pic>
      <xdr:nvPicPr>
        <xdr:cNvPr id="9" name="Resim 8">
          <a:extLst>
            <a:ext uri="{FF2B5EF4-FFF2-40B4-BE49-F238E27FC236}">
              <a16:creationId xmlns:a16="http://schemas.microsoft.com/office/drawing/2014/main" id="{00000000-0008-0000-0600-000009000000}"/>
            </a:ext>
          </a:extLst>
        </xdr:cNvPr>
        <xdr:cNvPicPr>
          <a:picLocks noChangeAspect="1"/>
        </xdr:cNvPicPr>
      </xdr:nvPicPr>
      <xdr:blipFill>
        <a:blip xmlns:r="http://schemas.openxmlformats.org/officeDocument/2006/relationships" r:embed="rId4"/>
        <a:stretch>
          <a:fillRect/>
        </a:stretch>
      </xdr:blipFill>
      <xdr:spPr>
        <a:xfrm>
          <a:off x="15584365" y="6031152"/>
          <a:ext cx="3524250" cy="2919620"/>
        </a:xfrm>
        <a:prstGeom prst="rect">
          <a:avLst/>
        </a:prstGeom>
      </xdr:spPr>
    </xdr:pic>
    <xdr:clientData/>
  </xdr:twoCellAnchor>
  <xdr:twoCellAnchor editAs="oneCell">
    <xdr:from>
      <xdr:col>16</xdr:col>
      <xdr:colOff>117231</xdr:colOff>
      <xdr:row>75</xdr:row>
      <xdr:rowOff>124558</xdr:rowOff>
    </xdr:from>
    <xdr:to>
      <xdr:col>25</xdr:col>
      <xdr:colOff>218790</xdr:colOff>
      <xdr:row>111</xdr:row>
      <xdr:rowOff>24475</xdr:rowOff>
    </xdr:to>
    <xdr:pic>
      <xdr:nvPicPr>
        <xdr:cNvPr id="10" name="Resim 9">
          <a:extLst>
            <a:ext uri="{FF2B5EF4-FFF2-40B4-BE49-F238E27FC236}">
              <a16:creationId xmlns:a16="http://schemas.microsoft.com/office/drawing/2014/main" id="{00000000-0008-0000-0600-00000A000000}"/>
            </a:ext>
          </a:extLst>
        </xdr:cNvPr>
        <xdr:cNvPicPr>
          <a:picLocks noChangeAspect="1"/>
        </xdr:cNvPicPr>
      </xdr:nvPicPr>
      <xdr:blipFill>
        <a:blip xmlns:r="http://schemas.openxmlformats.org/officeDocument/2006/relationships" r:embed="rId5"/>
        <a:stretch>
          <a:fillRect/>
        </a:stretch>
      </xdr:blipFill>
      <xdr:spPr>
        <a:xfrm>
          <a:off x="15972693" y="12030808"/>
          <a:ext cx="4930001" cy="5314513"/>
        </a:xfrm>
        <a:prstGeom prst="rect">
          <a:avLst/>
        </a:prstGeom>
      </xdr:spPr>
    </xdr:pic>
    <xdr:clientData/>
  </xdr:twoCellAnchor>
  <xdr:twoCellAnchor editAs="oneCell">
    <xdr:from>
      <xdr:col>25</xdr:col>
      <xdr:colOff>712051</xdr:colOff>
      <xdr:row>74</xdr:row>
      <xdr:rowOff>117230</xdr:rowOff>
    </xdr:from>
    <xdr:to>
      <xdr:col>30</xdr:col>
      <xdr:colOff>351139</xdr:colOff>
      <xdr:row>105</xdr:row>
      <xdr:rowOff>2454</xdr:rowOff>
    </xdr:to>
    <xdr:pic>
      <xdr:nvPicPr>
        <xdr:cNvPr id="12" name="Resim 11">
          <a:extLst>
            <a:ext uri="{FF2B5EF4-FFF2-40B4-BE49-F238E27FC236}">
              <a16:creationId xmlns:a16="http://schemas.microsoft.com/office/drawing/2014/main" id="{00000000-0008-0000-0600-00000C000000}"/>
            </a:ext>
          </a:extLst>
        </xdr:cNvPr>
        <xdr:cNvPicPr>
          <a:picLocks noChangeAspect="1"/>
        </xdr:cNvPicPr>
      </xdr:nvPicPr>
      <xdr:blipFill>
        <a:blip xmlns:r="http://schemas.openxmlformats.org/officeDocument/2006/relationships" r:embed="rId6"/>
        <a:stretch>
          <a:fillRect/>
        </a:stretch>
      </xdr:blipFill>
      <xdr:spPr>
        <a:xfrm>
          <a:off x="20883070" y="11876942"/>
          <a:ext cx="4211088" cy="456712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15</xdr:col>
      <xdr:colOff>876300</xdr:colOff>
      <xdr:row>1</xdr:row>
      <xdr:rowOff>0</xdr:rowOff>
    </xdr:from>
    <xdr:to>
      <xdr:col>22</xdr:col>
      <xdr:colOff>195134</xdr:colOff>
      <xdr:row>30</xdr:row>
      <xdr:rowOff>107643</xdr:rowOff>
    </xdr:to>
    <xdr:pic>
      <xdr:nvPicPr>
        <xdr:cNvPr id="22" name="Resim 21">
          <a:extLst>
            <a:ext uri="{FF2B5EF4-FFF2-40B4-BE49-F238E27FC236}">
              <a16:creationId xmlns:a16="http://schemas.microsoft.com/office/drawing/2014/main" id="{00000000-0008-0000-0700-000016000000}"/>
            </a:ext>
          </a:extLst>
        </xdr:cNvPr>
        <xdr:cNvPicPr>
          <a:picLocks noChangeAspect="1"/>
        </xdr:cNvPicPr>
      </xdr:nvPicPr>
      <xdr:blipFill>
        <a:blip xmlns:r="http://schemas.openxmlformats.org/officeDocument/2006/relationships" r:embed="rId1"/>
        <a:stretch>
          <a:fillRect/>
        </a:stretch>
      </xdr:blipFill>
      <xdr:spPr>
        <a:xfrm>
          <a:off x="10629900" y="190500"/>
          <a:ext cx="9510584" cy="6712278"/>
        </a:xfrm>
        <a:prstGeom prst="rect">
          <a:avLst/>
        </a:prstGeom>
      </xdr:spPr>
    </xdr:pic>
    <xdr:clientData/>
  </xdr:twoCellAnchor>
  <xdr:twoCellAnchor editAs="oneCell">
    <xdr:from>
      <xdr:col>21</xdr:col>
      <xdr:colOff>845820</xdr:colOff>
      <xdr:row>1</xdr:row>
      <xdr:rowOff>81915</xdr:rowOff>
    </xdr:from>
    <xdr:to>
      <xdr:col>27</xdr:col>
      <xdr:colOff>108585</xdr:colOff>
      <xdr:row>13</xdr:row>
      <xdr:rowOff>67543</xdr:rowOff>
    </xdr:to>
    <xdr:pic>
      <xdr:nvPicPr>
        <xdr:cNvPr id="23" name="Resim 22">
          <a:extLst>
            <a:ext uri="{FF2B5EF4-FFF2-40B4-BE49-F238E27FC236}">
              <a16:creationId xmlns:a16="http://schemas.microsoft.com/office/drawing/2014/main" id="{00000000-0008-0000-0700-000017000000}"/>
            </a:ext>
          </a:extLst>
        </xdr:cNvPr>
        <xdr:cNvPicPr>
          <a:picLocks noChangeAspect="1"/>
        </xdr:cNvPicPr>
      </xdr:nvPicPr>
      <xdr:blipFill>
        <a:blip xmlns:r="http://schemas.openxmlformats.org/officeDocument/2006/relationships" r:embed="rId2"/>
        <a:stretch>
          <a:fillRect/>
        </a:stretch>
      </xdr:blipFill>
      <xdr:spPr>
        <a:xfrm>
          <a:off x="26304240" y="264795"/>
          <a:ext cx="4497705" cy="269072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32</xdr:col>
      <xdr:colOff>133350</xdr:colOff>
      <xdr:row>0</xdr:row>
      <xdr:rowOff>85724</xdr:rowOff>
    </xdr:from>
    <xdr:to>
      <xdr:col>39</xdr:col>
      <xdr:colOff>597451</xdr:colOff>
      <xdr:row>16</xdr:row>
      <xdr:rowOff>57149</xdr:rowOff>
    </xdr:to>
    <xdr:pic>
      <xdr:nvPicPr>
        <xdr:cNvPr id="4" name="Resim 3">
          <a:extLst>
            <a:ext uri="{FF2B5EF4-FFF2-40B4-BE49-F238E27FC236}">
              <a16:creationId xmlns:a16="http://schemas.microsoft.com/office/drawing/2014/main" id="{00000000-0008-0000-0800-000004000000}"/>
            </a:ext>
          </a:extLst>
        </xdr:cNvPr>
        <xdr:cNvPicPr>
          <a:picLocks noChangeAspect="1"/>
        </xdr:cNvPicPr>
      </xdr:nvPicPr>
      <xdr:blipFill rotWithShape="1">
        <a:blip xmlns:r="http://schemas.openxmlformats.org/officeDocument/2006/relationships" r:embed="rId1"/>
        <a:srcRect l="39833" t="33967" r="6025" b="8757"/>
        <a:stretch/>
      </xdr:blipFill>
      <xdr:spPr>
        <a:xfrm>
          <a:off x="33280350" y="85724"/>
          <a:ext cx="5074201" cy="3019425"/>
        </a:xfrm>
        <a:prstGeom prst="rect">
          <a:avLst/>
        </a:prstGeom>
      </xdr:spPr>
    </xdr:pic>
    <xdr:clientData/>
  </xdr:twoCellAnchor>
  <xdr:twoCellAnchor editAs="oneCell">
    <xdr:from>
      <xdr:col>24</xdr:col>
      <xdr:colOff>1457325</xdr:colOff>
      <xdr:row>0</xdr:row>
      <xdr:rowOff>76200</xdr:rowOff>
    </xdr:from>
    <xdr:to>
      <xdr:col>30</xdr:col>
      <xdr:colOff>340099</xdr:colOff>
      <xdr:row>21</xdr:row>
      <xdr:rowOff>215364</xdr:rowOff>
    </xdr:to>
    <xdr:pic>
      <xdr:nvPicPr>
        <xdr:cNvPr id="5" name="Resim 4">
          <a:extLst>
            <a:ext uri="{FF2B5EF4-FFF2-40B4-BE49-F238E27FC236}">
              <a16:creationId xmlns:a16="http://schemas.microsoft.com/office/drawing/2014/main" id="{00000000-0008-0000-0800-000005000000}"/>
            </a:ext>
          </a:extLst>
        </xdr:cNvPr>
        <xdr:cNvPicPr>
          <a:picLocks noChangeAspect="1"/>
        </xdr:cNvPicPr>
      </xdr:nvPicPr>
      <xdr:blipFill rotWithShape="1">
        <a:blip xmlns:r="http://schemas.openxmlformats.org/officeDocument/2006/relationships" r:embed="rId2"/>
        <a:srcRect l="38944" t="24529" r="6863" b="8045"/>
        <a:stretch/>
      </xdr:blipFill>
      <xdr:spPr>
        <a:xfrm>
          <a:off x="26936700" y="76200"/>
          <a:ext cx="5915025" cy="4139664"/>
        </a:xfrm>
        <a:prstGeom prst="rect">
          <a:avLst/>
        </a:prstGeom>
      </xdr:spPr>
    </xdr:pic>
    <xdr:clientData/>
  </xdr:twoCellAnchor>
  <xdr:twoCellAnchor editAs="oneCell">
    <xdr:from>
      <xdr:col>19</xdr:col>
      <xdr:colOff>28576</xdr:colOff>
      <xdr:row>0</xdr:row>
      <xdr:rowOff>28575</xdr:rowOff>
    </xdr:from>
    <xdr:to>
      <xdr:col>24</xdr:col>
      <xdr:colOff>1409700</xdr:colOff>
      <xdr:row>21</xdr:row>
      <xdr:rowOff>227379</xdr:rowOff>
    </xdr:to>
    <xdr:pic>
      <xdr:nvPicPr>
        <xdr:cNvPr id="6" name="Resim 5">
          <a:extLst>
            <a:ext uri="{FF2B5EF4-FFF2-40B4-BE49-F238E27FC236}">
              <a16:creationId xmlns:a16="http://schemas.microsoft.com/office/drawing/2014/main" id="{00000000-0008-0000-0800-000006000000}"/>
            </a:ext>
          </a:extLst>
        </xdr:cNvPr>
        <xdr:cNvPicPr>
          <a:picLocks noChangeAspect="1"/>
        </xdr:cNvPicPr>
      </xdr:nvPicPr>
      <xdr:blipFill rotWithShape="1">
        <a:blip xmlns:r="http://schemas.openxmlformats.org/officeDocument/2006/relationships" r:embed="rId3"/>
        <a:srcRect l="38754" t="15094" r="5482" b="21194"/>
        <a:stretch/>
      </xdr:blipFill>
      <xdr:spPr>
        <a:xfrm>
          <a:off x="17897476" y="28575"/>
          <a:ext cx="6534149" cy="4199304"/>
        </a:xfrm>
        <a:prstGeom prst="rect">
          <a:avLst/>
        </a:prstGeom>
      </xdr:spPr>
    </xdr:pic>
    <xdr:clientData/>
  </xdr:twoCellAnchor>
  <xdr:twoCellAnchor editAs="oneCell">
    <xdr:from>
      <xdr:col>0</xdr:col>
      <xdr:colOff>291353</xdr:colOff>
      <xdr:row>32</xdr:row>
      <xdr:rowOff>177613</xdr:rowOff>
    </xdr:from>
    <xdr:to>
      <xdr:col>5</xdr:col>
      <xdr:colOff>190500</xdr:colOff>
      <xdr:row>40</xdr:row>
      <xdr:rowOff>28828</xdr:rowOff>
    </xdr:to>
    <xdr:pic>
      <xdr:nvPicPr>
        <xdr:cNvPr id="7" name="Resim 6">
          <a:extLst>
            <a:ext uri="{FF2B5EF4-FFF2-40B4-BE49-F238E27FC236}">
              <a16:creationId xmlns:a16="http://schemas.microsoft.com/office/drawing/2014/main" id="{00000000-0008-0000-0800-000007000000}"/>
            </a:ext>
          </a:extLst>
        </xdr:cNvPr>
        <xdr:cNvPicPr>
          <a:picLocks noChangeAspect="1"/>
        </xdr:cNvPicPr>
      </xdr:nvPicPr>
      <xdr:blipFill rotWithShape="1">
        <a:blip xmlns:r="http://schemas.openxmlformats.org/officeDocument/2006/relationships" r:embed="rId4"/>
        <a:srcRect l="4323" t="14632" r="19104" b="43326"/>
        <a:stretch/>
      </xdr:blipFill>
      <xdr:spPr>
        <a:xfrm>
          <a:off x="291353" y="6497731"/>
          <a:ext cx="5961529" cy="1756215"/>
        </a:xfrm>
        <a:prstGeom prst="rect">
          <a:avLst/>
        </a:prstGeom>
      </xdr:spPr>
    </xdr:pic>
    <xdr:clientData/>
  </xdr:twoCellAnchor>
  <xdr:twoCellAnchor editAs="oneCell">
    <xdr:from>
      <xdr:col>5</xdr:col>
      <xdr:colOff>422088</xdr:colOff>
      <xdr:row>34</xdr:row>
      <xdr:rowOff>28761</xdr:rowOff>
    </xdr:from>
    <xdr:to>
      <xdr:col>9</xdr:col>
      <xdr:colOff>383988</xdr:colOff>
      <xdr:row>73</xdr:row>
      <xdr:rowOff>162112</xdr:rowOff>
    </xdr:to>
    <xdr:pic>
      <xdr:nvPicPr>
        <xdr:cNvPr id="11" name="Resim 10">
          <a:extLst>
            <a:ext uri="{FF2B5EF4-FFF2-40B4-BE49-F238E27FC236}">
              <a16:creationId xmlns:a16="http://schemas.microsoft.com/office/drawing/2014/main" id="{00000000-0008-0000-0800-00000B000000}"/>
            </a:ext>
          </a:extLst>
        </xdr:cNvPr>
        <xdr:cNvPicPr>
          <a:picLocks noChangeAspect="1"/>
        </xdr:cNvPicPr>
      </xdr:nvPicPr>
      <xdr:blipFill rotWithShape="1">
        <a:blip xmlns:r="http://schemas.openxmlformats.org/officeDocument/2006/relationships" r:embed="rId5"/>
        <a:srcRect l="49277" t="14910" r="29210" b="9711"/>
        <a:stretch/>
      </xdr:blipFill>
      <xdr:spPr>
        <a:xfrm>
          <a:off x="6484470" y="6729879"/>
          <a:ext cx="3928783" cy="7943851"/>
        </a:xfrm>
        <a:prstGeom prst="rect">
          <a:avLst/>
        </a:prstGeom>
      </xdr:spPr>
    </xdr:pic>
    <xdr:clientData/>
  </xdr:twoCellAnchor>
  <xdr:twoCellAnchor editAs="oneCell">
    <xdr:from>
      <xdr:col>42</xdr:col>
      <xdr:colOff>19050</xdr:colOff>
      <xdr:row>0</xdr:row>
      <xdr:rowOff>0</xdr:rowOff>
    </xdr:from>
    <xdr:to>
      <xdr:col>54</xdr:col>
      <xdr:colOff>114300</xdr:colOff>
      <xdr:row>8</xdr:row>
      <xdr:rowOff>40293</xdr:rowOff>
    </xdr:to>
    <xdr:pic>
      <xdr:nvPicPr>
        <xdr:cNvPr id="12" name="Resim 11">
          <a:extLst>
            <a:ext uri="{FF2B5EF4-FFF2-40B4-BE49-F238E27FC236}">
              <a16:creationId xmlns:a16="http://schemas.microsoft.com/office/drawing/2014/main" id="{00000000-0008-0000-0800-00000C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9528750" y="0"/>
          <a:ext cx="7410450" cy="15642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42</xdr:col>
      <xdr:colOff>19051</xdr:colOff>
      <xdr:row>8</xdr:row>
      <xdr:rowOff>28575</xdr:rowOff>
    </xdr:from>
    <xdr:to>
      <xdr:col>54</xdr:col>
      <xdr:colOff>123825</xdr:colOff>
      <xdr:row>21</xdr:row>
      <xdr:rowOff>267661</xdr:rowOff>
    </xdr:to>
    <xdr:pic>
      <xdr:nvPicPr>
        <xdr:cNvPr id="14" name="Resim 13">
          <a:extLst>
            <a:ext uri="{FF2B5EF4-FFF2-40B4-BE49-F238E27FC236}">
              <a16:creationId xmlns:a16="http://schemas.microsoft.com/office/drawing/2014/main" id="{00000000-0008-0000-0800-00000E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7147501" y="1552575"/>
          <a:ext cx="7419974" cy="27155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42</xdr:col>
      <xdr:colOff>19052</xdr:colOff>
      <xdr:row>21</xdr:row>
      <xdr:rowOff>295276</xdr:rowOff>
    </xdr:from>
    <xdr:to>
      <xdr:col>54</xdr:col>
      <xdr:colOff>123826</xdr:colOff>
      <xdr:row>38</xdr:row>
      <xdr:rowOff>124304</xdr:rowOff>
    </xdr:to>
    <xdr:pic>
      <xdr:nvPicPr>
        <xdr:cNvPr id="16" name="Resim 15">
          <a:extLst>
            <a:ext uri="{FF2B5EF4-FFF2-40B4-BE49-F238E27FC236}">
              <a16:creationId xmlns:a16="http://schemas.microsoft.com/office/drawing/2014/main" id="{00000000-0008-0000-0800-000010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7147502" y="4295776"/>
          <a:ext cx="7419974" cy="3667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42</xdr:col>
      <xdr:colOff>28576</xdr:colOff>
      <xdr:row>38</xdr:row>
      <xdr:rowOff>171451</xdr:rowOff>
    </xdr:from>
    <xdr:to>
      <xdr:col>54</xdr:col>
      <xdr:colOff>142875</xdr:colOff>
      <xdr:row>60</xdr:row>
      <xdr:rowOff>82974</xdr:rowOff>
    </xdr:to>
    <xdr:pic>
      <xdr:nvPicPr>
        <xdr:cNvPr id="17" name="Resim 16">
          <a:extLst>
            <a:ext uri="{FF2B5EF4-FFF2-40B4-BE49-F238E27FC236}">
              <a16:creationId xmlns:a16="http://schemas.microsoft.com/office/drawing/2014/main" id="{00000000-0008-0000-0800-000011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7157026" y="8010526"/>
          <a:ext cx="7429499" cy="41025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42</xdr:col>
      <xdr:colOff>1</xdr:colOff>
      <xdr:row>60</xdr:row>
      <xdr:rowOff>133351</xdr:rowOff>
    </xdr:from>
    <xdr:to>
      <xdr:col>48</xdr:col>
      <xdr:colOff>552451</xdr:colOff>
      <xdr:row>73</xdr:row>
      <xdr:rowOff>610390</xdr:rowOff>
    </xdr:to>
    <xdr:pic>
      <xdr:nvPicPr>
        <xdr:cNvPr id="19" name="Resim 18">
          <a:extLst>
            <a:ext uri="{FF2B5EF4-FFF2-40B4-BE49-F238E27FC236}">
              <a16:creationId xmlns:a16="http://schemas.microsoft.com/office/drawing/2014/main" id="{00000000-0008-0000-0800-000013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9509701" y="12163426"/>
          <a:ext cx="4210050" cy="29535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48</xdr:col>
      <xdr:colOff>590551</xdr:colOff>
      <xdr:row>60</xdr:row>
      <xdr:rowOff>142875</xdr:rowOff>
    </xdr:from>
    <xdr:to>
      <xdr:col>54</xdr:col>
      <xdr:colOff>533400</xdr:colOff>
      <xdr:row>71</xdr:row>
      <xdr:rowOff>167034</xdr:rowOff>
    </xdr:to>
    <xdr:pic>
      <xdr:nvPicPr>
        <xdr:cNvPr id="20" name="Resim 19">
          <a:extLst>
            <a:ext uri="{FF2B5EF4-FFF2-40B4-BE49-F238E27FC236}">
              <a16:creationId xmlns:a16="http://schemas.microsoft.com/office/drawing/2014/main" id="{00000000-0008-0000-0800-000014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43757851" y="12172950"/>
          <a:ext cx="3600449" cy="21196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42</xdr:col>
      <xdr:colOff>9526</xdr:colOff>
      <xdr:row>73</xdr:row>
      <xdr:rowOff>628650</xdr:rowOff>
    </xdr:from>
    <xdr:to>
      <xdr:col>48</xdr:col>
      <xdr:colOff>571500</xdr:colOff>
      <xdr:row>82</xdr:row>
      <xdr:rowOff>128933</xdr:rowOff>
    </xdr:to>
    <xdr:pic>
      <xdr:nvPicPr>
        <xdr:cNvPr id="22" name="Resim 21">
          <a:extLst>
            <a:ext uri="{FF2B5EF4-FFF2-40B4-BE49-F238E27FC236}">
              <a16:creationId xmlns:a16="http://schemas.microsoft.com/office/drawing/2014/main" id="{00000000-0008-0000-0800-000016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9519226" y="15135225"/>
          <a:ext cx="4219574" cy="19767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48</xdr:col>
      <xdr:colOff>600075</xdr:colOff>
      <xdr:row>72</xdr:row>
      <xdr:rowOff>19050</xdr:rowOff>
    </xdr:from>
    <xdr:to>
      <xdr:col>54</xdr:col>
      <xdr:colOff>495300</xdr:colOff>
      <xdr:row>84</xdr:row>
      <xdr:rowOff>88896</xdr:rowOff>
    </xdr:to>
    <xdr:pic>
      <xdr:nvPicPr>
        <xdr:cNvPr id="23" name="Resim 22">
          <a:extLst>
            <a:ext uri="{FF2B5EF4-FFF2-40B4-BE49-F238E27FC236}">
              <a16:creationId xmlns:a16="http://schemas.microsoft.com/office/drawing/2014/main" id="{00000000-0008-0000-0800-000017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43767375" y="14335125"/>
          <a:ext cx="3552825" cy="31178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41</xdr:col>
      <xdr:colOff>603472</xdr:colOff>
      <xdr:row>84</xdr:row>
      <xdr:rowOff>142875</xdr:rowOff>
    </xdr:from>
    <xdr:to>
      <xdr:col>56</xdr:col>
      <xdr:colOff>523875</xdr:colOff>
      <xdr:row>95</xdr:row>
      <xdr:rowOff>3084</xdr:rowOff>
    </xdr:to>
    <xdr:pic>
      <xdr:nvPicPr>
        <xdr:cNvPr id="24" name="Resim 23">
          <a:extLst>
            <a:ext uri="{FF2B5EF4-FFF2-40B4-BE49-F238E27FC236}">
              <a16:creationId xmlns:a16="http://schemas.microsoft.com/office/drawing/2014/main" id="{00000000-0008-0000-0800-000018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9503572" y="17506950"/>
          <a:ext cx="9064403" cy="19521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180977</xdr:rowOff>
    </xdr:from>
    <xdr:to>
      <xdr:col>5</xdr:col>
      <xdr:colOff>257174</xdr:colOff>
      <xdr:row>57</xdr:row>
      <xdr:rowOff>177185</xdr:rowOff>
    </xdr:to>
    <xdr:pic>
      <xdr:nvPicPr>
        <xdr:cNvPr id="8" name="Resim 7">
          <a:extLst>
            <a:ext uri="{FF2B5EF4-FFF2-40B4-BE49-F238E27FC236}">
              <a16:creationId xmlns:a16="http://schemas.microsoft.com/office/drawing/2014/main" id="{00000000-0008-0000-0800-000008000000}"/>
            </a:ext>
          </a:extLst>
        </xdr:cNvPr>
        <xdr:cNvPicPr>
          <a:picLocks noChangeAspect="1"/>
        </xdr:cNvPicPr>
      </xdr:nvPicPr>
      <xdr:blipFill rotWithShape="1">
        <a:blip xmlns:r="http://schemas.openxmlformats.org/officeDocument/2006/relationships" r:embed="rId15"/>
        <a:srcRect l="7657" t="13520" r="11864" b="13415"/>
        <a:stretch/>
      </xdr:blipFill>
      <xdr:spPr>
        <a:xfrm>
          <a:off x="0" y="8401052"/>
          <a:ext cx="6334124" cy="3234708"/>
        </a:xfrm>
        <a:prstGeom prst="rect">
          <a:avLst/>
        </a:prstGeom>
      </xdr:spPr>
    </xdr:pic>
    <xdr:clientData/>
  </xdr:twoCellAnchor>
  <xdr:twoCellAnchor editAs="oneCell">
    <xdr:from>
      <xdr:col>0</xdr:col>
      <xdr:colOff>0</xdr:colOff>
      <xdr:row>58</xdr:row>
      <xdr:rowOff>38101</xdr:rowOff>
    </xdr:from>
    <xdr:to>
      <xdr:col>5</xdr:col>
      <xdr:colOff>322301</xdr:colOff>
      <xdr:row>81</xdr:row>
      <xdr:rowOff>171450</xdr:rowOff>
    </xdr:to>
    <xdr:pic>
      <xdr:nvPicPr>
        <xdr:cNvPr id="9" name="Resim 8">
          <a:extLst>
            <a:ext uri="{FF2B5EF4-FFF2-40B4-BE49-F238E27FC236}">
              <a16:creationId xmlns:a16="http://schemas.microsoft.com/office/drawing/2014/main" id="{00000000-0008-0000-0800-000009000000}"/>
            </a:ext>
          </a:extLst>
        </xdr:cNvPr>
        <xdr:cNvPicPr>
          <a:picLocks noChangeAspect="1"/>
        </xdr:cNvPicPr>
      </xdr:nvPicPr>
      <xdr:blipFill rotWithShape="1">
        <a:blip xmlns:r="http://schemas.openxmlformats.org/officeDocument/2006/relationships" r:embed="rId16"/>
        <a:srcRect l="23128" t="11113" r="24626" b="14526"/>
        <a:stretch/>
      </xdr:blipFill>
      <xdr:spPr>
        <a:xfrm>
          <a:off x="0" y="11687176"/>
          <a:ext cx="6399251" cy="5276849"/>
        </a:xfrm>
        <a:prstGeom prst="rect">
          <a:avLst/>
        </a:prstGeom>
      </xdr:spPr>
    </xdr:pic>
    <xdr:clientData/>
  </xdr:twoCellAnchor>
  <xdr:twoCellAnchor editAs="oneCell">
    <xdr:from>
      <xdr:col>0</xdr:col>
      <xdr:colOff>0</xdr:colOff>
      <xdr:row>82</xdr:row>
      <xdr:rowOff>114301</xdr:rowOff>
    </xdr:from>
    <xdr:to>
      <xdr:col>5</xdr:col>
      <xdr:colOff>238125</xdr:colOff>
      <xdr:row>98</xdr:row>
      <xdr:rowOff>137223</xdr:rowOff>
    </xdr:to>
    <xdr:pic>
      <xdr:nvPicPr>
        <xdr:cNvPr id="10" name="Resim 9">
          <a:extLst>
            <a:ext uri="{FF2B5EF4-FFF2-40B4-BE49-F238E27FC236}">
              <a16:creationId xmlns:a16="http://schemas.microsoft.com/office/drawing/2014/main" id="{00000000-0008-0000-0800-00000A000000}"/>
            </a:ext>
          </a:extLst>
        </xdr:cNvPr>
        <xdr:cNvPicPr>
          <a:picLocks noChangeAspect="1"/>
        </xdr:cNvPicPr>
      </xdr:nvPicPr>
      <xdr:blipFill rotWithShape="1">
        <a:blip xmlns:r="http://schemas.openxmlformats.org/officeDocument/2006/relationships" r:embed="rId17"/>
        <a:srcRect l="23322" t="20846" r="24430" b="33986"/>
        <a:stretch/>
      </xdr:blipFill>
      <xdr:spPr>
        <a:xfrm>
          <a:off x="0" y="17097376"/>
          <a:ext cx="6315075" cy="3070922"/>
        </a:xfrm>
        <a:prstGeom prst="rect">
          <a:avLst/>
        </a:prstGeom>
      </xdr:spPr>
    </xdr:pic>
    <xdr:clientData/>
  </xdr:twoCellAnchor>
  <xdr:twoCellAnchor editAs="oneCell">
    <xdr:from>
      <xdr:col>3</xdr:col>
      <xdr:colOff>1423147</xdr:colOff>
      <xdr:row>0</xdr:row>
      <xdr:rowOff>22412</xdr:rowOff>
    </xdr:from>
    <xdr:to>
      <xdr:col>6</xdr:col>
      <xdr:colOff>930122</xdr:colOff>
      <xdr:row>14</xdr:row>
      <xdr:rowOff>32311</xdr:rowOff>
    </xdr:to>
    <xdr:pic>
      <xdr:nvPicPr>
        <xdr:cNvPr id="13" name="Resim 12">
          <a:extLst>
            <a:ext uri="{FF2B5EF4-FFF2-40B4-BE49-F238E27FC236}">
              <a16:creationId xmlns:a16="http://schemas.microsoft.com/office/drawing/2014/main" id="{00000000-0008-0000-0800-00000D000000}"/>
            </a:ext>
          </a:extLst>
        </xdr:cNvPr>
        <xdr:cNvPicPr>
          <a:picLocks noChangeAspect="1"/>
        </xdr:cNvPicPr>
      </xdr:nvPicPr>
      <xdr:blipFill>
        <a:blip xmlns:r="http://schemas.openxmlformats.org/officeDocument/2006/relationships" r:embed="rId18"/>
        <a:stretch>
          <a:fillRect/>
        </a:stretch>
      </xdr:blipFill>
      <xdr:spPr>
        <a:xfrm>
          <a:off x="4258235" y="22412"/>
          <a:ext cx="4258269" cy="2676899"/>
        </a:xfrm>
        <a:prstGeom prst="rect">
          <a:avLst/>
        </a:prstGeom>
      </xdr:spPr>
    </xdr:pic>
    <xdr:clientData/>
  </xdr:twoCellAnchor>
  <xdr:twoCellAnchor editAs="oneCell">
    <xdr:from>
      <xdr:col>6</xdr:col>
      <xdr:colOff>952501</xdr:colOff>
      <xdr:row>0</xdr:row>
      <xdr:rowOff>56030</xdr:rowOff>
    </xdr:from>
    <xdr:to>
      <xdr:col>11</xdr:col>
      <xdr:colOff>818038</xdr:colOff>
      <xdr:row>12</xdr:row>
      <xdr:rowOff>113507</xdr:rowOff>
    </xdr:to>
    <xdr:pic>
      <xdr:nvPicPr>
        <xdr:cNvPr id="18" name="Resim 17">
          <a:extLst>
            <a:ext uri="{FF2B5EF4-FFF2-40B4-BE49-F238E27FC236}">
              <a16:creationId xmlns:a16="http://schemas.microsoft.com/office/drawing/2014/main" id="{00000000-0008-0000-0800-000012000000}"/>
            </a:ext>
          </a:extLst>
        </xdr:cNvPr>
        <xdr:cNvPicPr>
          <a:picLocks noChangeAspect="1"/>
        </xdr:cNvPicPr>
      </xdr:nvPicPr>
      <xdr:blipFill>
        <a:blip xmlns:r="http://schemas.openxmlformats.org/officeDocument/2006/relationships" r:embed="rId19"/>
        <a:stretch>
          <a:fillRect/>
        </a:stretch>
      </xdr:blipFill>
      <xdr:spPr>
        <a:xfrm>
          <a:off x="8538883" y="56030"/>
          <a:ext cx="4067743" cy="2343477"/>
        </a:xfrm>
        <a:prstGeom prst="rect">
          <a:avLst/>
        </a:prstGeom>
      </xdr:spPr>
    </xdr:pic>
    <xdr:clientData/>
  </xdr:twoCellAnchor>
  <xdr:twoCellAnchor editAs="oneCell">
    <xdr:from>
      <xdr:col>0</xdr:col>
      <xdr:colOff>11207</xdr:colOff>
      <xdr:row>0</xdr:row>
      <xdr:rowOff>44824</xdr:rowOff>
    </xdr:from>
    <xdr:to>
      <xdr:col>3</xdr:col>
      <xdr:colOff>1405809</xdr:colOff>
      <xdr:row>12</xdr:row>
      <xdr:rowOff>7038</xdr:rowOff>
    </xdr:to>
    <xdr:pic>
      <xdr:nvPicPr>
        <xdr:cNvPr id="21" name="Resim 20">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20"/>
        <a:stretch>
          <a:fillRect/>
        </a:stretch>
      </xdr:blipFill>
      <xdr:spPr>
        <a:xfrm>
          <a:off x="11207" y="44824"/>
          <a:ext cx="4229690" cy="224821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0</xdr:rowOff>
    </xdr:from>
    <xdr:to>
      <xdr:col>3</xdr:col>
      <xdr:colOff>266700</xdr:colOff>
      <xdr:row>17</xdr:row>
      <xdr:rowOff>32629</xdr:rowOff>
    </xdr:to>
    <xdr:pic>
      <xdr:nvPicPr>
        <xdr:cNvPr id="2" name="Resim 1">
          <a:extLst>
            <a:ext uri="{FF2B5EF4-FFF2-40B4-BE49-F238E27FC236}">
              <a16:creationId xmlns:a16="http://schemas.microsoft.com/office/drawing/2014/main" id="{00000000-0008-0000-0A00-000002000000}"/>
            </a:ext>
          </a:extLst>
        </xdr:cNvPr>
        <xdr:cNvPicPr>
          <a:picLocks noChangeAspect="1"/>
        </xdr:cNvPicPr>
      </xdr:nvPicPr>
      <xdr:blipFill rotWithShape="1">
        <a:blip xmlns:r="http://schemas.openxmlformats.org/officeDocument/2006/relationships" r:embed="rId1"/>
        <a:srcRect l="6488" t="20820" r="51883" b="6709"/>
        <a:stretch/>
      </xdr:blipFill>
      <xdr:spPr>
        <a:xfrm>
          <a:off x="76200" y="0"/>
          <a:ext cx="4581525" cy="3556879"/>
        </a:xfrm>
        <a:prstGeom prst="rect">
          <a:avLst/>
        </a:prstGeom>
      </xdr:spPr>
    </xdr:pic>
    <xdr:clientData/>
  </xdr:twoCellAnchor>
  <xdr:twoCellAnchor editAs="oneCell">
    <xdr:from>
      <xdr:col>4</xdr:col>
      <xdr:colOff>361949</xdr:colOff>
      <xdr:row>0</xdr:row>
      <xdr:rowOff>171450</xdr:rowOff>
    </xdr:from>
    <xdr:to>
      <xdr:col>11</xdr:col>
      <xdr:colOff>685800</xdr:colOff>
      <xdr:row>17</xdr:row>
      <xdr:rowOff>142885</xdr:rowOff>
    </xdr:to>
    <xdr:pic>
      <xdr:nvPicPr>
        <xdr:cNvPr id="6" name="Resim 5">
          <a:extLst>
            <a:ext uri="{FF2B5EF4-FFF2-40B4-BE49-F238E27FC236}">
              <a16:creationId xmlns:a16="http://schemas.microsoft.com/office/drawing/2014/main" id="{00000000-0008-0000-0A00-000006000000}"/>
            </a:ext>
          </a:extLst>
        </xdr:cNvPr>
        <xdr:cNvPicPr>
          <a:picLocks noChangeAspect="1"/>
        </xdr:cNvPicPr>
      </xdr:nvPicPr>
      <xdr:blipFill>
        <a:blip xmlns:r="http://schemas.openxmlformats.org/officeDocument/2006/relationships" r:embed="rId2"/>
        <a:stretch>
          <a:fillRect/>
        </a:stretch>
      </xdr:blipFill>
      <xdr:spPr>
        <a:xfrm>
          <a:off x="5362574" y="171450"/>
          <a:ext cx="5905501" cy="3495685"/>
        </a:xfrm>
        <a:prstGeom prst="rect">
          <a:avLst/>
        </a:prstGeom>
      </xdr:spPr>
    </xdr:pic>
    <xdr:clientData/>
  </xdr:twoCellAnchor>
  <xdr:twoCellAnchor editAs="oneCell">
    <xdr:from>
      <xdr:col>21</xdr:col>
      <xdr:colOff>523875</xdr:colOff>
      <xdr:row>0</xdr:row>
      <xdr:rowOff>0</xdr:rowOff>
    </xdr:from>
    <xdr:to>
      <xdr:col>26</xdr:col>
      <xdr:colOff>362800</xdr:colOff>
      <xdr:row>32</xdr:row>
      <xdr:rowOff>146352</xdr:rowOff>
    </xdr:to>
    <xdr:pic>
      <xdr:nvPicPr>
        <xdr:cNvPr id="8" name="Resim 7">
          <a:extLst>
            <a:ext uri="{FF2B5EF4-FFF2-40B4-BE49-F238E27FC236}">
              <a16:creationId xmlns:a16="http://schemas.microsoft.com/office/drawing/2014/main" id="{00000000-0008-0000-0A00-000008000000}"/>
            </a:ext>
          </a:extLst>
        </xdr:cNvPr>
        <xdr:cNvPicPr>
          <a:picLocks noChangeAspect="1"/>
        </xdr:cNvPicPr>
      </xdr:nvPicPr>
      <xdr:blipFill>
        <a:blip xmlns:r="http://schemas.openxmlformats.org/officeDocument/2006/relationships" r:embed="rId3"/>
        <a:stretch>
          <a:fillRect/>
        </a:stretch>
      </xdr:blipFill>
      <xdr:spPr>
        <a:xfrm>
          <a:off x="21631275" y="0"/>
          <a:ext cx="5687275" cy="7413927"/>
        </a:xfrm>
        <a:prstGeom prst="rect">
          <a:avLst/>
        </a:prstGeom>
      </xdr:spPr>
    </xdr:pic>
    <xdr:clientData/>
  </xdr:twoCellAnchor>
  <xdr:twoCellAnchor editAs="oneCell">
    <xdr:from>
      <xdr:col>26</xdr:col>
      <xdr:colOff>295276</xdr:colOff>
      <xdr:row>0</xdr:row>
      <xdr:rowOff>0</xdr:rowOff>
    </xdr:from>
    <xdr:to>
      <xdr:col>40</xdr:col>
      <xdr:colOff>419100</xdr:colOff>
      <xdr:row>29</xdr:row>
      <xdr:rowOff>5648</xdr:rowOff>
    </xdr:to>
    <xdr:pic>
      <xdr:nvPicPr>
        <xdr:cNvPr id="9" name="Resim 8">
          <a:extLst>
            <a:ext uri="{FF2B5EF4-FFF2-40B4-BE49-F238E27FC236}">
              <a16:creationId xmlns:a16="http://schemas.microsoft.com/office/drawing/2014/main" id="{00000000-0008-0000-0A00-000009000000}"/>
            </a:ext>
          </a:extLst>
        </xdr:cNvPr>
        <xdr:cNvPicPr>
          <a:picLocks noChangeAspect="1"/>
        </xdr:cNvPicPr>
      </xdr:nvPicPr>
      <xdr:blipFill>
        <a:blip xmlns:r="http://schemas.openxmlformats.org/officeDocument/2006/relationships" r:embed="rId4"/>
        <a:stretch>
          <a:fillRect/>
        </a:stretch>
      </xdr:blipFill>
      <xdr:spPr>
        <a:xfrm>
          <a:off x="31480126" y="0"/>
          <a:ext cx="8658224" cy="6692198"/>
        </a:xfrm>
        <a:prstGeom prst="rect">
          <a:avLst/>
        </a:prstGeom>
      </xdr:spPr>
    </xdr:pic>
    <xdr:clientData/>
  </xdr:twoCellAnchor>
  <xdr:twoCellAnchor editAs="oneCell">
    <xdr:from>
      <xdr:col>26</xdr:col>
      <xdr:colOff>361950</xdr:colOff>
      <xdr:row>29</xdr:row>
      <xdr:rowOff>0</xdr:rowOff>
    </xdr:from>
    <xdr:to>
      <xdr:col>31</xdr:col>
      <xdr:colOff>324270</xdr:colOff>
      <xdr:row>42</xdr:row>
      <xdr:rowOff>48007</xdr:rowOff>
    </xdr:to>
    <xdr:pic>
      <xdr:nvPicPr>
        <xdr:cNvPr id="10" name="Resim 9">
          <a:extLst>
            <a:ext uri="{FF2B5EF4-FFF2-40B4-BE49-F238E27FC236}">
              <a16:creationId xmlns:a16="http://schemas.microsoft.com/office/drawing/2014/main" id="{00000000-0008-0000-0A00-00000A000000}"/>
            </a:ext>
          </a:extLst>
        </xdr:cNvPr>
        <xdr:cNvPicPr>
          <a:picLocks noChangeAspect="1"/>
        </xdr:cNvPicPr>
      </xdr:nvPicPr>
      <xdr:blipFill>
        <a:blip xmlns:r="http://schemas.openxmlformats.org/officeDocument/2006/relationships" r:embed="rId5"/>
        <a:stretch>
          <a:fillRect/>
        </a:stretch>
      </xdr:blipFill>
      <xdr:spPr>
        <a:xfrm>
          <a:off x="31546800" y="6686550"/>
          <a:ext cx="3010320" cy="2734057"/>
        </a:xfrm>
        <a:prstGeom prst="rect">
          <a:avLst/>
        </a:prstGeom>
      </xdr:spPr>
    </xdr:pic>
    <xdr:clientData/>
  </xdr:twoCellAnchor>
  <xdr:twoCellAnchor editAs="oneCell">
    <xdr:from>
      <xdr:col>43</xdr:col>
      <xdr:colOff>0</xdr:colOff>
      <xdr:row>1</xdr:row>
      <xdr:rowOff>0</xdr:rowOff>
    </xdr:from>
    <xdr:to>
      <xdr:col>52</xdr:col>
      <xdr:colOff>501872</xdr:colOff>
      <xdr:row>20</xdr:row>
      <xdr:rowOff>441416</xdr:rowOff>
    </xdr:to>
    <xdr:pic>
      <xdr:nvPicPr>
        <xdr:cNvPr id="3" name="Resim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6"/>
        <a:stretch>
          <a:fillRect/>
        </a:stretch>
      </xdr:blipFill>
      <xdr:spPr>
        <a:xfrm>
          <a:off x="41637857" y="204107"/>
          <a:ext cx="6012765" cy="4463143"/>
        </a:xfrm>
        <a:prstGeom prst="rect">
          <a:avLst/>
        </a:prstGeom>
      </xdr:spPr>
    </xdr:pic>
    <xdr:clientData/>
  </xdr:twoCellAnchor>
  <xdr:twoCellAnchor editAs="oneCell">
    <xdr:from>
      <xdr:col>54</xdr:col>
      <xdr:colOff>0</xdr:colOff>
      <xdr:row>1</xdr:row>
      <xdr:rowOff>1</xdr:rowOff>
    </xdr:from>
    <xdr:to>
      <xdr:col>66</xdr:col>
      <xdr:colOff>544286</xdr:colOff>
      <xdr:row>20</xdr:row>
      <xdr:rowOff>341090</xdr:rowOff>
    </xdr:to>
    <xdr:pic>
      <xdr:nvPicPr>
        <xdr:cNvPr id="4" name="Resim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7"/>
        <a:stretch>
          <a:fillRect/>
        </a:stretch>
      </xdr:blipFill>
      <xdr:spPr>
        <a:xfrm>
          <a:off x="48373393" y="204108"/>
          <a:ext cx="7892143" cy="4355196"/>
        </a:xfrm>
        <a:prstGeom prst="rect">
          <a:avLst/>
        </a:prstGeom>
      </xdr:spPr>
    </xdr:pic>
    <xdr:clientData/>
  </xdr:twoCellAnchor>
  <xdr:twoCellAnchor editAs="oneCell">
    <xdr:from>
      <xdr:col>68</xdr:col>
      <xdr:colOff>1</xdr:colOff>
      <xdr:row>1</xdr:row>
      <xdr:rowOff>0</xdr:rowOff>
    </xdr:from>
    <xdr:to>
      <xdr:col>78</xdr:col>
      <xdr:colOff>258537</xdr:colOff>
      <xdr:row>21</xdr:row>
      <xdr:rowOff>142421</xdr:rowOff>
    </xdr:to>
    <xdr:pic>
      <xdr:nvPicPr>
        <xdr:cNvPr id="7" name="Resim 6">
          <a:extLst>
            <a:ext uri="{FF2B5EF4-FFF2-40B4-BE49-F238E27FC236}">
              <a16:creationId xmlns:a16="http://schemas.microsoft.com/office/drawing/2014/main" id="{00000000-0008-0000-0A00-000007000000}"/>
            </a:ext>
          </a:extLst>
        </xdr:cNvPr>
        <xdr:cNvPicPr>
          <a:picLocks noChangeAspect="1"/>
        </xdr:cNvPicPr>
      </xdr:nvPicPr>
      <xdr:blipFill>
        <a:blip xmlns:r="http://schemas.openxmlformats.org/officeDocument/2006/relationships" r:embed="rId8"/>
        <a:stretch>
          <a:fillRect/>
        </a:stretch>
      </xdr:blipFill>
      <xdr:spPr>
        <a:xfrm>
          <a:off x="56945894" y="204107"/>
          <a:ext cx="6381750" cy="4619171"/>
        </a:xfrm>
        <a:prstGeom prst="rect">
          <a:avLst/>
        </a:prstGeom>
      </xdr:spPr>
    </xdr:pic>
    <xdr:clientData/>
  </xdr:twoCellAnchor>
  <xdr:twoCellAnchor editAs="oneCell">
    <xdr:from>
      <xdr:col>53</xdr:col>
      <xdr:colOff>54429</xdr:colOff>
      <xdr:row>24</xdr:row>
      <xdr:rowOff>27215</xdr:rowOff>
    </xdr:from>
    <xdr:to>
      <xdr:col>60</xdr:col>
      <xdr:colOff>55027</xdr:colOff>
      <xdr:row>54</xdr:row>
      <xdr:rowOff>119342</xdr:rowOff>
    </xdr:to>
    <xdr:pic>
      <xdr:nvPicPr>
        <xdr:cNvPr id="12" name="Resim 11">
          <a:extLst>
            <a:ext uri="{FF2B5EF4-FFF2-40B4-BE49-F238E27FC236}">
              <a16:creationId xmlns:a16="http://schemas.microsoft.com/office/drawing/2014/main" id="{00000000-0008-0000-0A00-00000C000000}"/>
            </a:ext>
          </a:extLst>
        </xdr:cNvPr>
        <xdr:cNvPicPr>
          <a:picLocks noChangeAspect="1"/>
        </xdr:cNvPicPr>
      </xdr:nvPicPr>
      <xdr:blipFill>
        <a:blip xmlns:r="http://schemas.openxmlformats.org/officeDocument/2006/relationships" r:embed="rId9"/>
        <a:stretch>
          <a:fillRect/>
        </a:stretch>
      </xdr:blipFill>
      <xdr:spPr>
        <a:xfrm>
          <a:off x="47815500" y="5320394"/>
          <a:ext cx="4286848" cy="6868484"/>
        </a:xfrm>
        <a:prstGeom prst="rect">
          <a:avLst/>
        </a:prstGeom>
      </xdr:spPr>
    </xdr:pic>
    <xdr:clientData/>
  </xdr:twoCellAnchor>
  <xdr:twoCellAnchor editAs="oneCell">
    <xdr:from>
      <xdr:col>45</xdr:col>
      <xdr:colOff>0</xdr:colOff>
      <xdr:row>24</xdr:row>
      <xdr:rowOff>0</xdr:rowOff>
    </xdr:from>
    <xdr:to>
      <xdr:col>51</xdr:col>
      <xdr:colOff>603393</xdr:colOff>
      <xdr:row>55</xdr:row>
      <xdr:rowOff>63601</xdr:rowOff>
    </xdr:to>
    <xdr:pic>
      <xdr:nvPicPr>
        <xdr:cNvPr id="13" name="Resim 12">
          <a:extLst>
            <a:ext uri="{FF2B5EF4-FFF2-40B4-BE49-F238E27FC236}">
              <a16:creationId xmlns:a16="http://schemas.microsoft.com/office/drawing/2014/main" id="{00000000-0008-0000-0A00-00000D000000}"/>
            </a:ext>
          </a:extLst>
        </xdr:cNvPr>
        <xdr:cNvPicPr>
          <a:picLocks noChangeAspect="1"/>
        </xdr:cNvPicPr>
      </xdr:nvPicPr>
      <xdr:blipFill>
        <a:blip xmlns:r="http://schemas.openxmlformats.org/officeDocument/2006/relationships" r:embed="rId10"/>
        <a:stretch>
          <a:fillRect/>
        </a:stretch>
      </xdr:blipFill>
      <xdr:spPr>
        <a:xfrm>
          <a:off x="42862500" y="5293179"/>
          <a:ext cx="4277322" cy="7220958"/>
        </a:xfrm>
        <a:prstGeom prst="rect">
          <a:avLst/>
        </a:prstGeom>
      </xdr:spPr>
    </xdr:pic>
    <xdr:clientData/>
  </xdr:twoCellAnchor>
  <xdr:twoCellAnchor editAs="oneCell">
    <xdr:from>
      <xdr:col>45</xdr:col>
      <xdr:colOff>68036</xdr:colOff>
      <xdr:row>55</xdr:row>
      <xdr:rowOff>40822</xdr:rowOff>
    </xdr:from>
    <xdr:to>
      <xdr:col>51</xdr:col>
      <xdr:colOff>528534</xdr:colOff>
      <xdr:row>71</xdr:row>
      <xdr:rowOff>127091</xdr:rowOff>
    </xdr:to>
    <xdr:pic>
      <xdr:nvPicPr>
        <xdr:cNvPr id="14" name="Resim 13">
          <a:extLst>
            <a:ext uri="{FF2B5EF4-FFF2-40B4-BE49-F238E27FC236}">
              <a16:creationId xmlns:a16="http://schemas.microsoft.com/office/drawing/2014/main" id="{00000000-0008-0000-0A00-00000E000000}"/>
            </a:ext>
          </a:extLst>
        </xdr:cNvPr>
        <xdr:cNvPicPr>
          <a:picLocks noChangeAspect="1"/>
        </xdr:cNvPicPr>
      </xdr:nvPicPr>
      <xdr:blipFill>
        <a:blip xmlns:r="http://schemas.openxmlformats.org/officeDocument/2006/relationships" r:embed="rId11"/>
        <a:stretch>
          <a:fillRect/>
        </a:stretch>
      </xdr:blipFill>
      <xdr:spPr>
        <a:xfrm>
          <a:off x="42930536" y="12491358"/>
          <a:ext cx="4134427" cy="389626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19050</xdr:colOff>
      <xdr:row>17</xdr:row>
      <xdr:rowOff>104775</xdr:rowOff>
    </xdr:from>
    <xdr:to>
      <xdr:col>14</xdr:col>
      <xdr:colOff>123825</xdr:colOff>
      <xdr:row>54</xdr:row>
      <xdr:rowOff>138704</xdr:rowOff>
    </xdr:to>
    <xdr:pic>
      <xdr:nvPicPr>
        <xdr:cNvPr id="2" name="Resim 1">
          <a:extLst>
            <a:ext uri="{FF2B5EF4-FFF2-40B4-BE49-F238E27FC236}">
              <a16:creationId xmlns:a16="http://schemas.microsoft.com/office/drawing/2014/main" id="{00000000-0008-0000-0B00-000002000000}"/>
            </a:ext>
          </a:extLst>
        </xdr:cNvPr>
        <xdr:cNvPicPr>
          <a:picLocks noChangeAspect="1"/>
        </xdr:cNvPicPr>
      </xdr:nvPicPr>
      <xdr:blipFill rotWithShape="1">
        <a:blip xmlns:r="http://schemas.openxmlformats.org/officeDocument/2006/relationships" r:embed="rId1"/>
        <a:srcRect l="28352" t="7541" r="29307" b="23535"/>
        <a:stretch/>
      </xdr:blipFill>
      <xdr:spPr>
        <a:xfrm>
          <a:off x="19050" y="3390900"/>
          <a:ext cx="8639175" cy="7082429"/>
        </a:xfrm>
        <a:prstGeom prst="rect">
          <a:avLst/>
        </a:prstGeom>
      </xdr:spPr>
    </xdr:pic>
    <xdr:clientData/>
  </xdr:twoCellAnchor>
  <xdr:twoCellAnchor editAs="oneCell">
    <xdr:from>
      <xdr:col>25</xdr:col>
      <xdr:colOff>66675</xdr:colOff>
      <xdr:row>25</xdr:row>
      <xdr:rowOff>47625</xdr:rowOff>
    </xdr:from>
    <xdr:to>
      <xdr:col>41</xdr:col>
      <xdr:colOff>38100</xdr:colOff>
      <xdr:row>53</xdr:row>
      <xdr:rowOff>18519</xdr:rowOff>
    </xdr:to>
    <xdr:pic>
      <xdr:nvPicPr>
        <xdr:cNvPr id="3" name="Resim 2">
          <a:extLst>
            <a:ext uri="{FF2B5EF4-FFF2-40B4-BE49-F238E27FC236}">
              <a16:creationId xmlns:a16="http://schemas.microsoft.com/office/drawing/2014/main" id="{00000000-0008-0000-0B00-000003000000}"/>
            </a:ext>
          </a:extLst>
        </xdr:cNvPr>
        <xdr:cNvPicPr>
          <a:picLocks noChangeAspect="1"/>
        </xdr:cNvPicPr>
      </xdr:nvPicPr>
      <xdr:blipFill rotWithShape="1">
        <a:blip xmlns:r="http://schemas.openxmlformats.org/officeDocument/2006/relationships" r:embed="rId2"/>
        <a:srcRect l="5730" t="9392" r="9661" b="9115"/>
        <a:stretch/>
      </xdr:blipFill>
      <xdr:spPr>
        <a:xfrm>
          <a:off x="12573000" y="4857750"/>
          <a:ext cx="9725025" cy="5304894"/>
        </a:xfrm>
        <a:prstGeom prst="rect">
          <a:avLst/>
        </a:prstGeom>
      </xdr:spPr>
    </xdr:pic>
    <xdr:clientData/>
  </xdr:twoCellAnchor>
  <xdr:twoCellAnchor editAs="oneCell">
    <xdr:from>
      <xdr:col>0</xdr:col>
      <xdr:colOff>0</xdr:colOff>
      <xdr:row>57</xdr:row>
      <xdr:rowOff>19049</xdr:rowOff>
    </xdr:from>
    <xdr:to>
      <xdr:col>14</xdr:col>
      <xdr:colOff>190500</xdr:colOff>
      <xdr:row>68</xdr:row>
      <xdr:rowOff>142875</xdr:rowOff>
    </xdr:to>
    <xdr:pic>
      <xdr:nvPicPr>
        <xdr:cNvPr id="4" name="Resim 3">
          <a:extLst>
            <a:ext uri="{FF2B5EF4-FFF2-40B4-BE49-F238E27FC236}">
              <a16:creationId xmlns:a16="http://schemas.microsoft.com/office/drawing/2014/main" id="{00000000-0008-0000-0B00-000004000000}"/>
            </a:ext>
          </a:extLst>
        </xdr:cNvPr>
        <xdr:cNvPicPr>
          <a:picLocks noChangeAspect="1"/>
        </xdr:cNvPicPr>
      </xdr:nvPicPr>
      <xdr:blipFill rotWithShape="1">
        <a:blip xmlns:r="http://schemas.openxmlformats.org/officeDocument/2006/relationships" r:embed="rId3"/>
        <a:srcRect l="43496" t="13612" r="8790" b="64718"/>
        <a:stretch/>
      </xdr:blipFill>
      <xdr:spPr>
        <a:xfrm>
          <a:off x="0" y="10925174"/>
          <a:ext cx="8724900" cy="2228851"/>
        </a:xfrm>
        <a:prstGeom prst="rect">
          <a:avLst/>
        </a:prstGeom>
      </xdr:spPr>
    </xdr:pic>
    <xdr:clientData/>
  </xdr:twoCellAnchor>
  <xdr:twoCellAnchor editAs="oneCell">
    <xdr:from>
      <xdr:col>0</xdr:col>
      <xdr:colOff>0</xdr:colOff>
      <xdr:row>69</xdr:row>
      <xdr:rowOff>28575</xdr:rowOff>
    </xdr:from>
    <xdr:to>
      <xdr:col>15</xdr:col>
      <xdr:colOff>1202873</xdr:colOff>
      <xdr:row>97</xdr:row>
      <xdr:rowOff>66675</xdr:rowOff>
    </xdr:to>
    <xdr:pic>
      <xdr:nvPicPr>
        <xdr:cNvPr id="5" name="Resim 4">
          <a:extLst>
            <a:ext uri="{FF2B5EF4-FFF2-40B4-BE49-F238E27FC236}">
              <a16:creationId xmlns:a16="http://schemas.microsoft.com/office/drawing/2014/main" id="{00000000-0008-0000-0B00-000005000000}"/>
            </a:ext>
          </a:extLst>
        </xdr:cNvPr>
        <xdr:cNvPicPr>
          <a:picLocks noChangeAspect="1"/>
        </xdr:cNvPicPr>
      </xdr:nvPicPr>
      <xdr:blipFill rotWithShape="1">
        <a:blip xmlns:r="http://schemas.openxmlformats.org/officeDocument/2006/relationships" r:embed="rId4"/>
        <a:srcRect l="40058" t="19261" r="3373" b="28510"/>
        <a:stretch/>
      </xdr:blipFill>
      <xdr:spPr>
        <a:xfrm>
          <a:off x="0" y="13230225"/>
          <a:ext cx="10344151" cy="5372100"/>
        </a:xfrm>
        <a:prstGeom prst="rect">
          <a:avLst/>
        </a:prstGeom>
      </xdr:spPr>
    </xdr:pic>
    <xdr:clientData/>
  </xdr:twoCellAnchor>
  <xdr:twoCellAnchor editAs="oneCell">
    <xdr:from>
      <xdr:col>0</xdr:col>
      <xdr:colOff>9525</xdr:colOff>
      <xdr:row>97</xdr:row>
      <xdr:rowOff>19049</xdr:rowOff>
    </xdr:from>
    <xdr:to>
      <xdr:col>15</xdr:col>
      <xdr:colOff>1202872</xdr:colOff>
      <xdr:row>112</xdr:row>
      <xdr:rowOff>9525</xdr:rowOff>
    </xdr:to>
    <xdr:pic>
      <xdr:nvPicPr>
        <xdr:cNvPr id="6" name="Resim 5">
          <a:extLst>
            <a:ext uri="{FF2B5EF4-FFF2-40B4-BE49-F238E27FC236}">
              <a16:creationId xmlns:a16="http://schemas.microsoft.com/office/drawing/2014/main" id="{00000000-0008-0000-0B00-000006000000}"/>
            </a:ext>
          </a:extLst>
        </xdr:cNvPr>
        <xdr:cNvPicPr>
          <a:picLocks noChangeAspect="1"/>
        </xdr:cNvPicPr>
      </xdr:nvPicPr>
      <xdr:blipFill rotWithShape="1">
        <a:blip xmlns:r="http://schemas.openxmlformats.org/officeDocument/2006/relationships" r:embed="rId5"/>
        <a:srcRect l="39902" t="13057" r="3321" b="59161"/>
        <a:stretch/>
      </xdr:blipFill>
      <xdr:spPr>
        <a:xfrm>
          <a:off x="9525" y="18554699"/>
          <a:ext cx="10334625" cy="2857501"/>
        </a:xfrm>
        <a:prstGeom prst="rect">
          <a:avLst/>
        </a:prstGeom>
      </xdr:spPr>
    </xdr:pic>
    <xdr:clientData/>
  </xdr:twoCellAnchor>
  <xdr:twoCellAnchor editAs="oneCell">
    <xdr:from>
      <xdr:col>0</xdr:col>
      <xdr:colOff>0</xdr:colOff>
      <xdr:row>0</xdr:row>
      <xdr:rowOff>0</xdr:rowOff>
    </xdr:from>
    <xdr:to>
      <xdr:col>14</xdr:col>
      <xdr:colOff>104775</xdr:colOff>
      <xdr:row>17</xdr:row>
      <xdr:rowOff>96520</xdr:rowOff>
    </xdr:to>
    <xdr:pic>
      <xdr:nvPicPr>
        <xdr:cNvPr id="7" name="Resim 6">
          <a:extLst>
            <a:ext uri="{FF2B5EF4-FFF2-40B4-BE49-F238E27FC236}">
              <a16:creationId xmlns:a16="http://schemas.microsoft.com/office/drawing/2014/main" id="{00000000-0008-0000-0B00-000007000000}"/>
            </a:ext>
          </a:extLst>
        </xdr:cNvPr>
        <xdr:cNvPicPr>
          <a:picLocks noChangeAspect="1"/>
        </xdr:cNvPicPr>
      </xdr:nvPicPr>
      <xdr:blipFill rotWithShape="1">
        <a:blip xmlns:r="http://schemas.openxmlformats.org/officeDocument/2006/relationships" r:embed="rId6"/>
        <a:srcRect l="37818" t="16577" r="6081" b="44530"/>
        <a:stretch/>
      </xdr:blipFill>
      <xdr:spPr>
        <a:xfrm>
          <a:off x="0" y="0"/>
          <a:ext cx="8639175" cy="3369038"/>
        </a:xfrm>
        <a:prstGeom prst="rect">
          <a:avLst/>
        </a:prstGeom>
      </xdr:spPr>
    </xdr:pic>
    <xdr:clientData/>
  </xdr:twoCellAnchor>
  <xdr:twoCellAnchor editAs="oneCell">
    <xdr:from>
      <xdr:col>25</xdr:col>
      <xdr:colOff>66675</xdr:colOff>
      <xdr:row>0</xdr:row>
      <xdr:rowOff>1</xdr:rowOff>
    </xdr:from>
    <xdr:to>
      <xdr:col>41</xdr:col>
      <xdr:colOff>38101</xdr:colOff>
      <xdr:row>25</xdr:row>
      <xdr:rowOff>42183</xdr:rowOff>
    </xdr:to>
    <xdr:pic>
      <xdr:nvPicPr>
        <xdr:cNvPr id="8" name="Resim 7">
          <a:extLst>
            <a:ext uri="{FF2B5EF4-FFF2-40B4-BE49-F238E27FC236}">
              <a16:creationId xmlns:a16="http://schemas.microsoft.com/office/drawing/2014/main" id="{00000000-0008-0000-0B00-000008000000}"/>
            </a:ext>
          </a:extLst>
        </xdr:cNvPr>
        <xdr:cNvPicPr>
          <a:picLocks noChangeAspect="1"/>
        </xdr:cNvPicPr>
      </xdr:nvPicPr>
      <xdr:blipFill rotWithShape="1">
        <a:blip xmlns:r="http://schemas.openxmlformats.org/officeDocument/2006/relationships" r:embed="rId7"/>
        <a:srcRect l="37974" t="15836" r="5769" b="29805"/>
        <a:stretch/>
      </xdr:blipFill>
      <xdr:spPr>
        <a:xfrm>
          <a:off x="12573000" y="1"/>
          <a:ext cx="9725026" cy="48387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85725</xdr:colOff>
      <xdr:row>0</xdr:row>
      <xdr:rowOff>171450</xdr:rowOff>
    </xdr:from>
    <xdr:to>
      <xdr:col>13</xdr:col>
      <xdr:colOff>38100</xdr:colOff>
      <xdr:row>9</xdr:row>
      <xdr:rowOff>39315</xdr:rowOff>
    </xdr:to>
    <xdr:pic>
      <xdr:nvPicPr>
        <xdr:cNvPr id="3" name="Resim 2">
          <a:extLst>
            <a:ext uri="{FF2B5EF4-FFF2-40B4-BE49-F238E27FC236}">
              <a16:creationId xmlns:a16="http://schemas.microsoft.com/office/drawing/2014/main" id="{00000000-0008-0000-0C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171450"/>
          <a:ext cx="7877175" cy="15823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57150</xdr:colOff>
      <xdr:row>10</xdr:row>
      <xdr:rowOff>38100</xdr:rowOff>
    </xdr:from>
    <xdr:to>
      <xdr:col>13</xdr:col>
      <xdr:colOff>47625</xdr:colOff>
      <xdr:row>25</xdr:row>
      <xdr:rowOff>146595</xdr:rowOff>
    </xdr:to>
    <xdr:pic>
      <xdr:nvPicPr>
        <xdr:cNvPr id="4" name="Resim 3">
          <a:extLst>
            <a:ext uri="{FF2B5EF4-FFF2-40B4-BE49-F238E27FC236}">
              <a16:creationId xmlns:a16="http://schemas.microsoft.com/office/drawing/2014/main" id="{00000000-0008-0000-0C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150" y="1943100"/>
          <a:ext cx="7915275" cy="29659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xdr:row>
      <xdr:rowOff>161925</xdr:rowOff>
    </xdr:from>
    <xdr:to>
      <xdr:col>13</xdr:col>
      <xdr:colOff>184029</xdr:colOff>
      <xdr:row>54</xdr:row>
      <xdr:rowOff>0</xdr:rowOff>
    </xdr:to>
    <xdr:pic>
      <xdr:nvPicPr>
        <xdr:cNvPr id="5" name="Resim 4">
          <a:extLst>
            <a:ext uri="{FF2B5EF4-FFF2-40B4-BE49-F238E27FC236}">
              <a16:creationId xmlns:a16="http://schemas.microsoft.com/office/drawing/2014/main" id="{00000000-0008-0000-0C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5305425"/>
          <a:ext cx="8108829" cy="4981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47625</xdr:colOff>
      <xdr:row>54</xdr:row>
      <xdr:rowOff>152401</xdr:rowOff>
    </xdr:from>
    <xdr:to>
      <xdr:col>13</xdr:col>
      <xdr:colOff>152400</xdr:colOff>
      <xdr:row>67</xdr:row>
      <xdr:rowOff>107819</xdr:rowOff>
    </xdr:to>
    <xdr:pic>
      <xdr:nvPicPr>
        <xdr:cNvPr id="6" name="Resim 5">
          <a:extLst>
            <a:ext uri="{FF2B5EF4-FFF2-40B4-BE49-F238E27FC236}">
              <a16:creationId xmlns:a16="http://schemas.microsoft.com/office/drawing/2014/main" id="{00000000-0008-0000-0C00-000006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7625" y="10439401"/>
          <a:ext cx="8029575" cy="24319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28575</xdr:colOff>
      <xdr:row>68</xdr:row>
      <xdr:rowOff>57151</xdr:rowOff>
    </xdr:from>
    <xdr:to>
      <xdr:col>6</xdr:col>
      <xdr:colOff>361950</xdr:colOff>
      <xdr:row>79</xdr:row>
      <xdr:rowOff>148065</xdr:rowOff>
    </xdr:to>
    <xdr:pic>
      <xdr:nvPicPr>
        <xdr:cNvPr id="7" name="Resim 6">
          <a:extLst>
            <a:ext uri="{FF2B5EF4-FFF2-40B4-BE49-F238E27FC236}">
              <a16:creationId xmlns:a16="http://schemas.microsoft.com/office/drawing/2014/main" id="{00000000-0008-0000-0C00-000007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8575" y="13011151"/>
          <a:ext cx="3990975" cy="21864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28575</xdr:colOff>
      <xdr:row>68</xdr:row>
      <xdr:rowOff>76200</xdr:rowOff>
    </xdr:from>
    <xdr:to>
      <xdr:col>14</xdr:col>
      <xdr:colOff>47625</xdr:colOff>
      <xdr:row>79</xdr:row>
      <xdr:rowOff>9255</xdr:rowOff>
    </xdr:to>
    <xdr:pic>
      <xdr:nvPicPr>
        <xdr:cNvPr id="9" name="Resim 8">
          <a:extLst>
            <a:ext uri="{FF2B5EF4-FFF2-40B4-BE49-F238E27FC236}">
              <a16:creationId xmlns:a16="http://schemas.microsoft.com/office/drawing/2014/main" id="{00000000-0008-0000-0C00-000009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4295775" y="13030200"/>
          <a:ext cx="4286250" cy="2028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0</xdr:row>
      <xdr:rowOff>85725</xdr:rowOff>
    </xdr:from>
    <xdr:to>
      <xdr:col>31</xdr:col>
      <xdr:colOff>419100</xdr:colOff>
      <xdr:row>10</xdr:row>
      <xdr:rowOff>486</xdr:rowOff>
    </xdr:to>
    <xdr:pic>
      <xdr:nvPicPr>
        <xdr:cNvPr id="11" name="Resim 10">
          <a:extLst>
            <a:ext uri="{FF2B5EF4-FFF2-40B4-BE49-F238E27FC236}">
              <a16:creationId xmlns:a16="http://schemas.microsoft.com/office/drawing/2014/main" id="{00000000-0008-0000-0C00-00000B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0363200" y="85725"/>
          <a:ext cx="8953500" cy="18197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9525</xdr:colOff>
      <xdr:row>11</xdr:row>
      <xdr:rowOff>19050</xdr:rowOff>
    </xdr:from>
    <xdr:to>
      <xdr:col>31</xdr:col>
      <xdr:colOff>85725</xdr:colOff>
      <xdr:row>25</xdr:row>
      <xdr:rowOff>35873</xdr:rowOff>
    </xdr:to>
    <xdr:pic>
      <xdr:nvPicPr>
        <xdr:cNvPr id="12" name="Resim 11">
          <a:extLst>
            <a:ext uri="{FF2B5EF4-FFF2-40B4-BE49-F238E27FC236}">
              <a16:creationId xmlns:a16="http://schemas.microsoft.com/office/drawing/2014/main" id="{00000000-0008-0000-0C00-00000C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0372725" y="2114550"/>
          <a:ext cx="8610600" cy="26838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9526</xdr:colOff>
      <xdr:row>26</xdr:row>
      <xdr:rowOff>19050</xdr:rowOff>
    </xdr:from>
    <xdr:to>
      <xdr:col>24</xdr:col>
      <xdr:colOff>590550</xdr:colOff>
      <xdr:row>37</xdr:row>
      <xdr:rowOff>57063</xdr:rowOff>
    </xdr:to>
    <xdr:pic>
      <xdr:nvPicPr>
        <xdr:cNvPr id="13" name="Resim 12">
          <a:extLst>
            <a:ext uri="{FF2B5EF4-FFF2-40B4-BE49-F238E27FC236}">
              <a16:creationId xmlns:a16="http://schemas.microsoft.com/office/drawing/2014/main" id="{00000000-0008-0000-0C00-00000D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0372726" y="4972050"/>
          <a:ext cx="4848224" cy="21335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600075</xdr:colOff>
      <xdr:row>37</xdr:row>
      <xdr:rowOff>177800</xdr:rowOff>
    </xdr:from>
    <xdr:to>
      <xdr:col>30</xdr:col>
      <xdr:colOff>428625</xdr:colOff>
      <xdr:row>57</xdr:row>
      <xdr:rowOff>0</xdr:rowOff>
    </xdr:to>
    <xdr:pic>
      <xdr:nvPicPr>
        <xdr:cNvPr id="14" name="Resim 13">
          <a:extLst>
            <a:ext uri="{FF2B5EF4-FFF2-40B4-BE49-F238E27FC236}">
              <a16:creationId xmlns:a16="http://schemas.microsoft.com/office/drawing/2014/main" id="{00000000-0008-0000-0C00-00000E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0353675" y="7226300"/>
          <a:ext cx="8362950" cy="3632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592879</xdr:colOff>
      <xdr:row>57</xdr:row>
      <xdr:rowOff>47626</xdr:rowOff>
    </xdr:from>
    <xdr:to>
      <xdr:col>30</xdr:col>
      <xdr:colOff>457201</xdr:colOff>
      <xdr:row>69</xdr:row>
      <xdr:rowOff>165816</xdr:rowOff>
    </xdr:to>
    <xdr:pic>
      <xdr:nvPicPr>
        <xdr:cNvPr id="15" name="Resim 14">
          <a:extLst>
            <a:ext uri="{FF2B5EF4-FFF2-40B4-BE49-F238E27FC236}">
              <a16:creationId xmlns:a16="http://schemas.microsoft.com/office/drawing/2014/main" id="{00000000-0008-0000-0C00-00000F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0346479" y="10906126"/>
          <a:ext cx="8398722" cy="2404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28575</xdr:colOff>
      <xdr:row>70</xdr:row>
      <xdr:rowOff>180975</xdr:rowOff>
    </xdr:from>
    <xdr:to>
      <xdr:col>23</xdr:col>
      <xdr:colOff>60959</xdr:colOff>
      <xdr:row>85</xdr:row>
      <xdr:rowOff>161925</xdr:rowOff>
    </xdr:to>
    <xdr:pic>
      <xdr:nvPicPr>
        <xdr:cNvPr id="16" name="Resim 15">
          <a:extLst>
            <a:ext uri="{FF2B5EF4-FFF2-40B4-BE49-F238E27FC236}">
              <a16:creationId xmlns:a16="http://schemas.microsoft.com/office/drawing/2014/main" id="{00000000-0008-0000-0C00-000010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0391775" y="13515975"/>
          <a:ext cx="3689984" cy="283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514350</xdr:colOff>
      <xdr:row>71</xdr:row>
      <xdr:rowOff>19050</xdr:rowOff>
    </xdr:from>
    <xdr:to>
      <xdr:col>30</xdr:col>
      <xdr:colOff>495300</xdr:colOff>
      <xdr:row>82</xdr:row>
      <xdr:rowOff>27774</xdr:rowOff>
    </xdr:to>
    <xdr:pic>
      <xdr:nvPicPr>
        <xdr:cNvPr id="18" name="Resim 17">
          <a:extLst>
            <a:ext uri="{FF2B5EF4-FFF2-40B4-BE49-F238E27FC236}">
              <a16:creationId xmlns:a16="http://schemas.microsoft.com/office/drawing/2014/main" id="{00000000-0008-0000-0C00-000012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4535150" y="13544550"/>
          <a:ext cx="4248150" cy="21042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33</xdr:col>
      <xdr:colOff>85725</xdr:colOff>
      <xdr:row>73</xdr:row>
      <xdr:rowOff>66362</xdr:rowOff>
    </xdr:from>
    <xdr:to>
      <xdr:col>41</xdr:col>
      <xdr:colOff>66675</xdr:colOff>
      <xdr:row>90</xdr:row>
      <xdr:rowOff>48596</xdr:rowOff>
    </xdr:to>
    <xdr:pic>
      <xdr:nvPicPr>
        <xdr:cNvPr id="21" name="Resim 20">
          <a:extLst>
            <a:ext uri="{FF2B5EF4-FFF2-40B4-BE49-F238E27FC236}">
              <a16:creationId xmlns:a16="http://schemas.microsoft.com/office/drawing/2014/main" id="{00000000-0008-0000-0C00-000015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20202525" y="13972862"/>
          <a:ext cx="4857750" cy="32207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41</xdr:col>
      <xdr:colOff>85726</xdr:colOff>
      <xdr:row>73</xdr:row>
      <xdr:rowOff>57150</xdr:rowOff>
    </xdr:from>
    <xdr:to>
      <xdr:col>47</xdr:col>
      <xdr:colOff>505272</xdr:colOff>
      <xdr:row>84</xdr:row>
      <xdr:rowOff>171450</xdr:rowOff>
    </xdr:to>
    <xdr:pic>
      <xdr:nvPicPr>
        <xdr:cNvPr id="22" name="Resim 21">
          <a:extLst>
            <a:ext uri="{FF2B5EF4-FFF2-40B4-BE49-F238E27FC236}">
              <a16:creationId xmlns:a16="http://schemas.microsoft.com/office/drawing/2014/main" id="{00000000-0008-0000-0C00-00001600000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3423226" y="14001750"/>
          <a:ext cx="4077146" cy="2209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33</xdr:col>
      <xdr:colOff>47417</xdr:colOff>
      <xdr:row>91</xdr:row>
      <xdr:rowOff>1</xdr:rowOff>
    </xdr:from>
    <xdr:to>
      <xdr:col>41</xdr:col>
      <xdr:colOff>44765</xdr:colOff>
      <xdr:row>102</xdr:row>
      <xdr:rowOff>1</xdr:rowOff>
    </xdr:to>
    <xdr:pic>
      <xdr:nvPicPr>
        <xdr:cNvPr id="23" name="Resim 22">
          <a:extLst>
            <a:ext uri="{FF2B5EF4-FFF2-40B4-BE49-F238E27FC236}">
              <a16:creationId xmlns:a16="http://schemas.microsoft.com/office/drawing/2014/main" id="{00000000-0008-0000-0C00-00001700000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20164217" y="17335501"/>
          <a:ext cx="4874148" cy="2095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41</xdr:col>
      <xdr:colOff>95249</xdr:colOff>
      <xdr:row>85</xdr:row>
      <xdr:rowOff>0</xdr:rowOff>
    </xdr:from>
    <xdr:to>
      <xdr:col>47</xdr:col>
      <xdr:colOff>485774</xdr:colOff>
      <xdr:row>102</xdr:row>
      <xdr:rowOff>120316</xdr:rowOff>
    </xdr:to>
    <xdr:pic>
      <xdr:nvPicPr>
        <xdr:cNvPr id="24" name="Resim 23">
          <a:extLst>
            <a:ext uri="{FF2B5EF4-FFF2-40B4-BE49-F238E27FC236}">
              <a16:creationId xmlns:a16="http://schemas.microsoft.com/office/drawing/2014/main" id="{00000000-0008-0000-0C00-000018000000}"/>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25088849" y="16192500"/>
          <a:ext cx="4048125" cy="33588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33</xdr:col>
      <xdr:colOff>38100</xdr:colOff>
      <xdr:row>102</xdr:row>
      <xdr:rowOff>161925</xdr:rowOff>
    </xdr:from>
    <xdr:to>
      <xdr:col>47</xdr:col>
      <xdr:colOff>523875</xdr:colOff>
      <xdr:row>113</xdr:row>
      <xdr:rowOff>9023</xdr:rowOff>
    </xdr:to>
    <xdr:pic>
      <xdr:nvPicPr>
        <xdr:cNvPr id="25" name="Resim 24">
          <a:extLst>
            <a:ext uri="{FF2B5EF4-FFF2-40B4-BE49-F238E27FC236}">
              <a16:creationId xmlns:a16="http://schemas.microsoft.com/office/drawing/2014/main" id="{00000000-0008-0000-0C00-000019000000}"/>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28498800" y="19631025"/>
          <a:ext cx="9020175" cy="19425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33</xdr:col>
      <xdr:colOff>38100</xdr:colOff>
      <xdr:row>1</xdr:row>
      <xdr:rowOff>180976</xdr:rowOff>
    </xdr:from>
    <xdr:to>
      <xdr:col>47</xdr:col>
      <xdr:colOff>590550</xdr:colOff>
      <xdr:row>12</xdr:row>
      <xdr:rowOff>3645</xdr:rowOff>
    </xdr:to>
    <xdr:pic>
      <xdr:nvPicPr>
        <xdr:cNvPr id="26" name="Resim 25">
          <a:extLst>
            <a:ext uri="{FF2B5EF4-FFF2-40B4-BE49-F238E27FC236}">
              <a16:creationId xmlns:a16="http://schemas.microsoft.com/office/drawing/2014/main" id="{00000000-0008-0000-0C00-00001A000000}"/>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28498800" y="180976"/>
          <a:ext cx="9086850" cy="19181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33</xdr:col>
      <xdr:colOff>76200</xdr:colOff>
      <xdr:row>12</xdr:row>
      <xdr:rowOff>57150</xdr:rowOff>
    </xdr:from>
    <xdr:to>
      <xdr:col>46</xdr:col>
      <xdr:colOff>123825</xdr:colOff>
      <xdr:row>27</xdr:row>
      <xdr:rowOff>117424</xdr:rowOff>
    </xdr:to>
    <xdr:pic>
      <xdr:nvPicPr>
        <xdr:cNvPr id="27" name="Resim 26">
          <a:extLst>
            <a:ext uri="{FF2B5EF4-FFF2-40B4-BE49-F238E27FC236}">
              <a16:creationId xmlns:a16="http://schemas.microsoft.com/office/drawing/2014/main" id="{00000000-0008-0000-0C00-00001B000000}"/>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28536900" y="2152650"/>
          <a:ext cx="7972425" cy="29177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33</xdr:col>
      <xdr:colOff>85726</xdr:colOff>
      <xdr:row>27</xdr:row>
      <xdr:rowOff>180976</xdr:rowOff>
    </xdr:from>
    <xdr:to>
      <xdr:col>46</xdr:col>
      <xdr:colOff>119494</xdr:colOff>
      <xdr:row>48</xdr:row>
      <xdr:rowOff>114300</xdr:rowOff>
    </xdr:to>
    <xdr:pic>
      <xdr:nvPicPr>
        <xdr:cNvPr id="28" name="Resim 27">
          <a:extLst>
            <a:ext uri="{FF2B5EF4-FFF2-40B4-BE49-F238E27FC236}">
              <a16:creationId xmlns:a16="http://schemas.microsoft.com/office/drawing/2014/main" id="{00000000-0008-0000-0C00-00001C000000}"/>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20202526" y="5324476"/>
          <a:ext cx="7958568" cy="39338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33</xdr:col>
      <xdr:colOff>76200</xdr:colOff>
      <xdr:row>48</xdr:row>
      <xdr:rowOff>133350</xdr:rowOff>
    </xdr:from>
    <xdr:to>
      <xdr:col>46</xdr:col>
      <xdr:colOff>142875</xdr:colOff>
      <xdr:row>71</xdr:row>
      <xdr:rowOff>164692</xdr:rowOff>
    </xdr:to>
    <xdr:pic>
      <xdr:nvPicPr>
        <xdr:cNvPr id="29" name="Resim 28">
          <a:extLst>
            <a:ext uri="{FF2B5EF4-FFF2-40B4-BE49-F238E27FC236}">
              <a16:creationId xmlns:a16="http://schemas.microsoft.com/office/drawing/2014/main" id="{00000000-0008-0000-0C00-00001D000000}"/>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20193000" y="9277350"/>
          <a:ext cx="7991475" cy="44128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oneCellAnchor>
    <xdr:from>
      <xdr:col>3</xdr:col>
      <xdr:colOff>600074</xdr:colOff>
      <xdr:row>0</xdr:row>
      <xdr:rowOff>104775</xdr:rowOff>
    </xdr:from>
    <xdr:ext cx="7111177" cy="6191250"/>
    <xdr:pic>
      <xdr:nvPicPr>
        <xdr:cNvPr id="2" name="Resim 1">
          <a:extLst>
            <a:ext uri="{FF2B5EF4-FFF2-40B4-BE49-F238E27FC236}">
              <a16:creationId xmlns:a16="http://schemas.microsoft.com/office/drawing/2014/main" id="{00000000-0008-0000-0E00-000002000000}"/>
            </a:ext>
          </a:extLst>
        </xdr:cNvPr>
        <xdr:cNvPicPr>
          <a:picLocks noChangeAspect="1"/>
        </xdr:cNvPicPr>
      </xdr:nvPicPr>
      <xdr:blipFill rotWithShape="1">
        <a:blip xmlns:r="http://schemas.openxmlformats.org/officeDocument/2006/relationships" r:embed="rId1"/>
        <a:srcRect l="24222" t="12224" r="25043" b="9248"/>
        <a:stretch/>
      </xdr:blipFill>
      <xdr:spPr>
        <a:xfrm>
          <a:off x="2428874" y="104775"/>
          <a:ext cx="7111177" cy="6191250"/>
        </a:xfrm>
        <a:prstGeom prst="rect">
          <a:avLst/>
        </a:prstGeom>
      </xdr:spPr>
    </xdr:pic>
    <xdr:clientData/>
  </xdr:one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ASTM+A350+LF2" connectionId="1" xr16:uid="{00000000-0016-0000-0C00-000000000000}" autoFormatId="16" applyNumberFormats="0" applyBorderFormats="0" applyFontFormats="1" applyPatternFormats="1" applyAlignmentFormats="0" applyWidthHeightFormats="0"/>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00000000}" name="Tablo34" displayName="Tablo34" ref="AA2:AD6" totalsRowCount="1" headerRowBorderDxfId="836" tableBorderDxfId="835" totalsRowBorderDxfId="834">
  <autoFilter ref="AA2:AD5" xr:uid="{00000000-0009-0000-0100-000022000000}">
    <filterColumn colId="0" hiddenButton="1"/>
    <filterColumn colId="1" hiddenButton="1"/>
    <filterColumn colId="2" hiddenButton="1"/>
    <filterColumn colId="3" hiddenButton="1"/>
  </autoFilter>
  <tableColumns count="4">
    <tableColumn id="1" xr3:uid="{00000000-0010-0000-0000-000001000000}" name="Çap" dataDxfId="833" totalsRowDxfId="832">
      <calculatedColumnFormula>E7</calculatedColumnFormula>
    </tableColumn>
    <tableColumn id="2" xr3:uid="{00000000-0010-0000-0000-000002000000}" name="Uzunluk" dataDxfId="831" totalsRowDxfId="830"/>
    <tableColumn id="3" xr3:uid="{00000000-0010-0000-0000-000003000000}" name="Hacim" totalsRowFunction="custom" dataDxfId="829" totalsRowDxfId="828">
      <calculatedColumnFormula>3.14*POWER((AA3-2*E10)/1000,2)*AB3/4</calculatedColumnFormula>
      <totalsRowFormula>SUM(AC3:AC5)</totalsRowFormula>
    </tableColumn>
    <tableColumn id="4" xr3:uid="{00000000-0010-0000-0000-000004000000}" name="Sütun1"/>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01000000}" name="Tablo35" displayName="Tablo35" ref="O23:S26" totalsRowShown="0" headerRowDxfId="827" dataDxfId="826">
  <autoFilter ref="O23:S26" xr:uid="{00000000-0009-0000-0100-000023000000}">
    <filterColumn colId="0" hiddenButton="1"/>
    <filterColumn colId="1" hiddenButton="1"/>
    <filterColumn colId="2" hiddenButton="1"/>
    <filterColumn colId="3" hiddenButton="1"/>
    <filterColumn colId="4" hiddenButton="1"/>
  </autoFilter>
  <tableColumns count="5">
    <tableColumn id="1" xr3:uid="{00000000-0010-0000-0100-000001000000}" name="Sütun1" dataDxfId="825"/>
    <tableColumn id="4" xr3:uid="{00000000-0010-0000-0100-000004000000}" name="D (Inch)" dataDxfId="824"/>
    <tableColumn id="5" xr3:uid="{00000000-0010-0000-0100-000005000000}" name="D (mm)" dataDxfId="823">
      <calculatedColumnFormula>VLOOKUP(P24,Tablo2[[ÇAP inch]:[ÇAP mm]],2,0)</calculatedColumnFormula>
    </tableColumn>
    <tableColumn id="6" xr3:uid="{00000000-0010-0000-0100-000006000000}" name="S (Mpa)" dataDxfId="822">
      <calculatedColumnFormula>ROUND(VLOOKUP(P24,Tablo2[[ÇAP inch]:[Tensile Mpa]],4,0)/145.0377,0)</calculatedColumnFormula>
    </tableColumn>
    <tableColumn id="7" xr3:uid="{00000000-0010-0000-0100-000007000000}" name="P (Bar)" dataDxfId="821"/>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02000000}" name="Tablo38" displayName="Tablo38" ref="O29:S50" headerRowCount="0" totalsRowShown="0" headerRowDxfId="820" dataDxfId="819">
  <tableColumns count="5">
    <tableColumn id="1" xr3:uid="{00000000-0010-0000-0200-000001000000}" name="Sütun1" headerRowDxfId="818" dataDxfId="817"/>
    <tableColumn id="2" xr3:uid="{00000000-0010-0000-0200-000002000000}" name="Sütun2" headerRowDxfId="816" dataDxfId="815"/>
    <tableColumn id="3" xr3:uid="{00000000-0010-0000-0200-000003000000}" name="Sütun3" headerRowDxfId="814" dataDxfId="813"/>
    <tableColumn id="4" xr3:uid="{00000000-0010-0000-0200-000004000000}" name="Sütun4" headerRowDxfId="812" dataDxfId="811"/>
    <tableColumn id="5" xr3:uid="{00000000-0010-0000-0200-000005000000}" name="Sütun5" headerRowDxfId="810" dataDxfId="809">
      <calculatedColumnFormula>IF(P29&gt;2*P11,"Değer 2*d den büyük!","Değer uygun")</calculatedColumnFormula>
    </tableColumn>
  </tableColumns>
  <tableStyleInfo name="TableStyleMedium1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03000000}" name="Tablo244" displayName="Tablo244" ref="B20:P53" totalsRowShown="0" headerRowDxfId="808">
  <autoFilter ref="B20:P53" xr:uid="{00000000-0009-0000-0100-00002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0300-000001000000}" name="ÇAP inch" dataDxfId="807"/>
    <tableColumn id="2" xr3:uid="{00000000-0010-0000-0300-000002000000}" name="ÇAP mm" dataDxfId="806"/>
    <tableColumn id="3" xr3:uid="{00000000-0010-0000-0300-000003000000}" name="MALZEME" dataDxfId="805"/>
    <tableColumn id="12" xr3:uid="{00000000-0010-0000-0300-00000C000000}" name="SMYS Psi" dataDxfId="804"/>
    <tableColumn id="13" xr3:uid="{00000000-0010-0000-0300-00000D000000}" name="Tensile Mpa" dataDxfId="803"/>
    <tableColumn id="4" xr3:uid="{00000000-0010-0000-0300-000004000000}" name="Et Kalınlığı " dataDxfId="802"/>
    <tableColumn id="5" xr3:uid="{00000000-0010-0000-0300-000005000000}" name="Max Bas. bar" dataDxfId="801"/>
    <tableColumn id="6" xr3:uid="{00000000-0010-0000-0300-000006000000}" name="Et Kalınlığı 2" dataDxfId="800"/>
    <tableColumn id="7" xr3:uid="{00000000-0010-0000-0300-000007000000}" name="Max Bas. Bar2" dataDxfId="799"/>
    <tableColumn id="8" xr3:uid="{00000000-0010-0000-0300-000008000000}" name="Et Kalınlığı 3" dataDxfId="798"/>
    <tableColumn id="9" xr3:uid="{00000000-0010-0000-0300-000009000000}" name="Max Bas. Bar3" dataDxfId="797"/>
    <tableColumn id="10" xr3:uid="{00000000-0010-0000-0300-00000A000000}" name="Et Kalınlığı 4" dataDxfId="796"/>
    <tableColumn id="11" xr3:uid="{00000000-0010-0000-0300-00000B000000}" name="Max Bas. Bar4" dataDxfId="795"/>
    <tableColumn id="14" xr3:uid="{00000000-0010-0000-0300-00000E000000}" name="Et Kalınlığı 5" dataDxfId="794"/>
    <tableColumn id="15" xr3:uid="{00000000-0010-0000-0300-00000F000000}" name="Max Bas. Bar5" dataDxfId="793">
      <calculatedColumnFormula>2*Tablo244[[#This Row],[SMYS Psi]]*Tablo244[[#This Row],[Et Kalınlığı 5]]/Tablo244[[#This Row],[ÇAP mm]]/14.50377</calculatedColumnFormula>
    </tableColumn>
  </tableColumns>
  <tableStyleInfo name="TableStyleMedium1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04000000}" name="Tablo645" displayName="Tablo645" ref="Q20:Y53" totalsRowShown="0" headerRowDxfId="792">
  <autoFilter ref="Q20:Y53" xr:uid="{00000000-0009-0000-0100-00002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2" xr3:uid="{00000000-0010-0000-0400-000002000000}" name="Boru Ucu MAX" dataDxfId="791">
      <calculatedColumnFormula>#REF!+1.6</calculatedColumnFormula>
    </tableColumn>
    <tableColumn id="3" xr3:uid="{00000000-0010-0000-0400-000003000000}" name="Boru Ucu Min" dataDxfId="790">
      <calculatedColumnFormula>#REF!-1.6</calculatedColumnFormula>
    </tableColumn>
    <tableColumn id="4" xr3:uid="{00000000-0010-0000-0400-000004000000}" name="Boru Gövde MAX" dataDxfId="789">
      <calculatedColumnFormula>IF(Tablo244[[#This Row],[ÇAP mm]]*0.005-4&lt;0,Tablo244[[#This Row],[ÇAP mm]]*1.005,Tablo244[[#This Row],[ÇAP mm]]+4)</calculatedColumnFormula>
    </tableColumn>
    <tableColumn id="5" xr3:uid="{00000000-0010-0000-0400-000005000000}" name="Boru Gövde Min" dataDxfId="788">
      <calculatedColumnFormula>IF(Tablo244[[#This Row],[ÇAP mm]]*0.005-4&lt;0,Tablo244[[#This Row],[ÇAP mm]]*0.995,Tablo244[[#This Row],[ÇAP mm]]+4)</calculatedColumnFormula>
    </tableColumn>
    <tableColumn id="6" xr3:uid="{00000000-0010-0000-0400-000006000000}" name="D/t" dataDxfId="787">
      <calculatedColumnFormula>Tablo244[[#This Row],[ÇAP mm]]/Tablo244[[#This Row],[Et Kalınlığı ]]</calculatedColumnFormula>
    </tableColumn>
    <tableColumn id="7" xr3:uid="{00000000-0010-0000-0400-000007000000}" name="D/t2" dataDxfId="786">
      <calculatedColumnFormula>Tablo244[[#This Row],[ÇAP mm]]/Tablo244[[#This Row],[Et Kalınlığı 2]]</calculatedColumnFormula>
    </tableColumn>
    <tableColumn id="8" xr3:uid="{00000000-0010-0000-0400-000008000000}" name="D/t3" dataDxfId="785">
      <calculatedColumnFormula>Tablo244[[#This Row],[ÇAP mm]]/Tablo244[[#This Row],[Et Kalınlığı 3]]</calculatedColumnFormula>
    </tableColumn>
    <tableColumn id="9" xr3:uid="{00000000-0010-0000-0400-000009000000}" name="D/t4" dataDxfId="784">
      <calculatedColumnFormula>Tablo244[[#This Row],[ÇAP mm]]/Tablo244[[#This Row],[Et Kalınlığı 4]]</calculatedColumnFormula>
    </tableColumn>
    <tableColumn id="1" xr3:uid="{00000000-0010-0000-0400-000001000000}" name="D/t5" dataDxfId="783">
      <calculatedColumnFormula>Tablo244[[#This Row],[ÇAP mm]]/Tablo244[[#This Row],[Et Kalınlığı 5]]</calculatedColumnFormula>
    </tableColumn>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05000000}" name="Tablo847" displayName="Tablo847" ref="Z20:AI53" totalsRowShown="0" headerRowDxfId="782">
  <autoFilter ref="Z20:AI53" xr:uid="{00000000-0009-0000-0100-00002E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0000000-0010-0000-0500-000001000000}" name="Boru Ucu 1">
      <calculatedColumnFormula>IF(Tablo244[[#This Row],[ÇAP mm]]/Tablo244[[#This Row],[Et Kalınlığı ]]&lt;75,Tablo244[[#This Row],[ÇAP mm]]*0.01/2,"Anlaşmaya bağlıdır.")</calculatedColumnFormula>
    </tableColumn>
    <tableColumn id="2" xr3:uid="{00000000-0010-0000-0500-000002000000}" name="Boru Gövdesi 1">
      <calculatedColumnFormula>IF(Tablo244[[#This Row],[ÇAP mm]]/Tablo244[[#This Row],[Et Kalınlığı ]]&lt;75,Tablo244[[#This Row],[ÇAP mm]]*0.015/2,"Anlaşmaya bağlıdır.")</calculatedColumnFormula>
    </tableColumn>
    <tableColumn id="3" xr3:uid="{00000000-0010-0000-0500-000003000000}" name="Boru Ucu 2" dataDxfId="781">
      <calculatedColumnFormula>IF(Tablo244[[#This Row],[ÇAP mm]]/Tablo244[[#This Row],[Et Kalınlığı 2]]&lt;75,Tablo244[[#This Row],[ÇAP mm]]*0.01/2,"Anlaşmaya bağlıdır.")</calculatedColumnFormula>
    </tableColumn>
    <tableColumn id="4" xr3:uid="{00000000-0010-0000-0500-000004000000}" name="Boru Gövdesi 2" dataDxfId="780">
      <calculatedColumnFormula>IF(Tablo244[[#This Row],[ÇAP mm]]/Tablo244[[#This Row],[Et Kalınlığı 2]]&lt;75,Tablo244[[#This Row],[ÇAP mm]]*0.015/2,"Anlaşmaya bağlıdır.")</calculatedColumnFormula>
    </tableColumn>
    <tableColumn id="5" xr3:uid="{00000000-0010-0000-0500-000005000000}" name="Boru Ucu 3" dataDxfId="779">
      <calculatedColumnFormula>IF(Tablo244[[#This Row],[ÇAP mm]]/Tablo244[[#This Row],[Et Kalınlığı 3]]&lt;75,Tablo244[[#This Row],[ÇAP mm]]*0.01/2,"Anlaşmaya bağlıdır.")</calculatedColumnFormula>
    </tableColumn>
    <tableColumn id="6" xr3:uid="{00000000-0010-0000-0500-000006000000}" name="Boru Gövdesi 3" dataDxfId="778">
      <calculatedColumnFormula>IF(Tablo244[[#This Row],[ÇAP mm]]/Tablo244[[#This Row],[Et Kalınlığı 3]]&lt;75,Tablo244[[#This Row],[ÇAP mm]]*0.015/2,"Anlaşmaya bağlıdır.")</calculatedColumnFormula>
    </tableColumn>
    <tableColumn id="7" xr3:uid="{00000000-0010-0000-0500-000007000000}" name="Boru Ucu 4" dataDxfId="777"/>
    <tableColumn id="8" xr3:uid="{00000000-0010-0000-0500-000008000000}" name="Boru Gövdesi 4" dataDxfId="776"/>
    <tableColumn id="9" xr3:uid="{00000000-0010-0000-0500-000009000000}" name="Boru Ucu 5" dataDxfId="775">
      <calculatedColumnFormula>IF(Tablo244[[#This Row],[ÇAP mm]]/Tablo244[[#This Row],[Et Kalınlığı 4]]&lt;75,Tablo244[[#This Row],[ÇAP mm]]*0.015/2,"Anlaşmaya bağlıdır.")</calculatedColumnFormula>
    </tableColumn>
    <tableColumn id="10" xr3:uid="{00000000-0010-0000-0500-00000A000000}" name="Boru Gövdesi 5" dataDxfId="774">
      <calculatedColumnFormula>IF(Tablo244[[#This Row],[ÇAP mm]]/Tablo244[[#This Row],[Et Kalınlığı 5]]&lt;75,Tablo244[[#This Row],[ÇAP mm]]*0.02,"Anlaşmaya bağlıdır.")</calculatedColumnFormula>
    </tableColumn>
  </tableColumns>
  <tableStyleInfo name="TableStyleMedium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06000000}" name="Tablo151" displayName="Tablo151" ref="AJ20:AS53" totalsRowShown="0" headerRowDxfId="773">
  <autoFilter ref="AJ20:AS53" xr:uid="{00000000-0009-0000-0100-00003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0000000-0010-0000-0600-000001000000}" name="Axc mm2" dataDxfId="772">
      <calculatedColumnFormula>IF(38*Tablo244[[#This Row],[Et Kalınlığı ]]&lt;485,Tablo244[[#This Row],[Et Kalınlığı ]]*38,485)</calculatedColumnFormula>
    </tableColumn>
    <tableColumn id="2" xr3:uid="{00000000-0010-0000-0600-000002000000}" name="Af mm" dataDxfId="771">
      <calculatedColumnFormula>1940*POWER(AJ21,0.2)/POWER(Tablo244[[#This Row],[Tensile Mpa]],0.9)</calculatedColumnFormula>
    </tableColumn>
    <tableColumn id="3" xr3:uid="{00000000-0010-0000-0600-000003000000}" name="Axc mm22" dataDxfId="770">
      <calculatedColumnFormula>IF(38*Tablo244[[#This Row],[Et Kalınlığı 2]]&lt;485,Tablo244[[#This Row],[Et Kalınlığı ]]*38,485)</calculatedColumnFormula>
    </tableColumn>
    <tableColumn id="4" xr3:uid="{00000000-0010-0000-0600-000004000000}" name="Af mm2" dataDxfId="769">
      <calculatedColumnFormula>1940*POWER(AL21,0.2)/POWER(Tablo244[[#This Row],[Tensile Mpa]],0.9)</calculatedColumnFormula>
    </tableColumn>
    <tableColumn id="5" xr3:uid="{00000000-0010-0000-0600-000005000000}" name="Axc mm23" dataDxfId="768">
      <calculatedColumnFormula>IF(38*Tablo244[[#This Row],[Et Kalınlığı 3]]&lt;485,Tablo244[[#This Row],[Et Kalınlığı ]]*38,485)</calculatedColumnFormula>
    </tableColumn>
    <tableColumn id="6" xr3:uid="{00000000-0010-0000-0600-000006000000}" name="Af mm3" dataDxfId="767">
      <calculatedColumnFormula>1940*POWER(AN21,0.2)/POWER(Tablo244[[#This Row],[Tensile Mpa]],0.9)</calculatedColumnFormula>
    </tableColumn>
    <tableColumn id="7" xr3:uid="{00000000-0010-0000-0600-000007000000}" name="Axc mm24" dataDxfId="766">
      <calculatedColumnFormula>IF(40*Tablo244[[#This Row],[Et Kalınlığı 4]]&lt;485,Tablo244[[#This Row],[Et Kalınlığı 4]]*40,485)</calculatedColumnFormula>
    </tableColumn>
    <tableColumn id="8" xr3:uid="{00000000-0010-0000-0600-000008000000}" name="Af mm4" dataDxfId="765">
      <calculatedColumnFormula>1940*POWER(ROUND(Tablo151[[#This Row],[Axc mm24]],-1),0.2)/POWER(Tablo244[[#This Row],[Tensile Mpa]],0.9)</calculatedColumnFormula>
    </tableColumn>
    <tableColumn id="9" xr3:uid="{00000000-0010-0000-0600-000009000000}" name="Axc mm25" dataDxfId="764">
      <calculatedColumnFormula>IF(40*Tablo244[[#This Row],[Et Kalınlığı 5]]&lt;485,Tablo244[[#This Row],[Et Kalınlığı 4]]*40,485)</calculatedColumnFormula>
    </tableColumn>
    <tableColumn id="10" xr3:uid="{00000000-0010-0000-0600-00000A000000}" name="Af mm5" dataDxfId="763">
      <calculatedColumnFormula>1940*POWER(ROUND(Tablo151[[#This Row],[Axc mm25]],-1),0.2)/POWER(Tablo244[[#This Row],[Tensile Mpa]],0.9)</calculatedColumnFormula>
    </tableColumn>
  </tableColumns>
  <tableStyleInfo name="TableStyleMedium15"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7000000}" name="Tablo2" displayName="Tablo2" ref="B20:P53" totalsRowShown="0" headerRowDxfId="762">
  <autoFilter ref="B20:P53"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0700-000001000000}" name="ÇAP inch" dataDxfId="761"/>
    <tableColumn id="2" xr3:uid="{00000000-0010-0000-0700-000002000000}" name="ÇAP mm" dataDxfId="760"/>
    <tableColumn id="3" xr3:uid="{00000000-0010-0000-0700-000003000000}" name="MALZEME" dataDxfId="759"/>
    <tableColumn id="12" xr3:uid="{00000000-0010-0000-0700-00000C000000}" name="SMYS Psi" dataDxfId="758"/>
    <tableColumn id="13" xr3:uid="{00000000-0010-0000-0700-00000D000000}" name="Tensile Mpa" dataDxfId="757"/>
    <tableColumn id="4" xr3:uid="{00000000-0010-0000-0700-000004000000}" name="Et Kalınlığı " dataDxfId="756"/>
    <tableColumn id="5" xr3:uid="{00000000-0010-0000-0700-000005000000}" name="Max Bas. bar" dataDxfId="755"/>
    <tableColumn id="6" xr3:uid="{00000000-0010-0000-0700-000006000000}" name="Et Kalınlığı 2" dataDxfId="754"/>
    <tableColumn id="7" xr3:uid="{00000000-0010-0000-0700-000007000000}" name="Max Bas. Bar2" dataDxfId="753"/>
    <tableColumn id="8" xr3:uid="{00000000-0010-0000-0700-000008000000}" name="Et Kalınlığı 3" dataDxfId="752"/>
    <tableColumn id="9" xr3:uid="{00000000-0010-0000-0700-000009000000}" name="Max Bas. Bar3" dataDxfId="751"/>
    <tableColumn id="10" xr3:uid="{00000000-0010-0000-0700-00000A000000}" name="Et Kalınlığı 4" dataDxfId="750"/>
    <tableColumn id="11" xr3:uid="{00000000-0010-0000-0700-00000B000000}" name="Max Bas. Bar4" dataDxfId="749"/>
    <tableColumn id="14" xr3:uid="{00000000-0010-0000-0700-00000E000000}" name="Et Kalınlığı 5" dataDxfId="748"/>
    <tableColumn id="15" xr3:uid="{00000000-0010-0000-0700-00000F000000}" name="Max Bas. Bar5" dataDxfId="747">
      <calculatedColumnFormula>2*Tablo2[[#This Row],[SMYS Psi]]*Tablo2[[#This Row],[Et Kalınlığı 5]]/Tablo2[[#This Row],[ÇAP mm]]/14.50377</calculatedColumnFormula>
    </tableColumn>
  </tableColumns>
  <tableStyleInfo name="TableStyleMedium15"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8000000}" name="Tablo6" displayName="Tablo6" ref="Q20:Y53" totalsRowShown="0" headerRowDxfId="746">
  <autoFilter ref="Q20:Y53" xr:uid="{00000000-0009-0000-0100-00000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2" xr3:uid="{00000000-0010-0000-0800-000002000000}" name="Boru Ucu MAX" dataDxfId="745">
      <calculatedColumnFormula>#REF!+1.6</calculatedColumnFormula>
    </tableColumn>
    <tableColumn id="3" xr3:uid="{00000000-0010-0000-0800-000003000000}" name="Boru Ucu Min" dataDxfId="744">
      <calculatedColumnFormula>#REF!-1.6</calculatedColumnFormula>
    </tableColumn>
    <tableColumn id="4" xr3:uid="{00000000-0010-0000-0800-000004000000}" name="Boru Gövde MAX" dataDxfId="743">
      <calculatedColumnFormula>IF(Tablo2[[#This Row],[ÇAP mm]]*0.005-4&lt;0,Tablo2[[#This Row],[ÇAP mm]]*1.005,Tablo2[[#This Row],[ÇAP mm]]+4)</calculatedColumnFormula>
    </tableColumn>
    <tableColumn id="5" xr3:uid="{00000000-0010-0000-0800-000005000000}" name="Boru Gövde Min" dataDxfId="742">
      <calculatedColumnFormula>IF(Tablo2[[#This Row],[ÇAP mm]]*0.005-4&lt;0,Tablo2[[#This Row],[ÇAP mm]]*0.995,Tablo2[[#This Row],[ÇAP mm]]+4)</calculatedColumnFormula>
    </tableColumn>
    <tableColumn id="6" xr3:uid="{00000000-0010-0000-0800-000006000000}" name="D/t" dataDxfId="741">
      <calculatedColumnFormula>Tablo2[[#This Row],[ÇAP mm]]/Tablo2[[#This Row],[Et Kalınlığı ]]</calculatedColumnFormula>
    </tableColumn>
    <tableColumn id="7" xr3:uid="{00000000-0010-0000-0800-000007000000}" name="D/t2" dataDxfId="740">
      <calculatedColumnFormula>Tablo2[[#This Row],[ÇAP mm]]/Tablo2[[#This Row],[Et Kalınlığı 2]]</calculatedColumnFormula>
    </tableColumn>
    <tableColumn id="8" xr3:uid="{00000000-0010-0000-0800-000008000000}" name="D/t3" dataDxfId="739">
      <calculatedColumnFormula>Tablo2[[#This Row],[ÇAP mm]]/Tablo2[[#This Row],[Et Kalınlığı 3]]</calculatedColumnFormula>
    </tableColumn>
    <tableColumn id="9" xr3:uid="{00000000-0010-0000-0800-000009000000}" name="D/t4" dataDxfId="738">
      <calculatedColumnFormula>Tablo2[[#This Row],[ÇAP mm]]/Tablo2[[#This Row],[Et Kalınlığı 4]]</calculatedColumnFormula>
    </tableColumn>
    <tableColumn id="1" xr3:uid="{00000000-0010-0000-0800-000001000000}" name="D/t5" dataDxfId="737">
      <calculatedColumnFormula>Tablo2[[#This Row],[ÇAP mm]]/Tablo2[[#This Row],[Et Kalınlığı 5]]</calculatedColumnFormula>
    </tableColumn>
  </tableColumns>
  <tableStyleInfo name="TableStyleMedium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9000000}" name="Tablo8" displayName="Tablo8" ref="Z20:AI53" totalsRowShown="0" headerRowDxfId="736">
  <autoFilter ref="Z20:AI53"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0000000-0010-0000-0900-000001000000}" name="Boru Ucu 1">
      <calculatedColumnFormula>IF(Tablo2[[#This Row],[ÇAP mm]]/Tablo2[[#This Row],[Et Kalınlığı ]]&lt;75,Tablo2[[#This Row],[ÇAP mm]]*0.01/2,"Anlaşmaya bağlıdır.")</calculatedColumnFormula>
    </tableColumn>
    <tableColumn id="2" xr3:uid="{00000000-0010-0000-0900-000002000000}" name="Boru Gövdesi 1">
      <calculatedColumnFormula>IF(Tablo2[[#This Row],[ÇAP mm]]/Tablo2[[#This Row],[Et Kalınlığı ]]&lt;75,Tablo2[[#This Row],[ÇAP mm]]*0.015/2,"Anlaşmaya bağlıdır.")</calculatedColumnFormula>
    </tableColumn>
    <tableColumn id="3" xr3:uid="{00000000-0010-0000-0900-000003000000}" name="Boru Ucu 2" dataDxfId="735">
      <calculatedColumnFormula>IF(Tablo2[[#This Row],[ÇAP mm]]/Tablo2[[#This Row],[Et Kalınlığı 2]]&lt;75,Tablo2[[#This Row],[ÇAP mm]]*0.01/2,"Anlaşmaya bağlıdır.")</calculatedColumnFormula>
    </tableColumn>
    <tableColumn id="4" xr3:uid="{00000000-0010-0000-0900-000004000000}" name="Boru Gövdesi 2" dataDxfId="734">
      <calculatedColumnFormula>IF(Tablo2[[#This Row],[ÇAP mm]]/Tablo2[[#This Row],[Et Kalınlığı 2]]&lt;75,Tablo2[[#This Row],[ÇAP mm]]*0.015/2,"Anlaşmaya bağlıdır.")</calculatedColumnFormula>
    </tableColumn>
    <tableColumn id="5" xr3:uid="{00000000-0010-0000-0900-000005000000}" name="Boru Ucu 3" dataDxfId="733">
      <calculatedColumnFormula>IF(Tablo2[[#This Row],[ÇAP mm]]/Tablo2[[#This Row],[Et Kalınlığı 3]]&lt;75,Tablo2[[#This Row],[ÇAP mm]]*0.01/2,"Anlaşmaya bağlıdır.")</calculatedColumnFormula>
    </tableColumn>
    <tableColumn id="6" xr3:uid="{00000000-0010-0000-0900-000006000000}" name="Boru Gövdesi 3" dataDxfId="732">
      <calculatedColumnFormula>IF(Tablo2[[#This Row],[ÇAP mm]]/Tablo2[[#This Row],[Et Kalınlığı 3]]&lt;75,Tablo2[[#This Row],[ÇAP mm]]*0.015/2,"Anlaşmaya bağlıdır.")</calculatedColumnFormula>
    </tableColumn>
    <tableColumn id="7" xr3:uid="{00000000-0010-0000-0900-000007000000}" name="Boru Ucu 4" dataDxfId="731"/>
    <tableColumn id="8" xr3:uid="{00000000-0010-0000-0900-000008000000}" name="Boru Gövdesi 4" dataDxfId="730"/>
    <tableColumn id="9" xr3:uid="{00000000-0010-0000-0900-000009000000}" name="Boru Ucu 5" dataDxfId="729">
      <calculatedColumnFormula>IF(Tablo2[[#This Row],[ÇAP mm]]/Tablo2[[#This Row],[Et Kalınlığı 4]]&lt;75,Tablo2[[#This Row],[ÇAP mm]]*0.015/2,"Anlaşmaya bağlıdır.")</calculatedColumnFormula>
    </tableColumn>
    <tableColumn id="10" xr3:uid="{00000000-0010-0000-0900-00000A000000}" name="Boru Gövdesi 5" dataDxfId="728">
      <calculatedColumnFormula>IF(Tablo2[[#This Row],[ÇAP mm]]/Tablo2[[#This Row],[Et Kalınlığı 5]]&lt;75,Tablo2[[#This Row],[ÇAP mm]]*0.02,"Anlaşmaya bağlıdır.")</calculatedColumnFormula>
    </tableColumn>
  </tableColumns>
  <tableStyleInfo name="TableStyleMedium15"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A000000}" name="Tablo1" displayName="Tablo1" ref="AJ20:AS53" totalsRowShown="0" headerRowDxfId="727">
  <autoFilter ref="AJ20:AS53"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0000000-0010-0000-0A00-000001000000}" name="Axc mm2" dataDxfId="726">
      <calculatedColumnFormula>IF(38*Tablo2[[#This Row],[Et Kalınlığı ]]&lt;485,Tablo2[[#This Row],[Et Kalınlığı ]]*38,485)</calculatedColumnFormula>
    </tableColumn>
    <tableColumn id="2" xr3:uid="{00000000-0010-0000-0A00-000002000000}" name="Af mm" dataDxfId="725">
      <calculatedColumnFormula>1940*POWER(AJ21,0.2)/POWER(Tablo2[[#This Row],[Tensile Mpa]],0.9)</calculatedColumnFormula>
    </tableColumn>
    <tableColumn id="3" xr3:uid="{00000000-0010-0000-0A00-000003000000}" name="Axc mm22" dataDxfId="724">
      <calculatedColumnFormula>IF(38*Tablo2[[#This Row],[Et Kalınlığı 2]]&lt;485,Tablo2[[#This Row],[Et Kalınlığı ]]*38,485)</calculatedColumnFormula>
    </tableColumn>
    <tableColumn id="4" xr3:uid="{00000000-0010-0000-0A00-000004000000}" name="Af mm2" dataDxfId="723">
      <calculatedColumnFormula>1940*POWER(AL21,0.2)/POWER(Tablo2[[#This Row],[Tensile Mpa]],0.9)</calculatedColumnFormula>
    </tableColumn>
    <tableColumn id="5" xr3:uid="{00000000-0010-0000-0A00-000005000000}" name="Axc mm23" dataDxfId="722">
      <calculatedColumnFormula>IF(38*Tablo2[[#This Row],[Et Kalınlığı 3]]&lt;485,Tablo2[[#This Row],[Et Kalınlığı ]]*38,485)</calculatedColumnFormula>
    </tableColumn>
    <tableColumn id="6" xr3:uid="{00000000-0010-0000-0A00-000006000000}" name="Af mm3" dataDxfId="721">
      <calculatedColumnFormula>1940*POWER(AN21,0.2)/POWER(Tablo2[[#This Row],[Tensile Mpa]],0.9)</calculatedColumnFormula>
    </tableColumn>
    <tableColumn id="7" xr3:uid="{00000000-0010-0000-0A00-000007000000}" name="Axc mm24" dataDxfId="720">
      <calculatedColumnFormula>IF(40*Tablo2[[#This Row],[Et Kalınlığı 4]]&lt;485,Tablo2[[#This Row],[Et Kalınlığı 4]]*40,485)</calculatedColumnFormula>
    </tableColumn>
    <tableColumn id="8" xr3:uid="{00000000-0010-0000-0A00-000008000000}" name="Af mm4" dataDxfId="719">
      <calculatedColumnFormula>1940*POWER(ROUND(Tablo1[[#This Row],[Axc mm24]],-1),0.2)/POWER(Tablo2[[#This Row],[Tensile Mpa]],0.9)</calculatedColumnFormula>
    </tableColumn>
    <tableColumn id="9" xr3:uid="{00000000-0010-0000-0A00-000009000000}" name="Axc mm25" dataDxfId="718">
      <calculatedColumnFormula>IF(40*Tablo2[[#This Row],[Et Kalınlığı 5]]&lt;485,Tablo2[[#This Row],[Et Kalınlığı 4]]*40,485)</calculatedColumnFormula>
    </tableColumn>
    <tableColumn id="10" xr3:uid="{00000000-0010-0000-0A00-00000A000000}" name="Af mm5" dataDxfId="717">
      <calculatedColumnFormula>1940*POWER(ROUND(Tablo1[[#This Row],[Axc mm25]],-1),0.2)/POWER(Tablo2[[#This Row],[Tensile Mpa]],0.9)</calculatedColumnFormula>
    </tableColumn>
  </tableColumns>
  <tableStyleInfo name="TableStyleMedium15"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B000000}" name="Branch" displayName="Branch" ref="AN2:BT34" totalsRowShown="0" headerRowDxfId="716" dataDxfId="715" tableBorderDxfId="714">
  <autoFilter ref="AN2:BT34" xr:uid="{00000000-0009-0000-0100-00000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autoFilter>
  <tableColumns count="33">
    <tableColumn id="3" xr3:uid="{00000000-0010-0000-0B00-000003000000}" name="½&quot; " dataDxfId="713"/>
    <tableColumn id="4" xr3:uid="{00000000-0010-0000-0B00-000004000000}" name="¾&quot;" dataDxfId="712"/>
    <tableColumn id="5" xr3:uid="{00000000-0010-0000-0B00-000005000000}" name="1&quot; " dataDxfId="711"/>
    <tableColumn id="6" xr3:uid="{00000000-0010-0000-0B00-000006000000}" name="1¼&quot;" dataDxfId="710"/>
    <tableColumn id="7" xr3:uid="{00000000-0010-0000-0B00-000007000000}" name="1½&quot; " dataDxfId="709"/>
    <tableColumn id="8" xr3:uid="{00000000-0010-0000-0B00-000008000000}" name="2&quot; " dataDxfId="708"/>
    <tableColumn id="9" xr3:uid="{00000000-0010-0000-0B00-000009000000}" name="2½&quot; " dataDxfId="707"/>
    <tableColumn id="10" xr3:uid="{00000000-0010-0000-0B00-00000A000000}" name="3&quot;" dataDxfId="706"/>
    <tableColumn id="11" xr3:uid="{00000000-0010-0000-0B00-00000B000000}" name="4&quot;" dataDxfId="705"/>
    <tableColumn id="12" xr3:uid="{00000000-0010-0000-0B00-00000C000000}" name="5&quot;" dataDxfId="704"/>
    <tableColumn id="13" xr3:uid="{00000000-0010-0000-0B00-00000D000000}" name="6&quot;" dataDxfId="703"/>
    <tableColumn id="14" xr3:uid="{00000000-0010-0000-0B00-00000E000000}" name="8&quot;" dataDxfId="702"/>
    <tableColumn id="15" xr3:uid="{00000000-0010-0000-0B00-00000F000000}" name="10&quot;" dataDxfId="701"/>
    <tableColumn id="16" xr3:uid="{00000000-0010-0000-0B00-000010000000}" name="12&quot;" dataDxfId="700"/>
    <tableColumn id="17" xr3:uid="{00000000-0010-0000-0B00-000011000000}" name="14&quot;" dataDxfId="699"/>
    <tableColumn id="18" xr3:uid="{00000000-0010-0000-0B00-000012000000}" name="16&quot;" dataDxfId="698"/>
    <tableColumn id="19" xr3:uid="{00000000-0010-0000-0B00-000013000000}" name="18&quot;" dataDxfId="697"/>
    <tableColumn id="20" xr3:uid="{00000000-0010-0000-0B00-000014000000}" name="20&quot;" dataDxfId="696"/>
    <tableColumn id="21" xr3:uid="{00000000-0010-0000-0B00-000015000000}" name="22&quot;" dataDxfId="695"/>
    <tableColumn id="22" xr3:uid="{00000000-0010-0000-0B00-000016000000}" name="24&quot;" dataDxfId="694"/>
    <tableColumn id="23" xr3:uid="{00000000-0010-0000-0B00-000017000000}" name="30&quot;" dataDxfId="693"/>
    <tableColumn id="24" xr3:uid="{00000000-0010-0000-0B00-000018000000}" name="32&quot;" dataDxfId="692"/>
    <tableColumn id="25" xr3:uid="{00000000-0010-0000-0B00-000019000000}" name="34&quot;" dataDxfId="691"/>
    <tableColumn id="26" xr3:uid="{00000000-0010-0000-0B00-00001A000000}" name="36&quot;" dataDxfId="690"/>
    <tableColumn id="27" xr3:uid="{00000000-0010-0000-0B00-00001B000000}" name="38&quot;" dataDxfId="689"/>
    <tableColumn id="28" xr3:uid="{00000000-0010-0000-0B00-00001C000000}" name="40&quot;" dataDxfId="688"/>
    <tableColumn id="29" xr3:uid="{00000000-0010-0000-0B00-00001D000000}" name="42&quot;" dataDxfId="687"/>
    <tableColumn id="30" xr3:uid="{00000000-0010-0000-0B00-00001E000000}" name="44&quot;" dataDxfId="686"/>
    <tableColumn id="31" xr3:uid="{00000000-0010-0000-0B00-00001F000000}" name="46&quot;" dataDxfId="685"/>
    <tableColumn id="32" xr3:uid="{00000000-0010-0000-0B00-000020000000}" name="48&quot;" dataDxfId="684"/>
    <tableColumn id="33" xr3:uid="{00000000-0010-0000-0B00-000021000000}" name="52&quot;" dataDxfId="683"/>
    <tableColumn id="34" xr3:uid="{00000000-0010-0000-0B00-000022000000}" name="56&quot;" dataDxfId="682"/>
    <tableColumn id="35" xr3:uid="{00000000-0010-0000-0B00-000023000000}" name="60&quot;" dataDxfId="681"/>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C000000}" name="Fitting_Flanş" displayName="Fitting_Flanş" ref="X2:AJ35" totalsRowShown="0" headerRowDxfId="680" dataDxfId="679">
  <tableColumns count="13">
    <tableColumn id="1" xr3:uid="{00000000-0010-0000-0C00-000001000000}" name="BORU DIŞ ÇAPI Anma (inch)" dataDxfId="678"/>
    <tableColumn id="2" xr3:uid="{00000000-0010-0000-0C00-000002000000}" name="DN " dataDxfId="677"/>
    <tableColumn id="3" xr3:uid="{00000000-0010-0000-0C00-000003000000}" name="Nominal (inch)" dataDxfId="676"/>
    <tableColumn id="4" xr3:uid="{00000000-0010-0000-0C00-000004000000}" name="Nominal (mm)" dataDxfId="675"/>
    <tableColumn id="5" xr3:uid="{00000000-0010-0000-0C00-000005000000}" name="Fitting Malzeme Standart" dataDxfId="674"/>
    <tableColumn id="12" xr3:uid="{00000000-0010-0000-0C00-00000C000000}" name="Fitting Üretim Standart" dataDxfId="673"/>
    <tableColumn id="6" xr3:uid="{00000000-0010-0000-0C00-000006000000}" name="Flanş Malzeme Standart" dataDxfId="672"/>
    <tableColumn id="13" xr3:uid="{00000000-0010-0000-0C00-00000D000000}" name="Flanş Üretim Standart" dataDxfId="671"/>
    <tableColumn id="7" xr3:uid="{00000000-0010-0000-0C00-000007000000}" name="HAT BORULARI F=0,72" dataDxfId="670"/>
    <tableColumn id="8" xr3:uid="{00000000-0010-0000-0C00-000008000000}" name="HAT BORULARI F=0,60" dataDxfId="669"/>
    <tableColumn id="9" xr3:uid="{00000000-0010-0000-0C00-000009000000}" name="HAT BORULARI F=0,50" dataDxfId="668"/>
    <tableColumn id="10" xr3:uid="{00000000-0010-0000-0C00-00000A000000}" name="İSTASYON BORULARI 75 bar" dataDxfId="667"/>
    <tableColumn id="11" xr3:uid="{00000000-0010-0000-0C00-00000B000000}" name="İSTASYON BORULARI 82,5 bar" dataDxfId="666"/>
  </tableColumns>
  <tableStyleInfo name="TableStyleLight15" showFirstColumn="1"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D000000}" name="Tablo15" displayName="Tablo15" ref="A2:I7" totalsRowShown="0" headerRowDxfId="665" dataDxfId="664">
  <autoFilter ref="A2:I7" xr:uid="{00000000-0009-0000-0100-00000F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9">
    <tableColumn id="1" xr3:uid="{00000000-0010-0000-0D00-000001000000}" name="FİTTİNG" dataDxfId="663"/>
    <tableColumn id="2" xr3:uid="{00000000-0010-0000-0D00-000002000000}" name="Çap(inch)" dataDxfId="662"/>
    <tableColumn id="6" xr3:uid="{00000000-0010-0000-0D00-000006000000}" name="Çap(mm)" dataDxfId="661">
      <calculatedColumnFormula>VLOOKUP(Tablo15[[#This Row],[Çap(inch)]],Fitting_Flanş[[#All],[BORU DIŞ ÇAPI Anma (inch)]:[Nominal (mm)]],4,0)</calculatedColumnFormula>
    </tableColumn>
    <tableColumn id="3" xr3:uid="{00000000-0010-0000-0D00-000003000000}" name="Üretim Standardı" dataDxfId="660">
      <calculatedColumnFormula>VLOOKUP(B3,Fitting_Flanş[#All],(IF(Tablo15[[#This Row],[FİTTİNG]]="FLANŞ",6,5)),FALSE)</calculatedColumnFormula>
    </tableColumn>
    <tableColumn id="4" xr3:uid="{00000000-0010-0000-0D00-000004000000}" name="Üretim Standartı" dataDxfId="659">
      <calculatedColumnFormula>IF(Tablo15[[#This Row],[Çap(mm)]]&lt;406.4,$T$4,$T$3)</calculatedColumnFormula>
    </tableColumn>
    <tableColumn id="5" xr3:uid="{00000000-0010-0000-0D00-000005000000}" name="Standart Gereği Testler" dataDxfId="658"/>
    <tableColumn id="7" xr3:uid="{00000000-0010-0000-0D00-000007000000}" name="Malzeme Standardı Manuel" dataDxfId="657"/>
    <tableColumn id="8" xr3:uid="{00000000-0010-0000-0D00-000008000000}" name="Üretim Standartı Manuel" dataDxfId="656"/>
    <tableColumn id="9" xr3:uid="{00000000-0010-0000-0D00-000009000000}" name="Boyutlandırma Standardı" dataDxfId="655"/>
  </tableColumns>
  <tableStyleInfo name="TableStyleMedium15"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0E000000}" name="Tablo55" displayName="Tablo55" ref="A15:M16" totalsRowShown="0" headerRowDxfId="654" dataDxfId="653">
  <autoFilter ref="A15:M16" xr:uid="{00000000-0009-0000-0100-00003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0E00-000001000000}" name="C%" dataDxfId="652">
      <calculatedColumnFormula>VLOOKUP('Fitting Seçim Aracı'!$D$3,Wrought_Fit_Chem._Comp[],2,FALSE)</calculatedColumnFormula>
    </tableColumn>
    <tableColumn id="2" xr3:uid="{00000000-0010-0000-0E00-000002000000}" name="Mn%" dataDxfId="651">
      <calculatedColumnFormula>VLOOKUP('Fitting Seçim Aracı'!$D$3,Wrought_Fit_Chem._Comp[],3,FALSE)</calculatedColumnFormula>
    </tableColumn>
    <tableColumn id="3" xr3:uid="{00000000-0010-0000-0E00-000003000000}" name="Si%" dataDxfId="650">
      <calculatedColumnFormula>VLOOKUP('Fitting Seçim Aracı'!$D$3,Wrought_Fit_Chem._Comp[],4,FALSE)</calculatedColumnFormula>
    </tableColumn>
    <tableColumn id="4" xr3:uid="{00000000-0010-0000-0E00-000004000000}" name="S%" dataDxfId="649">
      <calculatedColumnFormula>VLOOKUP('Fitting Seçim Aracı'!$D$3,Wrought_Fit_Chem._Comp[],5,FALSE)</calculatedColumnFormula>
    </tableColumn>
    <tableColumn id="5" xr3:uid="{00000000-0010-0000-0E00-000005000000}" name="P%" dataDxfId="648">
      <calculatedColumnFormula>VLOOKUP('Fitting Seçim Aracı'!$D$3,Wrought_Fit_Chem._Comp[],6,FALSE)</calculatedColumnFormula>
    </tableColumn>
    <tableColumn id="6" xr3:uid="{00000000-0010-0000-0E00-000006000000}" name="Cr%" dataDxfId="647">
      <calculatedColumnFormula>VLOOKUP('Fitting Seçim Aracı'!$D$3,Wrought_Fit_Chem._Comp[],7,FALSE)</calculatedColumnFormula>
    </tableColumn>
    <tableColumn id="7" xr3:uid="{00000000-0010-0000-0E00-000007000000}" name="Ni%" dataDxfId="646">
      <calculatedColumnFormula>VLOOKUP('Fitting Seçim Aracı'!$D$3,Wrought_Fit_Chem._Comp[],8,FALSE)</calculatedColumnFormula>
    </tableColumn>
    <tableColumn id="8" xr3:uid="{00000000-0010-0000-0E00-000008000000}" name="Mo%" dataDxfId="645">
      <calculatedColumnFormula>VLOOKUP('Fitting Seçim Aracı'!$D$3,Wrought_Fit_Chem._Comp[],9,FALSE)</calculatedColumnFormula>
    </tableColumn>
    <tableColumn id="9" xr3:uid="{00000000-0010-0000-0E00-000009000000}" name="V%" dataDxfId="644">
      <calculatedColumnFormula>VLOOKUP('Fitting Seçim Aracı'!$D$3,Wrought_Fit_Chem._Comp[],10,FALSE)</calculatedColumnFormula>
    </tableColumn>
    <tableColumn id="10" xr3:uid="{00000000-0010-0000-0E00-00000A000000}" name="Cu%" dataDxfId="643">
      <calculatedColumnFormula>VLOOKUP('Fitting Seçim Aracı'!$D$3,Wrought_Fit_Chem._Comp[],11,FALSE)</calculatedColumnFormula>
    </tableColumn>
    <tableColumn id="11" xr3:uid="{00000000-0010-0000-0E00-00000B000000}" name="Columbium %" dataDxfId="642">
      <calculatedColumnFormula>VLOOKUP('Fitting Seçim Aracı'!$D$3,Wrought_Fit_Chem._Comp[],12,FALSE)</calculatedColumnFormula>
    </tableColumn>
    <tableColumn id="12" xr3:uid="{00000000-0010-0000-0E00-00000C000000}" name="Al %" dataDxfId="641">
      <calculatedColumnFormula>VLOOKUP('Fitting Seçim Aracı'!$D$3,Wrought_Fit_Chem._Comp[],13,FALSE)</calculatedColumnFormula>
    </tableColumn>
    <tableColumn id="13" xr3:uid="{00000000-0010-0000-0E00-00000D000000}" name="Other" dataDxfId="640">
      <calculatedColumnFormula>VLOOKUP('Fitting Seçim Aracı'!$D$3,Wrought_Fit_Chem._Comp[],14,FALSE)</calculatedColumnFormula>
    </tableColumn>
  </tableColumns>
  <tableStyleInfo name="TableStyleMedium15"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0F000000}" name="Tablo56" displayName="Tablo56" ref="A19:J20" totalsRowShown="0" headerRowDxfId="639" dataDxfId="638">
  <autoFilter ref="A19:J20" xr:uid="{00000000-0009-0000-0100-00003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0000000-0010-0000-0F00-000001000000}" name="Yield Strength Min, psi" dataDxfId="637">
      <calculatedColumnFormula>VLOOKUP($D$3,Wrought_Fit_Mech._Prop.[],2,FALSE)</calculatedColumnFormula>
    </tableColumn>
    <tableColumn id="2" xr3:uid="{00000000-0010-0000-0F00-000002000000}" name="Yield Strength Min, N/mm²" dataDxfId="636">
      <calculatedColumnFormula>VLOOKUP($D$3,Wrought_Fit_Mech._Prop.[],3,FALSE)</calculatedColumnFormula>
    </tableColumn>
    <tableColumn id="3" xr3:uid="{00000000-0010-0000-0F00-000003000000}" name="Tensile Strength Min, psi" dataDxfId="635">
      <calculatedColumnFormula>VLOOKUP($D$3,Wrought_Fit_Mech._Prop.[],4,FALSE)</calculatedColumnFormula>
    </tableColumn>
    <tableColumn id="4" xr3:uid="{00000000-0010-0000-0F00-000004000000}" name="Tensile Strength Min, N/mm²" dataDxfId="634">
      <calculatedColumnFormula>VLOOKUP($D$3,Wrought_Fit_Mech._Prop.[],5,FALSE)</calculatedColumnFormula>
    </tableColumn>
    <tableColumn id="5" xr3:uid="{00000000-0010-0000-0F00-000005000000}" name="Elongation (%)" dataDxfId="633">
      <calculatedColumnFormula>VLOOKUP($D$3,Wrought_Fit_Mech._Prop.[],6,FALSE)</calculatedColumnFormula>
    </tableColumn>
    <tableColumn id="6" xr3:uid="{00000000-0010-0000-0F00-000006000000}" name="Reduction of Area (%)" dataDxfId="632">
      <calculatedColumnFormula>VLOOKUP($D$3,Wrought_Fit_Mech._Prop.[],7,FALSE)</calculatedColumnFormula>
    </tableColumn>
    <tableColumn id="7" xr3:uid="{00000000-0010-0000-0F00-000007000000}" name="Hardness, maximum HBW" dataDxfId="631">
      <calculatedColumnFormula>VLOOKUP($D$3,Wrought_Fit_Mech._Prop.[],8,FALSE)</calculatedColumnFormula>
    </tableColumn>
    <tableColumn id="8" xr3:uid="{00000000-0010-0000-0F00-000008000000}" name="CVN Avarage" dataDxfId="630">
      <calculatedColumnFormula>VLOOKUP($D$3,Wrought_Fit_Mech._Prop.[],9,FALSE)</calculatedColumnFormula>
    </tableColumn>
    <tableColumn id="9" xr3:uid="{00000000-0010-0000-0F00-000009000000}" name="CVN Min" dataDxfId="629">
      <calculatedColumnFormula>VLOOKUP($D$3,Wrought_Fit_Mech._Prop.[],10,FALSE)</calculatedColumnFormula>
    </tableColumn>
    <tableColumn id="10" xr3:uid="{00000000-0010-0000-0F00-00000A000000}" name="CVN Temp C" dataDxfId="628">
      <calculatedColumnFormula>VLOOKUP($D$3,Wrought_Fit_Mech._Prop.[],11,FALSE)</calculatedColumnFormula>
    </tableColumn>
  </tableColumns>
  <tableStyleInfo name="TableStyleMedium15"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10000000}" name="Tablo5560" displayName="Tablo5560" ref="A24:M25" totalsRowShown="0" headerRowDxfId="627" dataDxfId="626">
  <autoFilter ref="A24:M25" xr:uid="{00000000-0009-0000-0100-00003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1000-000001000000}" name="C%" dataDxfId="625">
      <calculatedColumnFormula>VLOOKUP('Fitting Seçim Aracı'!$D$4,Wrought_Fit_Chem._Comp[],2,FALSE)</calculatedColumnFormula>
    </tableColumn>
    <tableColumn id="2" xr3:uid="{00000000-0010-0000-1000-000002000000}" name="Mn%" dataDxfId="624">
      <calculatedColumnFormula>VLOOKUP('Fitting Seçim Aracı'!$D$4,Wrought_Fit_Chem._Comp[],3,FALSE)</calculatedColumnFormula>
    </tableColumn>
    <tableColumn id="3" xr3:uid="{00000000-0010-0000-1000-000003000000}" name="Si%" dataDxfId="623">
      <calculatedColumnFormula>VLOOKUP('Fitting Seçim Aracı'!$D$4,Wrought_Fit_Chem._Comp[],4,FALSE)</calculatedColumnFormula>
    </tableColumn>
    <tableColumn id="4" xr3:uid="{00000000-0010-0000-1000-000004000000}" name="S%" dataDxfId="622">
      <calculatedColumnFormula>VLOOKUP('Fitting Seçim Aracı'!$D$4,Wrought_Fit_Chem._Comp[],5,FALSE)</calculatedColumnFormula>
    </tableColumn>
    <tableColumn id="5" xr3:uid="{00000000-0010-0000-1000-000005000000}" name="P%" dataDxfId="621">
      <calculatedColumnFormula>VLOOKUP('Fitting Seçim Aracı'!$D$4,Wrought_Fit_Chem._Comp[],6,FALSE)</calculatedColumnFormula>
    </tableColumn>
    <tableColumn id="6" xr3:uid="{00000000-0010-0000-1000-000006000000}" name="Cr%" dataDxfId="620">
      <calculatedColumnFormula>VLOOKUP('Fitting Seçim Aracı'!$D$4,Wrought_Fit_Chem._Comp[],7,FALSE)</calculatedColumnFormula>
    </tableColumn>
    <tableColumn id="7" xr3:uid="{00000000-0010-0000-1000-000007000000}" name="Ni%" dataDxfId="619">
      <calculatedColumnFormula>VLOOKUP('Fitting Seçim Aracı'!$D$4,Wrought_Fit_Chem._Comp[],8,FALSE)</calculatedColumnFormula>
    </tableColumn>
    <tableColumn id="8" xr3:uid="{00000000-0010-0000-1000-000008000000}" name="Mo%" dataDxfId="618">
      <calculatedColumnFormula>VLOOKUP('Fitting Seçim Aracı'!$D$4,Wrought_Fit_Chem._Comp[],9,FALSE)</calculatedColumnFormula>
    </tableColumn>
    <tableColumn id="9" xr3:uid="{00000000-0010-0000-1000-000009000000}" name="V%" dataDxfId="617">
      <calculatedColumnFormula>VLOOKUP('Fitting Seçim Aracı'!$D$4,Wrought_Fit_Chem._Comp[],10,FALSE)</calculatedColumnFormula>
    </tableColumn>
    <tableColumn id="10" xr3:uid="{00000000-0010-0000-1000-00000A000000}" name="Cu%" dataDxfId="616">
      <calculatedColumnFormula>VLOOKUP('Fitting Seçim Aracı'!$D$4,Wrought_Fit_Chem._Comp[],11,FALSE)</calculatedColumnFormula>
    </tableColumn>
    <tableColumn id="11" xr3:uid="{00000000-0010-0000-1000-00000B000000}" name="Columbium %" dataDxfId="615">
      <calculatedColumnFormula>VLOOKUP('Fitting Seçim Aracı'!$D$4,Wrought_Fit_Chem._Comp[],12,FALSE)</calculatedColumnFormula>
    </tableColumn>
    <tableColumn id="12" xr3:uid="{00000000-0010-0000-1000-00000C000000}" name="Al %" dataDxfId="614">
      <calculatedColumnFormula>VLOOKUP('Fitting Seçim Aracı'!$D$4,Wrought_Fit_Chem._Comp[],13,FALSE)</calculatedColumnFormula>
    </tableColumn>
    <tableColumn id="13" xr3:uid="{00000000-0010-0000-1000-00000D000000}" name="Other" dataDxfId="613">
      <calculatedColumnFormula>VLOOKUP('Fitting Seçim Aracı'!$D$4,Wrought_Fit_Chem._Comp[],14,FALSE)</calculatedColumnFormula>
    </tableColumn>
  </tableColumns>
  <tableStyleInfo name="TableStyleMedium15"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00000000-000C-0000-FFFF-FFFF11000000}" name="Tablo5661" displayName="Tablo5661" ref="A28:J29" totalsRowShown="0" headerRowDxfId="612" dataDxfId="611">
  <autoFilter ref="A28:J29" xr:uid="{00000000-0009-0000-0100-00003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0000000-0010-0000-1100-000001000000}" name="Yield Strength Min, psi" dataDxfId="610">
      <calculatedColumnFormula>VLOOKUP($D$4,Wrought_Fit_Mech._Prop.[],2,FALSE)</calculatedColumnFormula>
    </tableColumn>
    <tableColumn id="2" xr3:uid="{00000000-0010-0000-1100-000002000000}" name="Yield Strength Min, N/mm²" dataDxfId="609">
      <calculatedColumnFormula>VLOOKUP($D$4,Wrought_Fit_Mech._Prop.[],3,FALSE)</calculatedColumnFormula>
    </tableColumn>
    <tableColumn id="3" xr3:uid="{00000000-0010-0000-1100-000003000000}" name="Tensile Strength Min, psi" dataDxfId="608">
      <calculatedColumnFormula>VLOOKUP($D$4,Wrought_Fit_Mech._Prop.[],4,FALSE)</calculatedColumnFormula>
    </tableColumn>
    <tableColumn id="4" xr3:uid="{00000000-0010-0000-1100-000004000000}" name="Tensile Strength Min, N/mm²" dataDxfId="607">
      <calculatedColumnFormula>VLOOKUP($D$4,Wrought_Fit_Mech._Prop.[],5,FALSE)</calculatedColumnFormula>
    </tableColumn>
    <tableColumn id="5" xr3:uid="{00000000-0010-0000-1100-000005000000}" name="Elongation (%)" dataDxfId="606">
      <calculatedColumnFormula>VLOOKUP($D$4,Wrought_Fit_Mech._Prop.[],6,FALSE)</calculatedColumnFormula>
    </tableColumn>
    <tableColumn id="6" xr3:uid="{00000000-0010-0000-1100-000006000000}" name="Reduction of Area (%)" dataDxfId="605">
      <calculatedColumnFormula>VLOOKUP($D$4,Wrought_Fit_Mech._Prop.[],7,FALSE)</calculatedColumnFormula>
    </tableColumn>
    <tableColumn id="7" xr3:uid="{00000000-0010-0000-1100-000007000000}" name="Hardness, maximum HBW" dataDxfId="604">
      <calculatedColumnFormula>VLOOKUP($D$4,Wrought_Fit_Mech._Prop.[],8,FALSE)</calculatedColumnFormula>
    </tableColumn>
    <tableColumn id="8" xr3:uid="{00000000-0010-0000-1100-000008000000}" name="CVN Avarage" dataDxfId="603">
      <calculatedColumnFormula>VLOOKUP($D$4,Wrought_Fit_Mech._Prop.[],9,FALSE)</calculatedColumnFormula>
    </tableColumn>
    <tableColumn id="9" xr3:uid="{00000000-0010-0000-1100-000009000000}" name="CVN Min" dataDxfId="602">
      <calculatedColumnFormula>VLOOKUP($D$4,Wrought_Fit_Mech._Prop.[],10,FALSE)</calculatedColumnFormula>
    </tableColumn>
    <tableColumn id="10" xr3:uid="{00000000-0010-0000-1100-00000A000000}" name="CVN Temp C" dataDxfId="601">
      <calculatedColumnFormula>VLOOKUP($D$4,Wrought_Fit_Mech._Prop.[],11,FALSE)</calculatedColumnFormula>
    </tableColumn>
  </tableColumns>
  <tableStyleInfo name="TableStyleMedium15"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00000000-000C-0000-FFFF-FFFF12000000}" name="Tablo556062" displayName="Tablo556062" ref="A32:M33" totalsRowShown="0" headerRowDxfId="600" dataDxfId="599">
  <autoFilter ref="A32:M33" xr:uid="{00000000-0009-0000-0100-00003D000000}"/>
  <tableColumns count="13">
    <tableColumn id="1" xr3:uid="{00000000-0010-0000-1200-000001000000}" name="C%" dataDxfId="598">
      <calculatedColumnFormula>VLOOKUP('Fitting Seçim Aracı'!$D$4,Wrought_Fit_Chem._Comp[],2,FALSE)</calculatedColumnFormula>
    </tableColumn>
    <tableColumn id="2" xr3:uid="{00000000-0010-0000-1200-000002000000}" name="Mn%" dataDxfId="597">
      <calculatedColumnFormula>VLOOKUP('Fitting Seçim Aracı'!$D$4,Wrought_Fit_Chem._Comp[],3,FALSE)</calculatedColumnFormula>
    </tableColumn>
    <tableColumn id="3" xr3:uid="{00000000-0010-0000-1200-000003000000}" name="Si%" dataDxfId="596">
      <calculatedColumnFormula>VLOOKUP('Fitting Seçim Aracı'!$D$4,Wrought_Fit_Chem._Comp[],4,FALSE)</calculatedColumnFormula>
    </tableColumn>
    <tableColumn id="4" xr3:uid="{00000000-0010-0000-1200-000004000000}" name="S%" dataDxfId="595">
      <calculatedColumnFormula>VLOOKUP('Fitting Seçim Aracı'!$D$4,Wrought_Fit_Chem._Comp[],5,FALSE)</calculatedColumnFormula>
    </tableColumn>
    <tableColumn id="5" xr3:uid="{00000000-0010-0000-1200-000005000000}" name="P%" dataDxfId="594">
      <calculatedColumnFormula>VLOOKUP('Fitting Seçim Aracı'!$D$4,Wrought_Fit_Chem._Comp[],6,FALSE)</calculatedColumnFormula>
    </tableColumn>
    <tableColumn id="6" xr3:uid="{00000000-0010-0000-1200-000006000000}" name="Cr%" dataDxfId="593">
      <calculatedColumnFormula>VLOOKUP('Fitting Seçim Aracı'!$D$4,Wrought_Fit_Chem._Comp[],7,FALSE)</calculatedColumnFormula>
    </tableColumn>
    <tableColumn id="7" xr3:uid="{00000000-0010-0000-1200-000007000000}" name="Ni%" dataDxfId="592">
      <calculatedColumnFormula>VLOOKUP('Fitting Seçim Aracı'!$D$4,Wrought_Fit_Chem._Comp[],8,FALSE)</calculatedColumnFormula>
    </tableColumn>
    <tableColumn id="8" xr3:uid="{00000000-0010-0000-1200-000008000000}" name="Mo%" dataDxfId="591">
      <calculatedColumnFormula>VLOOKUP('Fitting Seçim Aracı'!$D$4,Wrought_Fit_Chem._Comp[],9,FALSE)</calculatedColumnFormula>
    </tableColumn>
    <tableColumn id="9" xr3:uid="{00000000-0010-0000-1200-000009000000}" name="V%" dataDxfId="590">
      <calculatedColumnFormula>VLOOKUP('Fitting Seçim Aracı'!$D$4,Wrought_Fit_Chem._Comp[],10,FALSE)</calculatedColumnFormula>
    </tableColumn>
    <tableColumn id="10" xr3:uid="{00000000-0010-0000-1200-00000A000000}" name="Cu%" dataDxfId="589">
      <calculatedColumnFormula>VLOOKUP('Fitting Seçim Aracı'!$D$4,Wrought_Fit_Chem._Comp[],11,FALSE)</calculatedColumnFormula>
    </tableColumn>
    <tableColumn id="11" xr3:uid="{00000000-0010-0000-1200-00000B000000}" name="Columbium %" dataDxfId="588">
      <calculatedColumnFormula>VLOOKUP('Fitting Seçim Aracı'!$D$4,Wrought_Fit_Chem._Comp[],12,FALSE)</calculatedColumnFormula>
    </tableColumn>
    <tableColumn id="12" xr3:uid="{00000000-0010-0000-1200-00000C000000}" name="Al %" dataDxfId="587">
      <calculatedColumnFormula>VLOOKUP('Fitting Seçim Aracı'!$D$4,Wrought_Fit_Chem._Comp[],13,FALSE)</calculatedColumnFormula>
    </tableColumn>
    <tableColumn id="13" xr3:uid="{00000000-0010-0000-1200-00000D000000}" name="Other" dataDxfId="586">
      <calculatedColumnFormula>VLOOKUP('Fitting Seçim Aracı'!$D$4,Wrought_Fit_Chem._Comp[],14,FALSE)</calculatedColumnFormula>
    </tableColumn>
  </tableColumns>
  <tableStyleInfo name="TableStyleMedium15"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00000000-000C-0000-FFFF-FFFF13000000}" name="Tablo566163" displayName="Tablo566163" ref="A36:J37" totalsRowShown="0" headerRowDxfId="585" dataDxfId="584">
  <autoFilter ref="A36:J37" xr:uid="{00000000-0009-0000-0100-00003E000000}"/>
  <tableColumns count="10">
    <tableColumn id="1" xr3:uid="{00000000-0010-0000-1300-000001000000}" name="Yield Strength Min, psi" dataDxfId="583">
      <calculatedColumnFormula>VLOOKUP($D$4,Wrought_Fit_Mech._Prop.[],2,FALSE)</calculatedColumnFormula>
    </tableColumn>
    <tableColumn id="2" xr3:uid="{00000000-0010-0000-1300-000002000000}" name="Yield Strength Min, N/mm²" dataDxfId="582">
      <calculatedColumnFormula>VLOOKUP($D$4,Wrought_Fit_Mech._Prop.[],3,FALSE)</calculatedColumnFormula>
    </tableColumn>
    <tableColumn id="3" xr3:uid="{00000000-0010-0000-1300-000003000000}" name="Tensile Strength Min, psi" dataDxfId="581">
      <calculatedColumnFormula>VLOOKUP($D$4,Wrought_Fit_Mech._Prop.[],4,FALSE)</calculatedColumnFormula>
    </tableColumn>
    <tableColumn id="4" xr3:uid="{00000000-0010-0000-1300-000004000000}" name="Tensile Strength Min, N/mm²" dataDxfId="580">
      <calculatedColumnFormula>VLOOKUP($D$4,Wrought_Fit_Mech._Prop.[],5,FALSE)</calculatedColumnFormula>
    </tableColumn>
    <tableColumn id="5" xr3:uid="{00000000-0010-0000-1300-000005000000}" name="Elongation (%)" dataDxfId="579">
      <calculatedColumnFormula>VLOOKUP($D$4,Wrought_Fit_Mech._Prop.[],6,FALSE)</calculatedColumnFormula>
    </tableColumn>
    <tableColumn id="6" xr3:uid="{00000000-0010-0000-1300-000006000000}" name="Reduction of Area (%)" dataDxfId="578">
      <calculatedColumnFormula>VLOOKUP($D$4,Wrought_Fit_Mech._Prop.[],7,FALSE)</calculatedColumnFormula>
    </tableColumn>
    <tableColumn id="7" xr3:uid="{00000000-0010-0000-1300-000007000000}" name="Hardness, maximum HBW" dataDxfId="577">
      <calculatedColumnFormula>VLOOKUP($D$4,Wrought_Fit_Mech._Prop.[],8,FALSE)</calculatedColumnFormula>
    </tableColumn>
    <tableColumn id="8" xr3:uid="{00000000-0010-0000-1300-000008000000}" name="CVN Avarage" dataDxfId="576">
      <calculatedColumnFormula>VLOOKUP($D$4,Wrought_Fit_Mech._Prop.[],9,FALSE)</calculatedColumnFormula>
    </tableColumn>
    <tableColumn id="9" xr3:uid="{00000000-0010-0000-1300-000009000000}" name="CVN Min" dataDxfId="575">
      <calculatedColumnFormula>VLOOKUP($D$4,Wrought_Fit_Mech._Prop.[],10,FALSE)</calculatedColumnFormula>
    </tableColumn>
    <tableColumn id="10" xr3:uid="{00000000-0010-0000-1300-00000A000000}" name="CVN Temp C" dataDxfId="574">
      <calculatedColumnFormula>VLOOKUP($D$4,Wrought_Fit_Mech._Prop.[],11,FALSE)</calculatedColumnFormula>
    </tableColumn>
  </tableColumns>
  <tableStyleInfo name="TableStyleMedium15"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0000000-000C-0000-FFFF-FFFF14000000}" name="Tablo55606266" displayName="Tablo55606266" ref="A40:M41" totalsRowShown="0" headerRowDxfId="573" dataDxfId="572">
  <autoFilter ref="A40:M41" xr:uid="{00000000-0009-0000-0100-000041000000}"/>
  <tableColumns count="13">
    <tableColumn id="1" xr3:uid="{00000000-0010-0000-1400-000001000000}" name="C%" dataDxfId="571">
      <calculatedColumnFormula>VLOOKUP('Fitting Seçim Aracı'!$D$4,Wrought_Fit_Chem._Comp[],2,FALSE)</calculatedColumnFormula>
    </tableColumn>
    <tableColumn id="2" xr3:uid="{00000000-0010-0000-1400-000002000000}" name="Mn%" dataDxfId="570">
      <calculatedColumnFormula>VLOOKUP('Fitting Seçim Aracı'!$D$4,Wrought_Fit_Chem._Comp[],3,FALSE)</calculatedColumnFormula>
    </tableColumn>
    <tableColumn id="3" xr3:uid="{00000000-0010-0000-1400-000003000000}" name="Si%" dataDxfId="569">
      <calculatedColumnFormula>VLOOKUP('Fitting Seçim Aracı'!$D$4,Wrought_Fit_Chem._Comp[],4,FALSE)</calculatedColumnFormula>
    </tableColumn>
    <tableColumn id="4" xr3:uid="{00000000-0010-0000-1400-000004000000}" name="S%" dataDxfId="568">
      <calculatedColumnFormula>VLOOKUP('Fitting Seçim Aracı'!$D$4,Wrought_Fit_Chem._Comp[],5,FALSE)</calculatedColumnFormula>
    </tableColumn>
    <tableColumn id="5" xr3:uid="{00000000-0010-0000-1400-000005000000}" name="P%" dataDxfId="567">
      <calculatedColumnFormula>VLOOKUP('Fitting Seçim Aracı'!$D$4,Wrought_Fit_Chem._Comp[],6,FALSE)</calculatedColumnFormula>
    </tableColumn>
    <tableColumn id="6" xr3:uid="{00000000-0010-0000-1400-000006000000}" name="Cr%" dataDxfId="566">
      <calculatedColumnFormula>VLOOKUP('Fitting Seçim Aracı'!$D$4,Wrought_Fit_Chem._Comp[],7,FALSE)</calculatedColumnFormula>
    </tableColumn>
    <tableColumn id="7" xr3:uid="{00000000-0010-0000-1400-000007000000}" name="Ni%" dataDxfId="565">
      <calculatedColumnFormula>VLOOKUP('Fitting Seçim Aracı'!$D$4,Wrought_Fit_Chem._Comp[],8,FALSE)</calculatedColumnFormula>
    </tableColumn>
    <tableColumn id="8" xr3:uid="{00000000-0010-0000-1400-000008000000}" name="Mo%" dataDxfId="564">
      <calculatedColumnFormula>VLOOKUP('Fitting Seçim Aracı'!$D$4,Wrought_Fit_Chem._Comp[],9,FALSE)</calculatedColumnFormula>
    </tableColumn>
    <tableColumn id="9" xr3:uid="{00000000-0010-0000-1400-000009000000}" name="V%" dataDxfId="563">
      <calculatedColumnFormula>VLOOKUP('Fitting Seçim Aracı'!$D$4,Wrought_Fit_Chem._Comp[],10,FALSE)</calculatedColumnFormula>
    </tableColumn>
    <tableColumn id="10" xr3:uid="{00000000-0010-0000-1400-00000A000000}" name="Cu%" dataDxfId="562">
      <calculatedColumnFormula>VLOOKUP('Fitting Seçim Aracı'!$D$4,Wrought_Fit_Chem._Comp[],11,FALSE)</calculatedColumnFormula>
    </tableColumn>
    <tableColumn id="11" xr3:uid="{00000000-0010-0000-1400-00000B000000}" name="Columbium %" dataDxfId="561">
      <calculatedColumnFormula>VLOOKUP('Fitting Seçim Aracı'!$D$4,Wrought_Fit_Chem._Comp[],12,FALSE)</calculatedColumnFormula>
    </tableColumn>
    <tableColumn id="12" xr3:uid="{00000000-0010-0000-1400-00000C000000}" name="Al %" dataDxfId="560">
      <calculatedColumnFormula>VLOOKUP('Fitting Seçim Aracı'!$D$4,Wrought_Fit_Chem._Comp[],13,FALSE)</calculatedColumnFormula>
    </tableColumn>
    <tableColumn id="13" xr3:uid="{00000000-0010-0000-1400-00000D000000}" name="Other" dataDxfId="559">
      <calculatedColumnFormula>VLOOKUP('Fitting Seçim Aracı'!$D$4,Wrought_Fit_Chem._Comp[],14,FALSE)</calculatedColumnFormula>
    </tableColumn>
  </tableColumns>
  <tableStyleInfo name="TableStyleMedium15"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00000000-000C-0000-FFFF-FFFF15000000}" name="Tablo56616367" displayName="Tablo56616367" ref="A44:J45" totalsRowShown="0" headerRowDxfId="558" dataDxfId="557">
  <autoFilter ref="A44:J45" xr:uid="{00000000-0009-0000-0100-000042000000}"/>
  <tableColumns count="10">
    <tableColumn id="1" xr3:uid="{00000000-0010-0000-1500-000001000000}" name="Yield Strength Min, psi" dataDxfId="556">
      <calculatedColumnFormula>VLOOKUP($D$4,Wrought_Fit_Mech._Prop.[],2,FALSE)</calculatedColumnFormula>
    </tableColumn>
    <tableColumn id="2" xr3:uid="{00000000-0010-0000-1500-000002000000}" name="Yield Strength Min, N/mm²" dataDxfId="555">
      <calculatedColumnFormula>VLOOKUP($D$4,Wrought_Fit_Mech._Prop.[],3,FALSE)</calculatedColumnFormula>
    </tableColumn>
    <tableColumn id="3" xr3:uid="{00000000-0010-0000-1500-000003000000}" name="Tensile Strength Min, psi" dataDxfId="554">
      <calculatedColumnFormula>VLOOKUP($D$4,Wrought_Fit_Mech._Prop.[],4,FALSE)</calculatedColumnFormula>
    </tableColumn>
    <tableColumn id="4" xr3:uid="{00000000-0010-0000-1500-000004000000}" name="Tensile Strength Min, N/mm²" dataDxfId="553">
      <calculatedColumnFormula>VLOOKUP($D$4,Wrought_Fit_Mech._Prop.[],5,FALSE)</calculatedColumnFormula>
    </tableColumn>
    <tableColumn id="5" xr3:uid="{00000000-0010-0000-1500-000005000000}" name="Elongation (%)" dataDxfId="552">
      <calculatedColumnFormula>VLOOKUP($D$4,Wrought_Fit_Mech._Prop.[],6,FALSE)</calculatedColumnFormula>
    </tableColumn>
    <tableColumn id="6" xr3:uid="{00000000-0010-0000-1500-000006000000}" name="Reduction of Area (%)" dataDxfId="551">
      <calculatedColumnFormula>VLOOKUP($D$4,Wrought_Fit_Mech._Prop.[],7,FALSE)</calculatedColumnFormula>
    </tableColumn>
    <tableColumn id="7" xr3:uid="{00000000-0010-0000-1500-000007000000}" name="Hardness, maximum HBW" dataDxfId="550">
      <calculatedColumnFormula>VLOOKUP($D$4,Wrought_Fit_Mech._Prop.[],8,FALSE)</calculatedColumnFormula>
    </tableColumn>
    <tableColumn id="8" xr3:uid="{00000000-0010-0000-1500-000008000000}" name="CVN Avarage" dataDxfId="549">
      <calculatedColumnFormula>VLOOKUP($D$4,Wrought_Fit_Mech._Prop.[],9,FALSE)</calculatedColumnFormula>
    </tableColumn>
    <tableColumn id="9" xr3:uid="{00000000-0010-0000-1500-000009000000}" name="CVN Min" dataDxfId="548">
      <calculatedColumnFormula>VLOOKUP($D$4,Wrought_Fit_Mech._Prop.[],10,FALSE)</calculatedColumnFormula>
    </tableColumn>
    <tableColumn id="10" xr3:uid="{00000000-0010-0000-1500-00000A000000}" name="CVN Temp C" dataDxfId="547">
      <calculatedColumnFormula>VLOOKUP($D$4,Wrought_Fit_Mech._Prop.[],11,FALSE)</calculatedColumnFormula>
    </tableColumn>
  </tableColumns>
  <tableStyleInfo name="TableStyleMedium15"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16000000}" name="Tablo5560626640" displayName="Tablo5560626640" ref="A66:N74" totalsRowShown="0" headerRowDxfId="546" dataDxfId="545">
  <autoFilter ref="A66:N74" xr:uid="{00000000-0009-0000-0100-00002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5" xr3:uid="{00000000-0010-0000-1600-00000F000000}" name="Grade" dataDxfId="544"/>
    <tableColumn id="1" xr3:uid="{00000000-0010-0000-1600-000001000000}" name="C%" dataDxfId="543"/>
    <tableColumn id="2" xr3:uid="{00000000-0010-0000-1600-000002000000}" name="Mn%" dataDxfId="542"/>
    <tableColumn id="3" xr3:uid="{00000000-0010-0000-1600-000003000000}" name="Si%" dataDxfId="541"/>
    <tableColumn id="4" xr3:uid="{00000000-0010-0000-1600-000004000000}" name="S%" dataDxfId="540"/>
    <tableColumn id="5" xr3:uid="{00000000-0010-0000-1600-000005000000}" name="P%" dataDxfId="539"/>
    <tableColumn id="6" xr3:uid="{00000000-0010-0000-1600-000006000000}" name="Cr%" dataDxfId="538"/>
    <tableColumn id="7" xr3:uid="{00000000-0010-0000-1600-000007000000}" name="Ni%" dataDxfId="537"/>
    <tableColumn id="8" xr3:uid="{00000000-0010-0000-1600-000008000000}" name="Mo%" dataDxfId="536"/>
    <tableColumn id="9" xr3:uid="{00000000-0010-0000-1600-000009000000}" name="V%" dataDxfId="535"/>
    <tableColumn id="10" xr3:uid="{00000000-0010-0000-1600-00000A000000}" name="Cu%" dataDxfId="534"/>
    <tableColumn id="11" xr3:uid="{00000000-0010-0000-1600-00000B000000}" name="Columbium %" dataDxfId="533"/>
    <tableColumn id="12" xr3:uid="{00000000-0010-0000-1600-00000C000000}" name="Al %" dataDxfId="532"/>
    <tableColumn id="13" xr3:uid="{00000000-0010-0000-1600-00000D000000}" name="Other" dataDxfId="531"/>
  </tableColumns>
  <tableStyleInfo name="TableStyleMedium15"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17000000}" name="Tablo5661636742" displayName="Tablo5661636742" ref="A79:K87" totalsRowShown="0" headerRowDxfId="530" dataDxfId="529">
  <autoFilter ref="A79:K87" xr:uid="{00000000-0009-0000-0100-00002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1" xr3:uid="{00000000-0010-0000-1700-00000B000000}" name="Grade" dataDxfId="528"/>
    <tableColumn id="1" xr3:uid="{00000000-0010-0000-1700-000001000000}" name="Yield Strength Min, psi" dataDxfId="527">
      <calculatedColumnFormula>VLOOKUP($D$4,Wrought_Fit_Mech._Prop.[],2,FALSE)</calculatedColumnFormula>
    </tableColumn>
    <tableColumn id="2" xr3:uid="{00000000-0010-0000-1700-000002000000}" name="Yield Strength Min, N/mm²" dataDxfId="526"/>
    <tableColumn id="3" xr3:uid="{00000000-0010-0000-1700-000003000000}" name="Tensile Strength Min, psi" dataDxfId="525">
      <calculatedColumnFormula>VLOOKUP($D$4,Wrought_Fit_Mech._Prop.[],4,FALSE)</calculatedColumnFormula>
    </tableColumn>
    <tableColumn id="4" xr3:uid="{00000000-0010-0000-1700-000004000000}" name="Tensile Strength Min, N/mm²" dataDxfId="524">
      <calculatedColumnFormula>VLOOKUP($D$4,Wrought_Fit_Mech._Prop.[],5,FALSE)</calculatedColumnFormula>
    </tableColumn>
    <tableColumn id="5" xr3:uid="{00000000-0010-0000-1700-000005000000}" name="Elongation (%)" dataDxfId="523">
      <calculatedColumnFormula>VLOOKUP($D$4,Wrought_Fit_Mech._Prop.[],6,FALSE)</calculatedColumnFormula>
    </tableColumn>
    <tableColumn id="6" xr3:uid="{00000000-0010-0000-1700-000006000000}" name="Reduction of Area (%)" dataDxfId="522">
      <calculatedColumnFormula>VLOOKUP($D$4,Wrought_Fit_Mech._Prop.[],7,FALSE)</calculatedColumnFormula>
    </tableColumn>
    <tableColumn id="7" xr3:uid="{00000000-0010-0000-1700-000007000000}" name="Hardness, maximum HBW" dataDxfId="521">
      <calculatedColumnFormula>VLOOKUP($D$4,Wrought_Fit_Mech._Prop.[],8,FALSE)</calculatedColumnFormula>
    </tableColumn>
    <tableColumn id="8" xr3:uid="{00000000-0010-0000-1700-000008000000}" name="CVN Avarage" dataDxfId="520">
      <calculatedColumnFormula>20*1.36</calculatedColumnFormula>
    </tableColumn>
    <tableColumn id="9" xr3:uid="{00000000-0010-0000-1700-000009000000}" name="CVN Min" dataDxfId="519">
      <calculatedColumnFormula>15*1.36</calculatedColumnFormula>
    </tableColumn>
    <tableColumn id="10" xr3:uid="{00000000-0010-0000-1700-00000A000000}" name="CVN Temp C" dataDxfId="518">
      <calculatedColumnFormula>VLOOKUP($D$4,Wrought_Fit_Mech._Prop.[],11,FALSE)</calculatedColumnFormula>
    </tableColumn>
  </tableColumns>
  <tableStyleInfo name="TableStyleMedium15"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8000000}" name="Tablo14" displayName="Tablo14" ref="A26:J27" totalsRowShown="0" headerRowDxfId="517" dataDxfId="516">
  <autoFilter ref="A26:J27" xr:uid="{00000000-0009-0000-0100-00000E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0000000-0010-0000-1800-000001000000}" name="Yield Strength Min, psi" dataDxfId="515">
      <calculatedColumnFormula>VLOOKUP($J$3,Tablo12[#All],2,0)</calculatedColumnFormula>
    </tableColumn>
    <tableColumn id="2" xr3:uid="{00000000-0010-0000-1800-000002000000}" name="Yield Strength Min, N/mm²" dataDxfId="514">
      <calculatedColumnFormula>VLOOKUP($J$3,Tablo12[#All],3,0)</calculatedColumnFormula>
    </tableColumn>
    <tableColumn id="3" xr3:uid="{00000000-0010-0000-1800-000003000000}" name="Tensile Strength Min, psi" dataDxfId="513">
      <calculatedColumnFormula>VLOOKUP($J$3,Tablo12[#All],4,0)</calculatedColumnFormula>
    </tableColumn>
    <tableColumn id="4" xr3:uid="{00000000-0010-0000-1800-000004000000}" name="Tensile Strength Min, N/mm²" dataDxfId="512">
      <calculatedColumnFormula>VLOOKUP($J$3,Tablo12[#All],5,0)</calculatedColumnFormula>
    </tableColumn>
    <tableColumn id="5" xr3:uid="{00000000-0010-0000-1800-000005000000}" name="Elongation (%)" dataDxfId="511">
      <calculatedColumnFormula>VLOOKUP($J$3,Tablo12[#All],6,0)</calculatedColumnFormula>
    </tableColumn>
    <tableColumn id="6" xr3:uid="{00000000-0010-0000-1800-000006000000}" name="Reduction of Area (%)" dataDxfId="510">
      <calculatedColumnFormula>VLOOKUP($J$3,Tablo12[#All],7,0)</calculatedColumnFormula>
    </tableColumn>
    <tableColumn id="7" xr3:uid="{00000000-0010-0000-1800-000007000000}" name="Hardness, maximum" dataDxfId="509">
      <calculatedColumnFormula>VLOOKUP($J$3,Tablo12[#All],8,0)</calculatedColumnFormula>
    </tableColumn>
    <tableColumn id="8" xr3:uid="{00000000-0010-0000-1800-000008000000}" name="CVN Avarage" dataDxfId="508">
      <calculatedColumnFormula>VLOOKUP($J$3,Tablo12[#All],9,0)</calculatedColumnFormula>
    </tableColumn>
    <tableColumn id="9" xr3:uid="{00000000-0010-0000-1800-000009000000}" name="CVN Min" dataDxfId="507">
      <calculatedColumnFormula>VLOOKUP($J$3,Tablo12[#All],10,0)</calculatedColumnFormula>
    </tableColumn>
    <tableColumn id="10" xr3:uid="{00000000-0010-0000-1800-00000A000000}" name="CVN Temp C" dataDxfId="506">
      <calculatedColumnFormula>VLOOKUP($J$3,Tablo12[#All],11,0)</calculatedColumnFormula>
    </tableColumn>
  </tableColumns>
  <tableStyleInfo name="TableStyleMedium15"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o13" displayName="Tablo13" ref="A10:N11" totalsRowShown="0" headerRowDxfId="505" dataDxfId="504">
  <autoFilter ref="A10:N11" xr:uid="{00000000-0009-0000-0100-00000D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4" xr3:uid="{00000000-0010-0000-1900-00000E000000}" name="Grade" dataDxfId="503">
      <calculatedColumnFormula>G3</calculatedColumnFormula>
    </tableColumn>
    <tableColumn id="1" xr3:uid="{00000000-0010-0000-1900-000001000000}" name="C%" dataDxfId="502">
      <calculatedColumnFormula>VLOOKUP($G$3,Tablo11[#All],2,0)</calculatedColumnFormula>
    </tableColumn>
    <tableColumn id="2" xr3:uid="{00000000-0010-0000-1900-000002000000}" name="Mn%" dataDxfId="501">
      <calculatedColumnFormula>VLOOKUP($G$3,Tablo11[#All],3,0)</calculatedColumnFormula>
    </tableColumn>
    <tableColumn id="3" xr3:uid="{00000000-0010-0000-1900-000003000000}" name="Si%" dataDxfId="500">
      <calculatedColumnFormula>VLOOKUP($G$3,Tablo11[#All],4,0)</calculatedColumnFormula>
    </tableColumn>
    <tableColumn id="4" xr3:uid="{00000000-0010-0000-1900-000004000000}" name="S%" dataDxfId="499">
      <calculatedColumnFormula>VLOOKUP($G$3,Tablo11[#All],5,0)</calculatedColumnFormula>
    </tableColumn>
    <tableColumn id="5" xr3:uid="{00000000-0010-0000-1900-000005000000}" name="P%" dataDxfId="498">
      <calculatedColumnFormula>VLOOKUP($G$3,Tablo11[#All],6,0)</calculatedColumnFormula>
    </tableColumn>
    <tableColumn id="6" xr3:uid="{00000000-0010-0000-1900-000006000000}" name="Cr%" dataDxfId="497">
      <calculatedColumnFormula>VLOOKUP($G$3,Tablo11[#All],7,0)</calculatedColumnFormula>
    </tableColumn>
    <tableColumn id="7" xr3:uid="{00000000-0010-0000-1900-000007000000}" name="Ni%" dataDxfId="496">
      <calculatedColumnFormula>VLOOKUP($G$3,Tablo11[#All],8,0)</calculatedColumnFormula>
    </tableColumn>
    <tableColumn id="8" xr3:uid="{00000000-0010-0000-1900-000008000000}" name="Mo%" dataDxfId="495">
      <calculatedColumnFormula>VLOOKUP($G$3,Tablo11[#All],9,0)</calculatedColumnFormula>
    </tableColumn>
    <tableColumn id="9" xr3:uid="{00000000-0010-0000-1900-000009000000}" name="V%" dataDxfId="494">
      <calculatedColumnFormula>VLOOKUP($G$3,Tablo11[#All],10,0)</calculatedColumnFormula>
    </tableColumn>
    <tableColumn id="10" xr3:uid="{00000000-0010-0000-1900-00000A000000}" name="Cu%" dataDxfId="493">
      <calculatedColumnFormula>VLOOKUP($G$3,Tablo11[#All],11,0)</calculatedColumnFormula>
    </tableColumn>
    <tableColumn id="11" xr3:uid="{00000000-0010-0000-1900-00000B000000}" name="Nb%" dataDxfId="492">
      <calculatedColumnFormula>VLOOKUP($G$3,Tablo11[#All],12,0)</calculatedColumnFormula>
    </tableColumn>
    <tableColumn id="12" xr3:uid="{00000000-0010-0000-1900-00000C000000}" name="N%" dataDxfId="491">
      <calculatedColumnFormula>VLOOKUP($G$3,Tablo11[#All],13,0)</calculatedColumnFormula>
    </tableColumn>
    <tableColumn id="13" xr3:uid="{00000000-0010-0000-1900-00000D000000}" name="Other" dataDxfId="490">
      <calculatedColumnFormula>VLOOKUP($G$3,Tablo11[#All],14,0)</calculatedColumnFormula>
    </tableColumn>
  </tableColumns>
  <tableStyleInfo name="TableStyleMedium15"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1A000000}" name="Tablo1538" displayName="Tablo1538" ref="A2:K6" totalsRowShown="0" headerRowDxfId="489" dataDxfId="488" tableBorderDxfId="487">
  <autoFilter ref="A2:K6" xr:uid="{00000000-0009-0000-0100-000025000000}">
    <filterColumn colId="0" hiddenButton="1"/>
    <filterColumn colId="1" hiddenButton="1"/>
    <filterColumn colId="2" hiddenButton="1"/>
    <filterColumn colId="3" hiddenButton="1"/>
    <filterColumn colId="5" hiddenButton="1"/>
    <filterColumn colId="6" hiddenButton="1"/>
    <filterColumn colId="7" hiddenButton="1"/>
    <filterColumn colId="8" hiddenButton="1"/>
    <filterColumn colId="9" hiddenButton="1"/>
    <filterColumn colId="10" hiddenButton="1"/>
  </autoFilter>
  <tableColumns count="11">
    <tableColumn id="1" xr3:uid="{00000000-0010-0000-1A00-000001000000}" name="FİTTİNG" dataDxfId="486"/>
    <tableColumn id="2" xr3:uid="{00000000-0010-0000-1A00-000002000000}" name="Çap(inch)" dataDxfId="485"/>
    <tableColumn id="6" xr3:uid="{00000000-0010-0000-1A00-000006000000}" name="Çap(mm)" dataDxfId="484">
      <calculatedColumnFormula>VLOOKUP(Tablo1538[[#This Row],[Çap(inch)]],Fitting_Flanş[[#All],[BORU DIŞ ÇAPI Anma (inch)]:[Nominal (mm)]],4,0)</calculatedColumnFormula>
    </tableColumn>
    <tableColumn id="8" xr3:uid="{00000000-0010-0000-1A00-000008000000}" name="Class" dataDxfId="483">
      <calculatedColumnFormula>IF(Tablo1538[[#This Row],[Çap(mm)]]&gt;60.3," Class 600 "," Class 1500")</calculatedColumnFormula>
    </tableColumn>
    <tableColumn id="5" xr3:uid="{00000000-0010-0000-1A00-000005000000}" name="Malzeme" dataDxfId="482"/>
    <tableColumn id="9" xr3:uid="{00000000-0010-0000-1A00-000009000000}" name="Design Temp C" dataDxfId="481"/>
    <tableColumn id="3" xr3:uid="{00000000-0010-0000-1A00-000003000000}" name="Malzeme Standardı" dataDxfId="480">
      <calculatedColumnFormula>VLOOKUP(B3,Fitting_Flanş[#All],(IF(Tablo1538[[#This Row],[FİTTİNG]]="FLANŞ",6,5)),FALSE)</calculatedColumnFormula>
    </tableColumn>
    <tableColumn id="7" xr3:uid="{00000000-0010-0000-1A00-000007000000}" name="Üretim Standardı" dataDxfId="479"/>
    <tableColumn id="10" xr3:uid="{00000000-0010-0000-1A00-00000A000000}" name="Boyut Kontrol Standardı" dataDxfId="478"/>
    <tableColumn id="11" xr3:uid="{00000000-0010-0000-1A00-00000B000000}" name="Manuel Seçim Malzeme" dataDxfId="477"/>
    <tableColumn id="4" xr3:uid="{00000000-0010-0000-1A00-000004000000}" name="Manuel Seçim Üretim ve Malzeme" dataDxfId="476"/>
  </tableColumns>
  <tableStyleInfo name="TableStyleMedium15"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1B000000}" name="Tablo1341" displayName="Tablo1341" ref="A14:N15" totalsRowShown="0" headerRowDxfId="475" dataDxfId="474">
  <autoFilter ref="A14:N15" xr:uid="{00000000-0009-0000-0100-00002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4" xr3:uid="{00000000-0010-0000-1B00-00000E000000}" name="Grade" dataDxfId="473">
      <calculatedColumnFormula>H3</calculatedColumnFormula>
    </tableColumn>
    <tableColumn id="1" xr3:uid="{00000000-0010-0000-1B00-000001000000}" name="C%" dataDxfId="472">
      <calculatedColumnFormula>VLOOKUP($H$3,$H$38:$U$49,2,0)</calculatedColumnFormula>
    </tableColumn>
    <tableColumn id="2" xr3:uid="{00000000-0010-0000-1B00-000002000000}" name="Mn%" dataDxfId="471">
      <calculatedColumnFormula>VLOOKUP($H$3,$H$38:$U$49,3,0)</calculatedColumnFormula>
    </tableColumn>
    <tableColumn id="3" xr3:uid="{00000000-0010-0000-1B00-000003000000}" name="Si%" dataDxfId="470">
      <calculatedColumnFormula>VLOOKUP($H$3,$H$38:$U$49,4,0)</calculatedColumnFormula>
    </tableColumn>
    <tableColumn id="4" xr3:uid="{00000000-0010-0000-1B00-000004000000}" name="S%" dataDxfId="469">
      <calculatedColumnFormula>VLOOKUP($H$3,$H$38:$U$49,5,0)</calculatedColumnFormula>
    </tableColumn>
    <tableColumn id="5" xr3:uid="{00000000-0010-0000-1B00-000005000000}" name="P%" dataDxfId="468">
      <calculatedColumnFormula>VLOOKUP($H$3,$H$38:$U$49,6,0)</calculatedColumnFormula>
    </tableColumn>
    <tableColumn id="6" xr3:uid="{00000000-0010-0000-1B00-000006000000}" name="Cr%" dataDxfId="467">
      <calculatedColumnFormula>VLOOKUP($H$3,$H$38:$U$49,7,0)</calculatedColumnFormula>
    </tableColumn>
    <tableColumn id="7" xr3:uid="{00000000-0010-0000-1B00-000007000000}" name="Ni%" dataDxfId="466">
      <calculatedColumnFormula>VLOOKUP($H$3,$H$38:$U$49,8,0)</calculatedColumnFormula>
    </tableColumn>
    <tableColumn id="8" xr3:uid="{00000000-0010-0000-1B00-000008000000}" name="Mo%" dataDxfId="465">
      <calculatedColumnFormula>VLOOKUP($H$3,$H$38:$U$49,9,0)</calculatedColumnFormula>
    </tableColumn>
    <tableColumn id="9" xr3:uid="{00000000-0010-0000-1B00-000009000000}" name="V%" dataDxfId="464">
      <calculatedColumnFormula>VLOOKUP($H$3,$H$38:$U$49,10,0)</calculatedColumnFormula>
    </tableColumn>
    <tableColumn id="10" xr3:uid="{00000000-0010-0000-1B00-00000A000000}" name="Cu%" dataDxfId="463">
      <calculatedColumnFormula>VLOOKUP($H$3,$H$38:$U$49,11,0)</calculatedColumnFormula>
    </tableColumn>
    <tableColumn id="11" xr3:uid="{00000000-0010-0000-1B00-00000B000000}" name="Nb%" dataDxfId="462">
      <calculatedColumnFormula>VLOOKUP($H$3,$H$38:$U$49,12,0)</calculatedColumnFormula>
    </tableColumn>
    <tableColumn id="12" xr3:uid="{00000000-0010-0000-1B00-00000C000000}" name="N%" dataDxfId="461">
      <calculatedColumnFormula>VLOOKUP($H$3,$H$38:$U$49,13,0)</calculatedColumnFormula>
    </tableColumn>
    <tableColumn id="13" xr3:uid="{00000000-0010-0000-1B00-00000D000000}" name="Other" dataDxfId="460">
      <calculatedColumnFormula>VLOOKUP($H$3,$H$38:$U$49,14,0)</calculatedColumnFormula>
    </tableColumn>
  </tableColumns>
  <tableStyleInfo name="TableStyleMedium15"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1C000000}" name="ÜretimStandardı" displayName="ÜretimStandardı" ref="A36:F52" totalsRowShown="0" headerRowDxfId="459">
  <autoFilter ref="A36:F52" xr:uid="{00000000-0009-0000-0100-00002A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1C00-000001000000}" name="Üretim Standardı"/>
    <tableColumn id="2" xr3:uid="{00000000-0010-0000-1C00-000002000000}" name="Malzeme Standardı"/>
    <tableColumn id="3" xr3:uid="{00000000-0010-0000-1C00-000003000000}" name="Class Asme B16.5"/>
    <tableColumn id="4" xr3:uid="{00000000-0010-0000-1C00-000004000000}" name="Design Temp Asme B16.5"/>
    <tableColumn id="6" xr3:uid="{00000000-0010-0000-1C00-000006000000}" name="Class MSS SP-44"/>
    <tableColumn id="5" xr3:uid="{00000000-0010-0000-1C00-000005000000}" name="Design Temp MSS SP-44"/>
  </tableColumns>
  <tableStyleInfo name="TableStyleMedium15"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1D000000}" name="Tablo1446" displayName="Tablo1446" ref="A30:K31" totalsRowShown="0" headerRowDxfId="458" dataDxfId="456" headerRowBorderDxfId="457">
  <autoFilter ref="A30:K31" xr:uid="{00000000-0009-0000-0100-00002D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00000000-0010-0000-1D00-000001000000}" name="Grade" dataDxfId="455">
      <calculatedColumnFormula>K3</calculatedColumnFormula>
    </tableColumn>
    <tableColumn id="2" xr3:uid="{00000000-0010-0000-1D00-000002000000}" name="Yield Strength Min, psi" dataDxfId="454">
      <calculatedColumnFormula>VLOOKUP($K$3,Tablo49[],2,0)</calculatedColumnFormula>
    </tableColumn>
    <tableColumn id="3" xr3:uid="{00000000-0010-0000-1D00-000003000000}" name="Yield Strength Min, N/mm²" dataDxfId="453">
      <calculatedColumnFormula>VLOOKUP($K$3,Tablo49[],3,0)</calculatedColumnFormula>
    </tableColumn>
    <tableColumn id="4" xr3:uid="{00000000-0010-0000-1D00-000004000000}" name="Tensile Strength Min, psi" dataDxfId="452">
      <calculatedColumnFormula>VLOOKUP($K$3,Tablo49[],4,0)</calculatedColumnFormula>
    </tableColumn>
    <tableColumn id="5" xr3:uid="{00000000-0010-0000-1D00-000005000000}" name="Tensile Strength Min, N/mm²" dataDxfId="451">
      <calculatedColumnFormula>VLOOKUP($K$3,Tablo49[],5,0)</calculatedColumnFormula>
    </tableColumn>
    <tableColumn id="6" xr3:uid="{00000000-0010-0000-1D00-000006000000}" name="Elongation (%)" dataDxfId="450">
      <calculatedColumnFormula>VLOOKUP($K$3,Tablo49[],6,0)</calculatedColumnFormula>
    </tableColumn>
    <tableColumn id="7" xr3:uid="{00000000-0010-0000-1D00-000007000000}" name="Reduction of Area (%)" dataDxfId="449">
      <calculatedColumnFormula>VLOOKUP($K$3,Tablo49[],7,0)</calculatedColumnFormula>
    </tableColumn>
    <tableColumn id="8" xr3:uid="{00000000-0010-0000-1D00-000008000000}" name="Hardness, maximum HBW" dataDxfId="448">
      <calculatedColumnFormula>VLOOKUP($K$3,Tablo49[],8,0)</calculatedColumnFormula>
    </tableColumn>
    <tableColumn id="9" xr3:uid="{00000000-0010-0000-1D00-000009000000}" name="CVN Min avg." dataDxfId="447">
      <calculatedColumnFormula>VLOOKUP($K$3,Tablo49[],9,0)</calculatedColumnFormula>
    </tableColumn>
    <tableColumn id="10" xr3:uid="{00000000-0010-0000-1D00-00000A000000}" name="CVN Min " dataDxfId="446">
      <calculatedColumnFormula>VLOOKUP($K$3,Tablo49[],10,0)</calculatedColumnFormula>
    </tableColumn>
    <tableColumn id="11" xr3:uid="{00000000-0010-0000-1D00-00000B000000}" name="CVN Temp. Celc." dataDxfId="445">
      <calculatedColumnFormula>VLOOKUP($K$3,Tablo49[],11,0)</calculatedColumnFormula>
    </tableColumn>
  </tableColumns>
  <tableStyleInfo name="TableStyleMedium15"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1E000000}" name="MSS_Sp_44_Kimyasal_Kompozisyon" displayName="MSS_Sp_44_Kimyasal_Kompozisyon" ref="I38:U49" totalsRowShown="0" dataDxfId="444" headerRowCellStyle="İyi" dataCellStyle="İyi">
  <autoFilter ref="I38:U49" xr:uid="{00000000-0009-0000-0100-00002F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1E00-000001000000}" name="C%" dataDxfId="443" dataCellStyle="Normal"/>
    <tableColumn id="2" xr3:uid="{00000000-0010-0000-1E00-000002000000}" name="Mn%" dataDxfId="442" dataCellStyle="Normal"/>
    <tableColumn id="3" xr3:uid="{00000000-0010-0000-1E00-000003000000}" name="Si%" dataDxfId="441" dataCellStyle="Normal"/>
    <tableColumn id="4" xr3:uid="{00000000-0010-0000-1E00-000004000000}" name="S%" dataDxfId="440" dataCellStyle="Normal"/>
    <tableColumn id="5" xr3:uid="{00000000-0010-0000-1E00-000005000000}" name="P%" dataDxfId="439" dataCellStyle="Normal"/>
    <tableColumn id="6" xr3:uid="{00000000-0010-0000-1E00-000006000000}" name="Cr%" dataDxfId="438" dataCellStyle="Normal"/>
    <tableColumn id="7" xr3:uid="{00000000-0010-0000-1E00-000007000000}" name="Ni%" dataDxfId="437" dataCellStyle="Normal"/>
    <tableColumn id="8" xr3:uid="{00000000-0010-0000-1E00-000008000000}" name="Mo%" dataDxfId="436" dataCellStyle="Normal"/>
    <tableColumn id="9" xr3:uid="{00000000-0010-0000-1E00-000009000000}" name="V%" dataDxfId="435" dataCellStyle="Normal"/>
    <tableColumn id="10" xr3:uid="{00000000-0010-0000-1E00-00000A000000}" name="Cu%" dataDxfId="434" dataCellStyle="Normal"/>
    <tableColumn id="11" xr3:uid="{00000000-0010-0000-1E00-00000B000000}" name="Nb%" dataDxfId="433" dataCellStyle="Normal"/>
    <tableColumn id="12" xr3:uid="{00000000-0010-0000-1E00-00000C000000}" name="N%" dataDxfId="432" dataCellStyle="Normal"/>
    <tableColumn id="13" xr3:uid="{00000000-0010-0000-1E00-00000D000000}" name="Other" dataDxfId="431" dataCellStyle="Normal"/>
  </tableColumns>
  <tableStyleInfo name="TableStyleMedium15"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1F000000}" name="Tablo48" displayName="Tablo48" ref="C68:H74" totalsRowShown="0" headerRowDxfId="430" dataDxfId="429">
  <autoFilter ref="C68:H74" xr:uid="{00000000-0009-0000-0100-000030000000}"/>
  <tableColumns count="6">
    <tableColumn id="1" xr3:uid="{00000000-0010-0000-1F00-000001000000}" name="Temperature  ©" dataDxfId="428"/>
    <tableColumn id="2" xr3:uid="{00000000-0010-0000-1F00-000002000000}" name="150" dataDxfId="427"/>
    <tableColumn id="3" xr3:uid="{00000000-0010-0000-1F00-000003000000}" name="300" dataDxfId="426"/>
    <tableColumn id="4" xr3:uid="{00000000-0010-0000-1F00-000004000000}" name="400" dataDxfId="425"/>
    <tableColumn id="5" xr3:uid="{00000000-0010-0000-1F00-000005000000}" name="600" dataDxfId="424"/>
    <tableColumn id="6" xr3:uid="{00000000-0010-0000-1F00-000006000000}" name="900" dataDxfId="423"/>
  </tableColumns>
  <tableStyleInfo name="TableStyleMedium15"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20000000}" name="Tablo49" displayName="Tablo49" ref="B55:L66" totalsRowShown="0" headerRowDxfId="422" dataDxfId="421">
  <autoFilter ref="B55:L66" xr:uid="{00000000-0009-0000-0100-00003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00000000-0010-0000-2000-000001000000}" name="Grade" dataDxfId="420"/>
    <tableColumn id="2" xr3:uid="{00000000-0010-0000-2000-000002000000}" name="Yield Strength Min, psi" dataDxfId="419"/>
    <tableColumn id="3" xr3:uid="{00000000-0010-0000-2000-000003000000}" name="Yield Strength Min, N/mm²" dataDxfId="418"/>
    <tableColumn id="4" xr3:uid="{00000000-0010-0000-2000-000004000000}" name="Tensile Strength Min, psi" dataDxfId="417"/>
    <tableColumn id="5" xr3:uid="{00000000-0010-0000-2000-000005000000}" name="Tensile Strength Min, N/mm²" dataDxfId="416"/>
    <tableColumn id="6" xr3:uid="{00000000-0010-0000-2000-000006000000}" name="Elongation (%)" dataDxfId="415"/>
    <tableColumn id="7" xr3:uid="{00000000-0010-0000-2000-000007000000}" name="Reduction of Area (%)" dataDxfId="414"/>
    <tableColumn id="8" xr3:uid="{00000000-0010-0000-2000-000008000000}" name="Hardness, maximum HBW" dataDxfId="413"/>
    <tableColumn id="9" xr3:uid="{00000000-0010-0000-2000-000009000000}" name="CVN Min avg." dataDxfId="412"/>
    <tableColumn id="10" xr3:uid="{00000000-0010-0000-2000-00000A000000}" name="CVN Min " dataDxfId="411"/>
    <tableColumn id="11" xr3:uid="{00000000-0010-0000-2000-00000B000000}" name="CVN Temp. Celc." dataDxfId="410"/>
  </tableColumns>
  <tableStyleInfo name="TableStyleMedium15"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21000000}" name="MSS_Sp_44_Kimyasal_Kompozisyon52" displayName="MSS_Sp_44_Kimyasal_Kompozisyon52" ref="AE45:AQ46" totalsRowShown="0" headerRowDxfId="409" dataDxfId="407" headerRowBorderDxfId="408">
  <autoFilter ref="AE45:AQ46" xr:uid="{00000000-0009-0000-0100-000033000000}"/>
  <tableColumns count="13">
    <tableColumn id="1" xr3:uid="{00000000-0010-0000-2100-000001000000}" name="C%" dataDxfId="406"/>
    <tableColumn id="2" xr3:uid="{00000000-0010-0000-2100-000002000000}" name="Mn%" dataDxfId="405"/>
    <tableColumn id="3" xr3:uid="{00000000-0010-0000-2100-000003000000}" name="Si%" dataDxfId="404"/>
    <tableColumn id="4" xr3:uid="{00000000-0010-0000-2100-000004000000}" name="S%" dataDxfId="403"/>
    <tableColumn id="5" xr3:uid="{00000000-0010-0000-2100-000005000000}" name="P%" dataDxfId="402"/>
    <tableColumn id="6" xr3:uid="{00000000-0010-0000-2100-000006000000}" name="Cr%" dataDxfId="401"/>
    <tableColumn id="7" xr3:uid="{00000000-0010-0000-2100-000007000000}" name="Ni%" dataDxfId="400"/>
    <tableColumn id="8" xr3:uid="{00000000-0010-0000-2100-000008000000}" name="Mo%" dataDxfId="399"/>
    <tableColumn id="9" xr3:uid="{00000000-0010-0000-2100-000009000000}" name="V%" dataDxfId="398"/>
    <tableColumn id="10" xr3:uid="{00000000-0010-0000-2100-00000A000000}" name="Cu%" dataDxfId="397"/>
    <tableColumn id="11" xr3:uid="{00000000-0010-0000-2100-00000B000000}" name="Nb%" dataDxfId="396"/>
    <tableColumn id="12" xr3:uid="{00000000-0010-0000-2100-00000C000000}" name="N%" dataDxfId="395"/>
    <tableColumn id="13" xr3:uid="{00000000-0010-0000-2100-00000D000000}" name="Other" dataDxfId="394"/>
  </tableColumns>
  <tableStyleInfo name="TableStyleMedium8"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22000000}" name="Tablo1423" displayName="Tablo1423" ref="A18:K19" totalsRowShown="0" headerRowDxfId="393" dataDxfId="392">
  <autoFilter ref="A18:K19" xr:uid="{00000000-0009-0000-0100-00001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1" xr3:uid="{00000000-0010-0000-2200-00000B000000}" name="Grade" dataDxfId="391">
      <calculatedColumnFormula>G3</calculatedColumnFormula>
    </tableColumn>
    <tableColumn id="1" xr3:uid="{00000000-0010-0000-2200-000001000000}" name="Yield Strength Min, psi" dataDxfId="390">
      <calculatedColumnFormula>VLOOKUP($G$3,Tablo12[#All],2,0)</calculatedColumnFormula>
    </tableColumn>
    <tableColumn id="2" xr3:uid="{00000000-0010-0000-2200-000002000000}" name="Yield Strength Min, N/mm²" dataDxfId="389">
      <calculatedColumnFormula>VLOOKUP($G$3,Tablo12[#All],3,0)</calculatedColumnFormula>
    </tableColumn>
    <tableColumn id="3" xr3:uid="{00000000-0010-0000-2200-000003000000}" name="Tensile Strength Min, psi" dataDxfId="388">
      <calculatedColumnFormula>VLOOKUP($G$3,Tablo12[#All],4,0)</calculatedColumnFormula>
    </tableColumn>
    <tableColumn id="4" xr3:uid="{00000000-0010-0000-2200-000004000000}" name="Tensile Strength Min, N/mm²" dataDxfId="387">
      <calculatedColumnFormula>VLOOKUP($G$3,Tablo12[#All],5,0)</calculatedColumnFormula>
    </tableColumn>
    <tableColumn id="5" xr3:uid="{00000000-0010-0000-2200-000005000000}" name="Elongation (%)" dataDxfId="386">
      <calculatedColumnFormula>VLOOKUP($G$3,Tablo12[#All],6,0)</calculatedColumnFormula>
    </tableColumn>
    <tableColumn id="6" xr3:uid="{00000000-0010-0000-2200-000006000000}" name="Reduction of Area (%)" dataDxfId="385">
      <calculatedColumnFormula>VLOOKUP($G$3,Tablo12[#All],7,0)</calculatedColumnFormula>
    </tableColumn>
    <tableColumn id="7" xr3:uid="{00000000-0010-0000-2200-000007000000}" name="Hardness, maximum" dataDxfId="384">
      <calculatedColumnFormula>VLOOKUP($G$3,Tablo12[#All],8,0)</calculatedColumnFormula>
    </tableColumn>
    <tableColumn id="8" xr3:uid="{00000000-0010-0000-2200-000008000000}" name="CVN Avarage" dataDxfId="383">
      <calculatedColumnFormula>VLOOKUP($G$3,Tablo12[#All],9,0)</calculatedColumnFormula>
    </tableColumn>
    <tableColumn id="9" xr3:uid="{00000000-0010-0000-2200-000009000000}" name="CVN Min" dataDxfId="382">
      <calculatedColumnFormula>VLOOKUP($G$3,Tablo12[#All],10,0)</calculatedColumnFormula>
    </tableColumn>
    <tableColumn id="10" xr3:uid="{00000000-0010-0000-2200-00000A000000}" name="CVN Temp C" dataDxfId="381">
      <calculatedColumnFormula>VLOOKUP($G$3,Tablo12[#All],11,0)</calculatedColumnFormula>
    </tableColumn>
  </tableColumns>
  <tableStyleInfo name="TableStyleMedium15"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23000000}" name="Tablo144627" displayName="Tablo144627" ref="A22:K23" totalsRowShown="0" headerRowDxfId="380" dataDxfId="378" headerRowBorderDxfId="379">
  <autoFilter ref="A22:K23" xr:uid="{00000000-0009-0000-0100-00001A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00000000-0010-0000-2300-000001000000}" name="Grade" dataDxfId="377">
      <calculatedColumnFormula>H3</calculatedColumnFormula>
    </tableColumn>
    <tableColumn id="2" xr3:uid="{00000000-0010-0000-2300-000002000000}" name="Yield Strength Min, psi" dataDxfId="376">
      <calculatedColumnFormula>VLOOKUP($H$3,Tablo49[],2,0)</calculatedColumnFormula>
    </tableColumn>
    <tableColumn id="3" xr3:uid="{00000000-0010-0000-2300-000003000000}" name="Yield Strength Min, N/mm²" dataDxfId="375">
      <calculatedColumnFormula>VLOOKUP($H$3,Tablo49[],3,0)</calculatedColumnFormula>
    </tableColumn>
    <tableColumn id="4" xr3:uid="{00000000-0010-0000-2300-000004000000}" name="Tensile Strength Min, psi" dataDxfId="374">
      <calculatedColumnFormula>VLOOKUP($H$3,Tablo49[],4,0)</calculatedColumnFormula>
    </tableColumn>
    <tableColumn id="5" xr3:uid="{00000000-0010-0000-2300-000005000000}" name="Tensile Strength Min, N/mm²" dataDxfId="373">
      <calculatedColumnFormula>VLOOKUP($H$3,Tablo49[],5,0)</calculatedColumnFormula>
    </tableColumn>
    <tableColumn id="6" xr3:uid="{00000000-0010-0000-2300-000006000000}" name="Elongation (%)" dataDxfId="372">
      <calculatedColumnFormula>VLOOKUP($H$3,Tablo49[],6,0)</calculatedColumnFormula>
    </tableColumn>
    <tableColumn id="7" xr3:uid="{00000000-0010-0000-2300-000007000000}" name="Reduction of Area (%)" dataDxfId="371">
      <calculatedColumnFormula>VLOOKUP($H$3,Tablo49[],7,0)</calculatedColumnFormula>
    </tableColumn>
    <tableColumn id="8" xr3:uid="{00000000-0010-0000-2300-000008000000}" name="Hardness, maximum HBW" dataDxfId="370">
      <calculatedColumnFormula>VLOOKUP($H$3,Tablo49[],8,0)</calculatedColumnFormula>
    </tableColumn>
    <tableColumn id="9" xr3:uid="{00000000-0010-0000-2300-000009000000}" name="CVN Min avg." dataDxfId="369">
      <calculatedColumnFormula>VLOOKUP($H$3,Tablo49[],9,0)</calculatedColumnFormula>
    </tableColumn>
    <tableColumn id="10" xr3:uid="{00000000-0010-0000-2300-00000A000000}" name="CVN Min " dataDxfId="368">
      <calculatedColumnFormula>VLOOKUP($H$3,Tablo49[],10,0)</calculatedColumnFormula>
    </tableColumn>
    <tableColumn id="11" xr3:uid="{00000000-0010-0000-2300-00000B000000}" name="CVN Temp. Celc." dataDxfId="367">
      <calculatedColumnFormula>VLOOKUP($H$3,Tablo49[],11,0)</calculatedColumnFormula>
    </tableColumn>
  </tableColumns>
  <tableStyleInfo name="TableStyleMedium15"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24000000}" name="Tablo17" displayName="Tablo17" ref="U33:AF34" totalsRowShown="0" headerRowDxfId="366" dataDxfId="364" headerRowBorderDxfId="365" tableBorderDxfId="363" totalsRowBorderDxfId="362">
  <autoFilter ref="U33:AF34" xr:uid="{00000000-0009-0000-0100-000011000000}"/>
  <tableColumns count="12">
    <tableColumn id="1" xr3:uid="{00000000-0010-0000-2400-000001000000}" name="Element" dataDxfId="361"/>
    <tableColumn id="2" xr3:uid="{00000000-0010-0000-2400-000002000000}" name="Carbon" dataDxfId="360"/>
    <tableColumn id="3" xr3:uid="{00000000-0010-0000-2400-000003000000}" name="Manganese" dataDxfId="359"/>
    <tableColumn id="4" xr3:uid="{00000000-0010-0000-2400-000004000000}" name="Phosphores" dataDxfId="358"/>
    <tableColumn id="5" xr3:uid="{00000000-0010-0000-2400-000005000000}" name="Sulfur" dataDxfId="357"/>
    <tableColumn id="6" xr3:uid="{00000000-0010-0000-2400-000006000000}" name="Silicon" dataDxfId="356"/>
    <tableColumn id="7" xr3:uid="{00000000-0010-0000-2400-000007000000}" name="Copper" dataDxfId="355"/>
    <tableColumn id="8" xr3:uid="{00000000-0010-0000-2400-000008000000}" name="Nickel" dataDxfId="354"/>
    <tableColumn id="9" xr3:uid="{00000000-0010-0000-2400-000009000000}" name="Chromium" dataDxfId="353"/>
    <tableColumn id="10" xr3:uid="{00000000-0010-0000-2400-00000A000000}" name="Molybdenum" dataDxfId="352"/>
    <tableColumn id="11" xr3:uid="{00000000-0010-0000-2400-00000B000000}" name="Vanadium" dataDxfId="351"/>
    <tableColumn id="12" xr3:uid="{00000000-0010-0000-2400-00000C000000}" name="Columbium" dataDxfId="350"/>
  </tableColumns>
  <tableStyleInfo name="TableStyleLight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25000000}" name="Tablo18" displayName="Tablo18" ref="BE23:BQ30" totalsRowShown="0" headerRowDxfId="349" dataDxfId="347" headerRowBorderDxfId="348" tableBorderDxfId="346" totalsRowBorderDxfId="345">
  <autoFilter ref="BE23:BQ30" xr:uid="{00000000-0009-0000-0100-000012000000}"/>
  <tableColumns count="13">
    <tableColumn id="1" xr3:uid="{00000000-0010-0000-2500-000001000000}" name="Sütun1" dataDxfId="344"/>
    <tableColumn id="2" xr3:uid="{00000000-0010-0000-2500-000002000000}" name="Carbon" dataDxfId="343"/>
    <tableColumn id="3" xr3:uid="{00000000-0010-0000-2500-000003000000}" name="Manganese" dataDxfId="342"/>
    <tableColumn id="4" xr3:uid="{00000000-0010-0000-2500-000004000000}" name="Phosphorus" dataDxfId="341"/>
    <tableColumn id="5" xr3:uid="{00000000-0010-0000-2500-000005000000}" name="Sulfur" dataDxfId="340"/>
    <tableColumn id="6" xr3:uid="{00000000-0010-0000-2500-000006000000}" name="Silicon" dataDxfId="339"/>
    <tableColumn id="7" xr3:uid="{00000000-0010-0000-2500-000007000000}" name="Nickel" dataDxfId="338"/>
    <tableColumn id="8" xr3:uid="{00000000-0010-0000-2500-000008000000}" name="Chromium" dataDxfId="337"/>
    <tableColumn id="9" xr3:uid="{00000000-0010-0000-2500-000009000000}" name="Molybdenum" dataDxfId="336"/>
    <tableColumn id="10" xr3:uid="{00000000-0010-0000-2500-00000A000000}" name="Copper" dataDxfId="335"/>
    <tableColumn id="11" xr3:uid="{00000000-0010-0000-2500-00000B000000}" name="Columbium" dataDxfId="334"/>
    <tableColumn id="12" xr3:uid="{00000000-0010-0000-2500-00000C000000}" name="Vanadium" dataDxfId="333"/>
    <tableColumn id="13" xr3:uid="{00000000-0010-0000-2500-00000D000000}" name="Nitrogen" dataDxfId="332"/>
  </tableColumns>
  <tableStyleInfo name="TableStyleLight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26000000}" name="Tablo19" displayName="Tablo19" ref="BF74:BH84" totalsRowShown="0" headerRowDxfId="331" headerRowBorderDxfId="330" tableBorderDxfId="329" totalsRowBorderDxfId="328">
  <autoFilter ref="BF74:BH84" xr:uid="{00000000-0009-0000-0100-000013000000}"/>
  <tableColumns count="3">
    <tableColumn id="1" xr3:uid="{00000000-0010-0000-2600-000001000000}" name="Grade" dataDxfId="327"/>
    <tableColumn id="2" xr3:uid="{00000000-0010-0000-2600-000002000000}" name="Test Temperature F" dataDxfId="326"/>
    <tableColumn id="3" xr3:uid="{00000000-0010-0000-2600-000003000000}" name="Test Temperature C" dataDxfId="325"/>
  </tableColumns>
  <tableStyleInfo name="TableStyleLight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27000000}" name="Tablo20" displayName="Tablo20" ref="BJ74:BN83" totalsRowShown="0" headerRowDxfId="324" dataDxfId="322" headerRowBorderDxfId="323" tableBorderDxfId="321" totalsRowBorderDxfId="320">
  <autoFilter ref="BJ74:BN83" xr:uid="{00000000-0009-0000-0100-000014000000}"/>
  <tableColumns count="5">
    <tableColumn id="1" xr3:uid="{00000000-0010-0000-2700-000001000000}" name="Grade" dataDxfId="319"/>
    <tableColumn id="2" xr3:uid="{00000000-0010-0000-2700-000002000000}" name="Minimum İmpact Energy Required for Average of Each Set of Three Specimensft.lb" dataDxfId="318"/>
    <tableColumn id="3" xr3:uid="{00000000-0010-0000-2700-000003000000}" name="Minimum İmpact Energy Required for Average of Each Set of Three SpecimensJ" dataDxfId="317"/>
    <tableColumn id="4" xr3:uid="{00000000-0010-0000-2700-000004000000}" name="Minimum İmpact Energy Permited for One Specimen only of a Set ft.lb" dataDxfId="316"/>
    <tableColumn id="5" xr3:uid="{00000000-0010-0000-2700-000005000000}" name="Minimum İmpact Energy Permited for One Specimen only of a Set J" dataDxfId="315"/>
  </tableColumns>
  <tableStyleInfo name="TableStyleLight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28000000}" name="Tablo21" displayName="Tablo21" ref="BJ85:BN97" totalsRowShown="0" headerRowBorderDxfId="314" tableBorderDxfId="313" totalsRowBorderDxfId="312">
  <autoFilter ref="BJ85:BN97" xr:uid="{00000000-0009-0000-0100-000015000000}"/>
  <tableColumns count="5">
    <tableColumn id="1" xr3:uid="{00000000-0010-0000-2800-000001000000}" name="Size of Bar" dataDxfId="311"/>
    <tableColumn id="2" xr3:uid="{00000000-0010-0000-2800-000002000000}" name="Thickness of the Material (in)" dataDxfId="310"/>
    <tableColumn id="3" xr3:uid="{00000000-0010-0000-2800-000003000000}" name="Thickness of the Material (mm)" dataDxfId="309"/>
    <tableColumn id="4" xr3:uid="{00000000-0010-0000-2800-000004000000}" name="Temperature Reduction (F)" dataDxfId="308"/>
    <tableColumn id="5" xr3:uid="{00000000-0010-0000-2800-000005000000}" name="Temperature Reduction (C)" dataDxfId="307"/>
  </tableColumns>
  <tableStyleInfo name="TableStyleLight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29000000}" name="Tablo23" displayName="Tablo23" ref="BJ99:BL104" totalsRowShown="0" tableBorderDxfId="306">
  <autoFilter ref="BJ99:BL104" xr:uid="{00000000-0009-0000-0100-000017000000}"/>
  <tableColumns count="3">
    <tableColumn id="1" xr3:uid="{00000000-0010-0000-2900-000001000000}" name="Grade" dataDxfId="305"/>
    <tableColumn id="2" xr3:uid="{00000000-0010-0000-2900-000002000000}" name="Max Thickness Less Than or Equal to 2 in" dataDxfId="304"/>
    <tableColumn id="4" xr3:uid="{00000000-0010-0000-2900-000004000000}" name="Max Thickness Greater Than 2 in" dataDxfId="303"/>
  </tableColumns>
  <tableStyleInfo name="TableStyleLight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2A000000}" name="Tablo24" displayName="Tablo24" ref="BF87:BG91" totalsRowShown="0" headerRowDxfId="302" headerRowBorderDxfId="301" tableBorderDxfId="300" totalsRowBorderDxfId="299">
  <autoFilter ref="BF87:BG91" xr:uid="{00000000-0009-0000-0100-000018000000}"/>
  <tableColumns count="2">
    <tableColumn id="1" xr3:uid="{00000000-0010-0000-2A00-000001000000}" name="Standard Size (ft.lbf)" dataDxfId="298"/>
    <tableColumn id="2" xr3:uid="{00000000-0010-0000-2A00-000002000000}" name="Standard Size (J)" dataDxfId="297"/>
  </tableColumns>
  <tableStyleInfo name="TableStyleLight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2B000000}" name="Tablo25" displayName="Tablo25" ref="BF94:BH102" totalsRowShown="0" headerRowBorderDxfId="296" tableBorderDxfId="295" totalsRowBorderDxfId="294">
  <autoFilter ref="BF94:BH102" xr:uid="{00000000-0009-0000-0100-000019000000}"/>
  <tableColumns count="3">
    <tableColumn id="1" xr3:uid="{00000000-0010-0000-2B00-000001000000}" name="Grade" dataDxfId="293"/>
    <tableColumn id="2" xr3:uid="{00000000-0010-0000-2B00-000002000000}" name="Max Test Temperature (F)" dataDxfId="292"/>
    <tableColumn id="3" xr3:uid="{00000000-0010-0000-2B00-000003000000}" name="Max Test Temperature ©" dataDxfId="291"/>
  </tableColumns>
  <tableStyleInfo name="TableStyleLight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C000000}" name="Tablo31" displayName="Tablo31" ref="S65:Z137" totalsRowShown="0" headerRowDxfId="290" dataDxfId="288" headerRowBorderDxfId="289" tableBorderDxfId="287" totalsRowBorderDxfId="286">
  <autoFilter ref="S65:Z137" xr:uid="{00000000-0009-0000-0100-00001F000000}"/>
  <tableColumns count="8">
    <tableColumn id="1" xr3:uid="{00000000-0010-0000-2C00-000001000000}" name="Grade Symbol" dataDxfId="285"/>
    <tableColumn id="4" xr3:uid="{00000000-0010-0000-2C00-000004000000}" name="Yield (ksi)" dataDxfId="284"/>
    <tableColumn id="5" xr3:uid="{00000000-0010-0000-2C00-000005000000}" name="Yield (Mpa)" dataDxfId="283"/>
    <tableColumn id="2" xr3:uid="{00000000-0010-0000-2C00-000002000000}" name="Tensile (ksi)" dataDxfId="282"/>
    <tableColumn id="3" xr3:uid="{00000000-0010-0000-2C00-000003000000}" name="Tensile (Mpa)" dataDxfId="281"/>
    <tableColumn id="6" xr3:uid="{00000000-0010-0000-2C00-000006000000}" name="Elongation" dataDxfId="280"/>
    <tableColumn id="7" xr3:uid="{00000000-0010-0000-2C00-000007000000}" name="Reduction of Area min %" dataDxfId="279"/>
    <tableColumn id="8" xr3:uid="{00000000-0010-0000-2C00-000008000000}" name="Brinell Hardness" dataDxfId="278"/>
  </tableColumns>
  <tableStyleInfo name="TableStyleLight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2D000000}" name="Tablo32" displayName="Tablo32" ref="B22:G31" totalsRowShown="0" headerRowBorderDxfId="277" tableBorderDxfId="276" totalsRowBorderDxfId="275">
  <autoFilter ref="B22:G31" xr:uid="{00000000-0009-0000-0100-000020000000}"/>
  <tableColumns count="6">
    <tableColumn id="1" xr3:uid="{00000000-0010-0000-2D00-000001000000}" name="Grade" dataDxfId="274"/>
    <tableColumn id="2" xr3:uid="{00000000-0010-0000-2D00-000002000000}" name="Yield Strength (0.2% offset),min, psi " dataDxfId="273"/>
    <tableColumn id="3" xr3:uid="{00000000-0010-0000-2D00-000003000000}" name="Yield Strength (0.2% offset),min Mpa" dataDxfId="272"/>
    <tableColumn id="4" xr3:uid="{00000000-0010-0000-2D00-000004000000}" name="Tensile Strength, min, psi " dataDxfId="271"/>
    <tableColumn id="5" xr3:uid="{00000000-0010-0000-2D00-000005000000}" name="Tensile Strength, min MPa" dataDxfId="270"/>
    <tableColumn id="6" xr3:uid="{00000000-0010-0000-2D00-000006000000}" name="Elongation in 2 in, or 50 mm, min %" dataDxfId="269"/>
  </tableColumns>
  <tableStyleInfo name="TableStyleMedium8"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E000000}" name="Tablo33" displayName="Tablo33" ref="F17:L19" totalsRowShown="0" headerRowDxfId="268" dataDxfId="266" headerRowBorderDxfId="267" tableBorderDxfId="265" totalsRowBorderDxfId="264">
  <autoFilter ref="F17:L19" xr:uid="{00000000-0009-0000-0100-000021000000}"/>
  <tableColumns count="7">
    <tableColumn id="1" xr3:uid="{00000000-0010-0000-2E00-000001000000}" name="Composition, %" dataDxfId="263"/>
    <tableColumn id="2" xr3:uid="{00000000-0010-0000-2E00-000002000000}" name="Carbon" dataDxfId="262"/>
    <tableColumn id="3" xr3:uid="{00000000-0010-0000-2E00-000003000000}" name="Manganese" dataDxfId="261"/>
    <tableColumn id="4" xr3:uid="{00000000-0010-0000-2E00-000004000000}" name="Phosphorus" dataDxfId="260"/>
    <tableColumn id="5" xr3:uid="{00000000-0010-0000-2E00-000005000000}" name="Sulfur" dataDxfId="259"/>
    <tableColumn id="6" xr3:uid="{00000000-0010-0000-2E00-000006000000}" name="Silicon" dataDxfId="258"/>
    <tableColumn id="7" xr3:uid="{00000000-0010-0000-2E00-000007000000}" name="Phosphorus2" dataDxfId="257"/>
  </tableColumns>
  <tableStyleInfo name="TableStyleLight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F000000}" name="Tablo36" displayName="Tablo36" ref="BE38:BJ58" totalsRowShown="0" headerRowDxfId="256" dataDxfId="254" headerRowBorderDxfId="255" tableBorderDxfId="253" totalsRowBorderDxfId="252">
  <autoFilter ref="BE38:BJ58" xr:uid="{00000000-0009-0000-0100-000024000000}"/>
  <tableColumns count="6">
    <tableColumn id="1" xr3:uid="{00000000-0010-0000-2F00-000001000000}" name="Elemet" dataDxfId="251"/>
    <tableColumn id="2" xr3:uid="{00000000-0010-0000-2F00-000002000000}" name="Limit or Max of Specified Range" dataDxfId="250"/>
    <tableColumn id="3" xr3:uid="{00000000-0010-0000-2F00-000003000000}" name="to 100 in^2 (645 cm^2)" dataDxfId="249"/>
    <tableColumn id="4" xr3:uid="{00000000-0010-0000-2F00-000004000000}" name="100-200 in^2 ( 645-1290 m^2)" dataDxfId="248"/>
    <tableColumn id="5" xr3:uid="{00000000-0010-0000-2F00-000005000000}" name="200-400 in^2 (1290-2580^2)" dataDxfId="247"/>
    <tableColumn id="6" xr3:uid="{00000000-0010-0000-2F00-000006000000}" name="400-800 in^2 (2580-510 cm^2)" dataDxfId="246"/>
  </tableColumns>
  <tableStyleInfo name="TableStyleLight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30000000}" name="Tablo11" displayName="Tablo11" ref="B15:O58" totalsRowShown="0" headerRowDxfId="245" dataDxfId="243" headerRowBorderDxfId="244" tableBorderDxfId="242" totalsRowBorderDxfId="241">
  <autoFilter ref="B15:O58" xr:uid="{00000000-0009-0000-0100-00000B000000}"/>
  <tableColumns count="14">
    <tableColumn id="1" xr3:uid="{00000000-0010-0000-3000-000001000000}" name="CHEMICAL COMPOSITION ASTM A105, A350, A694, A182" dataDxfId="240"/>
    <tableColumn id="2" xr3:uid="{00000000-0010-0000-3000-000002000000}" name="C%" dataDxfId="239"/>
    <tableColumn id="3" xr3:uid="{00000000-0010-0000-3000-000003000000}" name="Mn%" dataDxfId="238"/>
    <tableColumn id="4" xr3:uid="{00000000-0010-0000-3000-000004000000}" name="Si%" dataDxfId="237"/>
    <tableColumn id="5" xr3:uid="{00000000-0010-0000-3000-000005000000}" name="S%" dataDxfId="236"/>
    <tableColumn id="6" xr3:uid="{00000000-0010-0000-3000-000006000000}" name="P%" dataDxfId="235"/>
    <tableColumn id="7" xr3:uid="{00000000-0010-0000-3000-000007000000}" name="Cr%" dataDxfId="234"/>
    <tableColumn id="8" xr3:uid="{00000000-0010-0000-3000-000008000000}" name="Ni%" dataDxfId="233"/>
    <tableColumn id="10" xr3:uid="{00000000-0010-0000-3000-00000A000000}" name="Mo%" dataDxfId="232"/>
    <tableColumn id="11" xr3:uid="{00000000-0010-0000-3000-00000B000000}" name="V%" dataDxfId="231"/>
    <tableColumn id="12" xr3:uid="{00000000-0010-0000-3000-00000C000000}" name="Cu%" dataDxfId="230"/>
    <tableColumn id="13" xr3:uid="{00000000-0010-0000-3000-00000D000000}" name="Nb%" dataDxfId="229"/>
    <tableColumn id="14" xr3:uid="{00000000-0010-0000-3000-00000E000000}" name="N%" dataDxfId="228"/>
    <tableColumn id="15" xr3:uid="{00000000-0010-0000-3000-00000F000000}" name="Other" dataDxfId="227"/>
  </tableColumns>
  <tableStyleInfo name="TableStyleLight1" showFirstColumn="1"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31000000}" name="Tablo12" displayName="Tablo12" ref="Q15:AA110" totalsRowShown="0" headerRowDxfId="226" headerRowBorderDxfId="225" tableBorderDxfId="224">
  <autoFilter ref="Q15:AA110" xr:uid="{00000000-0009-0000-0100-00000C000000}"/>
  <tableColumns count="11">
    <tableColumn id="1" xr3:uid="{00000000-0010-0000-3100-000001000000}" name="MECHANICAL PROPERTIES A105, A350, A694, A182" dataDxfId="223"/>
    <tableColumn id="2" xr3:uid="{00000000-0010-0000-3100-000002000000}" name="Yield Strength Min, psi" dataDxfId="222"/>
    <tableColumn id="3" xr3:uid="{00000000-0010-0000-3100-000003000000}" name="Yield Strength Min, N/mm²" dataDxfId="221"/>
    <tableColumn id="4" xr3:uid="{00000000-0010-0000-3100-000004000000}" name="Tensile Strength Min, psi" dataDxfId="220"/>
    <tableColumn id="5" xr3:uid="{00000000-0010-0000-3100-000005000000}" name="Tensile Strength Min, N/mm²" dataDxfId="219"/>
    <tableColumn id="6" xr3:uid="{00000000-0010-0000-3100-000006000000}" name="Elongation (%)" dataDxfId="218"/>
    <tableColumn id="7" xr3:uid="{00000000-0010-0000-3100-000007000000}" name="Reduction of Area (%)" dataDxfId="217"/>
    <tableColumn id="8" xr3:uid="{00000000-0010-0000-3100-000008000000}" name="Hardness, maximum" dataDxfId="216"/>
    <tableColumn id="9" xr3:uid="{00000000-0010-0000-3100-000009000000}" name="CVN Avarage" dataDxfId="215"/>
    <tableColumn id="11" xr3:uid="{00000000-0010-0000-3100-00000B000000}" name="CVN Min" dataDxfId="214"/>
    <tableColumn id="10" xr3:uid="{00000000-0010-0000-3100-00000A000000}" name="CVN Temp C" dataDxfId="213"/>
  </tableColumns>
  <tableStyleInfo name="TableStyleLight1" showFirstColumn="1"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32000000}" name="Tablo4" displayName="Tablo4" ref="B130:M153" totalsRowShown="0" headerRowDxfId="212" headerRowBorderDxfId="211" tableBorderDxfId="210">
  <autoFilter ref="B130:M153"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0000000-0010-0000-3200-000001000000}" name="ASTM A182 GRADE"/>
    <tableColumn id="2" xr3:uid="{00000000-0010-0000-3200-000002000000}" name="C"/>
    <tableColumn id="3" xr3:uid="{00000000-0010-0000-3200-000003000000}" name="Mn"/>
    <tableColumn id="4" xr3:uid="{00000000-0010-0000-3200-000004000000}" name="P"/>
    <tableColumn id="5" xr3:uid="{00000000-0010-0000-3200-000005000000}" name="S"/>
    <tableColumn id="6" xr3:uid="{00000000-0010-0000-3200-000006000000}" name="Si"/>
    <tableColumn id="7" xr3:uid="{00000000-0010-0000-3200-000007000000}" name="Ni"/>
    <tableColumn id="8" xr3:uid="{00000000-0010-0000-3200-000008000000}" name="Cr"/>
    <tableColumn id="9" xr3:uid="{00000000-0010-0000-3200-000009000000}" name="Mo"/>
    <tableColumn id="10" xr3:uid="{00000000-0010-0000-3200-00000A000000}" name="Nb"/>
    <tableColumn id="11" xr3:uid="{00000000-0010-0000-3200-00000B000000}" name="Ti"/>
    <tableColumn id="12" xr3:uid="{00000000-0010-0000-3200-00000C000000}" name="Others"/>
  </tableColumns>
  <tableStyleInfo name="TableStyleMedium2" showFirstColumn="1"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33000000}" name="Tablo16" displayName="Tablo16" ref="B164:H169" totalsRowShown="0">
  <autoFilter ref="B164:H169" xr:uid="{00000000-0009-0000-0100-000010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3300-000001000000}" name="ASTM A182 Grade"/>
    <tableColumn id="2" xr3:uid="{00000000-0010-0000-3300-000002000000}" name="Minimum Tensile Strength in MPa" dataDxfId="209"/>
    <tableColumn id="3" xr3:uid="{00000000-0010-0000-3300-000003000000}" name="Minimum Yield point in Mpa" dataDxfId="208"/>
    <tableColumn id="4" xr3:uid="{00000000-0010-0000-3300-000004000000}" name="Minimum Elongation in %" dataDxfId="207"/>
    <tableColumn id="5" xr3:uid="{00000000-0010-0000-3300-000005000000}" name="Minimum Reduction of in min, %" dataDxfId="206"/>
    <tableColumn id="6" xr3:uid="{00000000-0010-0000-3300-000006000000}" name="MATERIAL GROUP"/>
    <tableColumn id="7" xr3:uid="{00000000-0010-0000-3300-000007000000}" name="RECOMMENDED SERVICE"/>
  </tableColumns>
  <tableStyleInfo name="TableStyleLight1" showFirstColumn="1"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34000000}" name="Tablo27" displayName="Tablo27" ref="A30:N31" totalsRowShown="0" headerRowDxfId="205" dataDxfId="203" headerRowBorderDxfId="204" tableBorderDxfId="202">
  <autoFilter ref="A30:N31" xr:uid="{00000000-0009-0000-0100-00001B000000}"/>
  <tableColumns count="14">
    <tableColumn id="1" xr3:uid="{00000000-0010-0000-3400-000001000000}" name="Carbon" dataDxfId="201"/>
    <tableColumn id="2" xr3:uid="{00000000-0010-0000-3400-000002000000}" name="Manganese" dataDxfId="200"/>
    <tableColumn id="5" xr3:uid="{00000000-0010-0000-3400-000005000000}" name="Silicon" dataDxfId="199"/>
    <tableColumn id="4" xr3:uid="{00000000-0010-0000-3400-000004000000}" name="Sulfur" dataDxfId="198"/>
    <tableColumn id="3" xr3:uid="{00000000-0010-0000-3400-000003000000}" name="Phosphorus" dataDxfId="197"/>
    <tableColumn id="7" xr3:uid="{00000000-0010-0000-3400-000007000000}" name="Chromium" dataDxfId="196"/>
    <tableColumn id="6" xr3:uid="{00000000-0010-0000-3400-000006000000}" name="Nickel" dataDxfId="195"/>
    <tableColumn id="8" xr3:uid="{00000000-0010-0000-3400-000008000000}" name="Molybdenum" dataDxfId="194"/>
    <tableColumn id="11" xr3:uid="{00000000-0010-0000-3400-00000B000000}" name="Vanadium" dataDxfId="193"/>
    <tableColumn id="9" xr3:uid="{00000000-0010-0000-3400-000009000000}" name="Copper" dataDxfId="192"/>
    <tableColumn id="10" xr3:uid="{00000000-0010-0000-3400-00000A000000}" name="Titanium" dataDxfId="191"/>
    <tableColumn id="12" xr3:uid="{00000000-0010-0000-3400-00000C000000}" name="Columbium" dataDxfId="190"/>
    <tableColumn id="13" xr3:uid="{00000000-0010-0000-3400-00000D000000}" name="Vanadium plus Columnium" dataDxfId="189"/>
    <tableColumn id="14" xr3:uid="{00000000-0010-0000-3400-00000E000000}" name="Aluminum" dataDxfId="188"/>
  </tableColumns>
  <tableStyleInfo name="TableStyleLight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35000000}" name="Tablo28" displayName="Tablo28" ref="A21:I27" totalsRowShown="0" headerRowDxfId="187" dataDxfId="185" headerRowBorderDxfId="186" tableBorderDxfId="184" totalsRowBorderDxfId="183">
  <autoFilter ref="A21:I27" xr:uid="{00000000-0009-0000-0100-00001C000000}"/>
  <tableColumns count="9">
    <tableColumn id="1" xr3:uid="{00000000-0010-0000-3500-000001000000}" name="Grade" dataDxfId="182"/>
    <tableColumn id="2" xr3:uid="{00000000-0010-0000-3500-000002000000}" name="Yield Strength, min. (psi)" dataDxfId="181"/>
    <tableColumn id="3" xr3:uid="{00000000-0010-0000-3500-000003000000}" name="Yield Strength, min. (Mpa)" dataDxfId="180"/>
    <tableColumn id="4" xr3:uid="{00000000-0010-0000-3500-000004000000}" name="Tensile Strength (ksi)" dataDxfId="179"/>
    <tableColumn id="5" xr3:uid="{00000000-0010-0000-3500-000005000000}" name="Tensile Strength (Mpa)" dataDxfId="178"/>
    <tableColumn id="6" xr3:uid="{00000000-0010-0000-3500-000006000000}" name="Elongation, min. %" dataDxfId="177"/>
    <tableColumn id="7" xr3:uid="{00000000-0010-0000-3500-000007000000}" name="Cv, avg./min. (ft*lbs)" dataDxfId="176"/>
    <tableColumn id="8" xr3:uid="{00000000-0010-0000-3500-000008000000}" name="Cv, avg./min. (J)" dataDxfId="175"/>
    <tableColumn id="9" xr3:uid="{00000000-0010-0000-3500-000009000000}" name="Cv Temp ©" dataDxfId="174"/>
  </tableColumns>
  <tableStyleInfo name="TableStyleLight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36000000}" name="Tablo29" displayName="Tablo29" ref="S3:U19" totalsRowShown="0" headerRowBorderDxfId="173" tableBorderDxfId="172" totalsRowBorderDxfId="171">
  <autoFilter ref="S3:U19" xr:uid="{00000000-0009-0000-0100-00001D000000}"/>
  <tableColumns count="3">
    <tableColumn id="1" xr3:uid="{00000000-0010-0000-3600-000001000000}" name="ASTM A 234 Grade" dataDxfId="170"/>
    <tableColumn id="2" xr3:uid="{00000000-0010-0000-3600-000002000000}" name="Yield Strength, min. (psi)" dataDxfId="169"/>
    <tableColumn id="3" xr3:uid="{00000000-0010-0000-3600-000003000000}" name="Yield Strength, min. (Mpa)" dataDxfId="168">
      <calculatedColumnFormula>T4/145.0377</calculatedColumnFormula>
    </tableColumn>
  </tableColumns>
  <tableStyleInfo name="TableStyleLight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7000000}" name="Wrought_Fit_Chem._Comp" displayName="Wrought_Fit_Chem._Comp" ref="A37:N59" totalsRowShown="0" headerRowDxfId="167" dataDxfId="165" headerRowBorderDxfId="166">
  <autoFilter ref="A37:N59" xr:uid="{00000000-0009-0000-0100-000034000000}"/>
  <tableColumns count="14">
    <tableColumn id="1" xr3:uid="{00000000-0010-0000-3700-000001000000}" name="CHEMICAL COMPOSITION ASTM A234-A860"/>
    <tableColumn id="2" xr3:uid="{00000000-0010-0000-3700-000002000000}" name="C%" dataDxfId="164"/>
    <tableColumn id="3" xr3:uid="{00000000-0010-0000-3700-000003000000}" name="Mn%" dataDxfId="163"/>
    <tableColumn id="4" xr3:uid="{00000000-0010-0000-3700-000004000000}" name="Si%" dataDxfId="162"/>
    <tableColumn id="5" xr3:uid="{00000000-0010-0000-3700-000005000000}" name="S%" dataDxfId="161"/>
    <tableColumn id="6" xr3:uid="{00000000-0010-0000-3700-000006000000}" name="P%" dataDxfId="160"/>
    <tableColumn id="7" xr3:uid="{00000000-0010-0000-3700-000007000000}" name="Cr%" dataDxfId="159"/>
    <tableColumn id="8" xr3:uid="{00000000-0010-0000-3700-000008000000}" name="Ni%" dataDxfId="158"/>
    <tableColumn id="9" xr3:uid="{00000000-0010-0000-3700-000009000000}" name="Mo%" dataDxfId="157"/>
    <tableColumn id="10" xr3:uid="{00000000-0010-0000-3700-00000A000000}" name="V%" dataDxfId="156"/>
    <tableColumn id="11" xr3:uid="{00000000-0010-0000-3700-00000B000000}" name="Cu%" dataDxfId="155"/>
    <tableColumn id="12" xr3:uid="{00000000-0010-0000-3700-00000C000000}" name="Columbium %" dataDxfId="154"/>
    <tableColumn id="13" xr3:uid="{00000000-0010-0000-3700-00000D000000}" name="Al %" dataDxfId="153"/>
    <tableColumn id="14" xr3:uid="{00000000-0010-0000-3700-00000E000000}" name="Other" dataDxfId="152"/>
  </tableColumns>
  <tableStyleInfo name="TableStyleMedium15"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8000000}" name="Wrought_Fit_Mech._Prop." displayName="Wrought_Fit_Mech._Prop." ref="P37:Z59" totalsRowShown="0" headerRowDxfId="151" dataDxfId="150">
  <autoFilter ref="P37:Z59" xr:uid="{00000000-0009-0000-0100-000035000000}"/>
  <tableColumns count="11">
    <tableColumn id="1" xr3:uid="{00000000-0010-0000-3800-000001000000}" name="MECHANICAL PROPERTIES ASTM A234-A860" dataDxfId="149"/>
    <tableColumn id="2" xr3:uid="{00000000-0010-0000-3800-000002000000}" name="Yield Strength Min, psi" dataDxfId="148"/>
    <tableColumn id="3" xr3:uid="{00000000-0010-0000-3800-000003000000}" name="Yield Strength Min, N/mm²" dataDxfId="147"/>
    <tableColumn id="4" xr3:uid="{00000000-0010-0000-3800-000004000000}" name="Tensile Strength Min, psi" dataDxfId="146"/>
    <tableColumn id="5" xr3:uid="{00000000-0010-0000-3800-000005000000}" name="Tensile Strength Min, N/mm²" dataDxfId="145"/>
    <tableColumn id="6" xr3:uid="{00000000-0010-0000-3800-000006000000}" name="Elongation (%)" dataDxfId="144"/>
    <tableColumn id="7" xr3:uid="{00000000-0010-0000-3800-000007000000}" name="Reduction of Area (%)" dataDxfId="143"/>
    <tableColumn id="8" xr3:uid="{00000000-0010-0000-3800-000008000000}" name="Hardness, maximum HBW" dataDxfId="142"/>
    <tableColumn id="9" xr3:uid="{00000000-0010-0000-3800-000009000000}" name="CVN Avarage" dataDxfId="141"/>
    <tableColumn id="10" xr3:uid="{00000000-0010-0000-3800-00000A000000}" name="CVN Min" dataDxfId="140"/>
    <tableColumn id="11" xr3:uid="{00000000-0010-0000-3800-00000B000000}" name="CVN Temp C" dataDxfId="139"/>
  </tableColumns>
  <tableStyleInfo name="TableStyleMedium15"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39000000}" name="Tablo30" displayName="Tablo30" ref="P5:R15" totalsRowShown="0" headerRowBorderDxfId="138" tableBorderDxfId="137" totalsRowBorderDxfId="136">
  <autoFilter ref="P5:R15" xr:uid="{00000000-0009-0000-0100-00001E000000}"/>
  <tableColumns count="3">
    <tableColumn id="1" xr3:uid="{00000000-0010-0000-3900-000001000000}" name="ASTM A352 Grade" dataDxfId="135"/>
    <tableColumn id="2" xr3:uid="{00000000-0010-0000-3900-000002000000}" name="psi" dataDxfId="134"/>
    <tableColumn id="3" xr3:uid="{00000000-0010-0000-3900-000003000000}" name="Mpa" dataDxfId="133">
      <calculatedColumnFormula>Q6/145.0377</calculatedColumnFormula>
    </tableColumn>
  </tableColumns>
  <tableStyleInfo name="TableStyleLight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3A000000}" name="Tablo3" displayName="Tablo3" ref="D2:AK45" headerRowCount="0" totalsRowShown="0" headerRowDxfId="132" dataDxfId="130" headerRowBorderDxfId="131" tableBorderDxfId="129" totalsRowBorderDxfId="128">
  <tableColumns count="34">
    <tableColumn id="1" xr3:uid="{00000000-0010-0000-3A00-000001000000}" name="Sütun1" headerRowDxfId="127" dataDxfId="126" dataCellStyle="Normal"/>
    <tableColumn id="2" xr3:uid="{00000000-0010-0000-3A00-000002000000}" name="Sütun2" headerRowDxfId="125" dataDxfId="124" dataCellStyle="Normal"/>
    <tableColumn id="3" xr3:uid="{00000000-0010-0000-3A00-000003000000}" name="Sütun3" headerRowDxfId="123" dataDxfId="122" dataCellStyle="Normal"/>
    <tableColumn id="4" xr3:uid="{00000000-0010-0000-3A00-000004000000}" name="Sütun4" headerRowDxfId="121" dataDxfId="120" dataCellStyle="Normal"/>
    <tableColumn id="5" xr3:uid="{00000000-0010-0000-3A00-000005000000}" name="Sütun5" headerRowDxfId="119" dataDxfId="118" dataCellStyle="Normal"/>
    <tableColumn id="6" xr3:uid="{00000000-0010-0000-3A00-000006000000}" name="Sütun6" headerRowDxfId="117" dataDxfId="116" dataCellStyle="Normal"/>
    <tableColumn id="7" xr3:uid="{00000000-0010-0000-3A00-000007000000}" name="Sütun7" headerRowDxfId="115" dataDxfId="114" dataCellStyle="Normal"/>
    <tableColumn id="8" xr3:uid="{00000000-0010-0000-3A00-000008000000}" name="Sütun8" headerRowDxfId="113" dataDxfId="112" dataCellStyle="Normal"/>
    <tableColumn id="9" xr3:uid="{00000000-0010-0000-3A00-000009000000}" name="Sütun9" headerRowDxfId="111" dataDxfId="110" dataCellStyle="Normal"/>
    <tableColumn id="10" xr3:uid="{00000000-0010-0000-3A00-00000A000000}" name="Sütun10" headerRowDxfId="109" dataDxfId="108" dataCellStyle="Normal"/>
    <tableColumn id="11" xr3:uid="{00000000-0010-0000-3A00-00000B000000}" name="Sütun11" headerRowDxfId="107" dataDxfId="106" dataCellStyle="Normal"/>
    <tableColumn id="12" xr3:uid="{00000000-0010-0000-3A00-00000C000000}" name="Sütun12" headerRowDxfId="105" dataDxfId="104" dataCellStyle="Normal"/>
    <tableColumn id="13" xr3:uid="{00000000-0010-0000-3A00-00000D000000}" name="Sütun13" headerRowDxfId="103" dataDxfId="102" dataCellStyle="Normal"/>
    <tableColumn id="14" xr3:uid="{00000000-0010-0000-3A00-00000E000000}" name="Sütun14" headerRowDxfId="101" dataDxfId="100" dataCellStyle="Normal"/>
    <tableColumn id="15" xr3:uid="{00000000-0010-0000-3A00-00000F000000}" name="Sütun15" headerRowDxfId="99" dataDxfId="98" dataCellStyle="Normal"/>
    <tableColumn id="16" xr3:uid="{00000000-0010-0000-3A00-000010000000}" name="Sütun16" headerRowDxfId="97" dataDxfId="96" dataCellStyle="Normal"/>
    <tableColumn id="17" xr3:uid="{00000000-0010-0000-3A00-000011000000}" name="Sütun17" headerRowDxfId="95" dataDxfId="94" dataCellStyle="Normal"/>
    <tableColumn id="18" xr3:uid="{00000000-0010-0000-3A00-000012000000}" name="Sütun18" headerRowDxfId="93" dataDxfId="92" dataCellStyle="Normal"/>
    <tableColumn id="19" xr3:uid="{00000000-0010-0000-3A00-000013000000}" name="Sütun19" headerRowDxfId="91" dataDxfId="90" dataCellStyle="Normal"/>
    <tableColumn id="20" xr3:uid="{00000000-0010-0000-3A00-000014000000}" name="Sütun20" headerRowDxfId="89" dataDxfId="88" dataCellStyle="Normal"/>
    <tableColumn id="21" xr3:uid="{00000000-0010-0000-3A00-000015000000}" name="Sütun21" headerRowDxfId="87" dataDxfId="86" dataCellStyle="Normal"/>
    <tableColumn id="22" xr3:uid="{00000000-0010-0000-3A00-000016000000}" name="Sütun22" headerRowDxfId="85" dataDxfId="84" dataCellStyle="Normal"/>
    <tableColumn id="23" xr3:uid="{00000000-0010-0000-3A00-000017000000}" name="Sütun23" headerRowDxfId="83" dataDxfId="82" dataCellStyle="Normal"/>
    <tableColumn id="24" xr3:uid="{00000000-0010-0000-3A00-000018000000}" name="Sütun24" headerRowDxfId="81" dataDxfId="80" dataCellStyle="Normal"/>
    <tableColumn id="25" xr3:uid="{00000000-0010-0000-3A00-000019000000}" name="Sütun25" headerRowDxfId="79" dataDxfId="78" dataCellStyle="Normal"/>
    <tableColumn id="26" xr3:uid="{00000000-0010-0000-3A00-00001A000000}" name="Sütun26" headerRowDxfId="77" dataDxfId="76" dataCellStyle="Normal"/>
    <tableColumn id="27" xr3:uid="{00000000-0010-0000-3A00-00001B000000}" name="Sütun27" headerRowDxfId="75" dataDxfId="74" dataCellStyle="Normal"/>
    <tableColumn id="28" xr3:uid="{00000000-0010-0000-3A00-00001C000000}" name="Sütun28" headerRowDxfId="73" dataDxfId="72" dataCellStyle="Normal"/>
    <tableColumn id="29" xr3:uid="{00000000-0010-0000-3A00-00001D000000}" name="Sütun29" headerRowDxfId="71" dataDxfId="70" dataCellStyle="Normal"/>
    <tableColumn id="30" xr3:uid="{00000000-0010-0000-3A00-00001E000000}" name="Sütun30" headerRowDxfId="69" dataDxfId="68" dataCellStyle="Normal"/>
    <tableColumn id="31" xr3:uid="{00000000-0010-0000-3A00-00001F000000}" name="Sütun31" headerRowDxfId="67" dataDxfId="66" dataCellStyle="Normal"/>
    <tableColumn id="32" xr3:uid="{00000000-0010-0000-3A00-000020000000}" name="Sütun32" headerRowDxfId="65" dataDxfId="64" dataCellStyle="Normal"/>
    <tableColumn id="33" xr3:uid="{00000000-0010-0000-3A00-000021000000}" name="Sütun33" headerRowDxfId="63" dataDxfId="62" dataCellStyle="Normal"/>
    <tableColumn id="34" xr3:uid="{00000000-0010-0000-3A00-000022000000}" name="Sütun34" headerRowDxfId="61" dataDxfId="60" dataCellStyle="Normal"/>
  </tableColumns>
  <tableStyleInfo name="TableStyleMedium22" showFirstColumn="1"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3B000000}" name="EtKalınlığı" displayName="EtKalınlığı" ref="D50:AU83" totalsRowShown="0" dataDxfId="59">
  <autoFilter ref="D50:AU83" xr:uid="{00000000-0009-0000-0100-000009000000}"/>
  <tableColumns count="44">
    <tableColumn id="1" xr3:uid="{00000000-0010-0000-3B00-000001000000}" name="0,125&quot;" dataDxfId="58"/>
    <tableColumn id="2" xr3:uid="{00000000-0010-0000-3B00-000002000000}" name="0,25&quot;" dataDxfId="57"/>
    <tableColumn id="3" xr3:uid="{00000000-0010-0000-3B00-000003000000}" name="0,375&quot;" dataDxfId="56"/>
    <tableColumn id="4" xr3:uid="{00000000-0010-0000-3B00-000004000000}" name="½&quot; " dataDxfId="55"/>
    <tableColumn id="5" xr3:uid="{00000000-0010-0000-3B00-000005000000}" name="¾&quot;" dataDxfId="54"/>
    <tableColumn id="6" xr3:uid="{00000000-0010-0000-3B00-000006000000}" name="1&quot; " dataDxfId="53"/>
    <tableColumn id="7" xr3:uid="{00000000-0010-0000-3B00-000007000000}" name="1¼&quot;" dataDxfId="52"/>
    <tableColumn id="8" xr3:uid="{00000000-0010-0000-3B00-000008000000}" name="1½&quot; " dataDxfId="51"/>
    <tableColumn id="9" xr3:uid="{00000000-0010-0000-3B00-000009000000}" name="2&quot; " dataDxfId="50"/>
    <tableColumn id="10" xr3:uid="{00000000-0010-0000-3B00-00000A000000}" name="2½&quot; " dataDxfId="49"/>
    <tableColumn id="11" xr3:uid="{00000000-0010-0000-3B00-00000B000000}" name="3&quot;" dataDxfId="48"/>
    <tableColumn id="12" xr3:uid="{00000000-0010-0000-3B00-00000C000000}" name="3,5&quot;" dataDxfId="47"/>
    <tableColumn id="13" xr3:uid="{00000000-0010-0000-3B00-00000D000000}" name="4&quot;" dataDxfId="46"/>
    <tableColumn id="14" xr3:uid="{00000000-0010-0000-3B00-00000E000000}" name="5&quot;" dataDxfId="45"/>
    <tableColumn id="15" xr3:uid="{00000000-0010-0000-3B00-00000F000000}" name="6&quot;" dataDxfId="44"/>
    <tableColumn id="16" xr3:uid="{00000000-0010-0000-3B00-000010000000}" name="8&quot;" dataDxfId="43"/>
    <tableColumn id="17" xr3:uid="{00000000-0010-0000-3B00-000011000000}" name="10&quot;" dataDxfId="42"/>
    <tableColumn id="18" xr3:uid="{00000000-0010-0000-3B00-000012000000}" name="12&quot;" dataDxfId="41"/>
    <tableColumn id="19" xr3:uid="{00000000-0010-0000-3B00-000013000000}" name="14&quot;" dataDxfId="40"/>
    <tableColumn id="20" xr3:uid="{00000000-0010-0000-3B00-000014000000}" name="16&quot;" dataDxfId="39"/>
    <tableColumn id="21" xr3:uid="{00000000-0010-0000-3B00-000015000000}" name="18&quot;" dataDxfId="38"/>
    <tableColumn id="22" xr3:uid="{00000000-0010-0000-3B00-000016000000}" name="20&quot;" dataDxfId="37"/>
    <tableColumn id="23" xr3:uid="{00000000-0010-0000-3B00-000017000000}" name="22&quot;" dataDxfId="36"/>
    <tableColumn id="24" xr3:uid="{00000000-0010-0000-3B00-000018000000}" name="24&quot;" dataDxfId="35"/>
    <tableColumn id="25" xr3:uid="{00000000-0010-0000-3B00-000019000000}" name="26&quot;" dataDxfId="34"/>
    <tableColumn id="26" xr3:uid="{00000000-0010-0000-3B00-00001A000000}" name="28&quot;" dataDxfId="33"/>
    <tableColumn id="27" xr3:uid="{00000000-0010-0000-3B00-00001B000000}" name="30&quot;" dataDxfId="32"/>
    <tableColumn id="28" xr3:uid="{00000000-0010-0000-3B00-00001C000000}" name="32&quot;" dataDxfId="31"/>
    <tableColumn id="29" xr3:uid="{00000000-0010-0000-3B00-00001D000000}" name="34&quot;" dataDxfId="30"/>
    <tableColumn id="30" xr3:uid="{00000000-0010-0000-3B00-00001E000000}" name="36&quot;" dataDxfId="29"/>
    <tableColumn id="31" xr3:uid="{00000000-0010-0000-3B00-00001F000000}" name="38&quot;" dataDxfId="28"/>
    <tableColumn id="32" xr3:uid="{00000000-0010-0000-3B00-000020000000}" name="40&quot;" dataDxfId="27"/>
    <tableColumn id="33" xr3:uid="{00000000-0010-0000-3B00-000021000000}" name="42&quot;" dataDxfId="26"/>
    <tableColumn id="34" xr3:uid="{00000000-0010-0000-3B00-000022000000}" name="44&quot;" dataDxfId="25"/>
    <tableColumn id="35" xr3:uid="{00000000-0010-0000-3B00-000023000000}" name="46&quot;" dataDxfId="24"/>
    <tableColumn id="36" xr3:uid="{00000000-0010-0000-3B00-000024000000}" name="48&quot;" dataDxfId="23"/>
    <tableColumn id="37" xr3:uid="{00000000-0010-0000-3B00-000025000000}" name="52&quot;" dataDxfId="22"/>
    <tableColumn id="38" xr3:uid="{00000000-0010-0000-3B00-000026000000}" name="56&quot;" dataDxfId="21"/>
    <tableColumn id="39" xr3:uid="{00000000-0010-0000-3B00-000027000000}" name="60&quot;" dataDxfId="20"/>
    <tableColumn id="40" xr3:uid="{00000000-0010-0000-3B00-000028000000}" name="64&quot;" dataDxfId="19"/>
    <tableColumn id="41" xr3:uid="{00000000-0010-0000-3B00-000029000000}" name="68&quot;" dataDxfId="18"/>
    <tableColumn id="42" xr3:uid="{00000000-0010-0000-3B00-00002A000000}" name="72&quot;" dataDxfId="17"/>
    <tableColumn id="43" xr3:uid="{00000000-0010-0000-3B00-00002B000000}" name="76&quot;" dataDxfId="16"/>
    <tableColumn id="44" xr3:uid="{00000000-0010-0000-3B00-00002C000000}" name="80&quot;" dataDxfId="15"/>
  </tableColumns>
  <tableStyleInfo name="TableStyleMedium1" showFirstColumn="0" showLastColumn="0" showRowStripes="0" showColumnStripes="1"/>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3C000000}" name="Tablo10" displayName="Tablo10" ref="AV50:AV168" totalsRowShown="0" headerRowDxfId="14" dataDxfId="12" headerRowBorderDxfId="13" tableBorderDxfId="11" totalsRowBorderDxfId="10">
  <autoFilter ref="AV50:AV168" xr:uid="{00000000-0009-0000-0100-00000A000000}"/>
  <tableColumns count="1">
    <tableColumn id="1" xr3:uid="{00000000-0010-0000-3C00-000001000000}" name="ET kalınlığı" dataDxfId="9"/>
  </tableColumns>
  <tableStyleInfo name="TableStyleLight15" showFirstColumn="0" showLastColumn="0" showRowStripes="1" showColumnStripes="0"/>
</table>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 /><Relationship Id="rId13" Type="http://schemas.openxmlformats.org/officeDocument/2006/relationships/ctrlProp" Target="../ctrlProps/ctrlProp10.xml" /><Relationship Id="rId3" Type="http://schemas.openxmlformats.org/officeDocument/2006/relationships/vmlDrawing" Target="../drawings/vmlDrawing1.vml" /><Relationship Id="rId7" Type="http://schemas.openxmlformats.org/officeDocument/2006/relationships/ctrlProp" Target="../ctrlProps/ctrlProp4.xml" /><Relationship Id="rId12" Type="http://schemas.openxmlformats.org/officeDocument/2006/relationships/ctrlProp" Target="../ctrlProps/ctrlProp9.xml" /><Relationship Id="rId2" Type="http://schemas.openxmlformats.org/officeDocument/2006/relationships/drawing" Target="../drawings/drawing1.xml" /><Relationship Id="rId1" Type="http://schemas.openxmlformats.org/officeDocument/2006/relationships/printerSettings" Target="../printerSettings/printerSettings1.bin" /><Relationship Id="rId6" Type="http://schemas.openxmlformats.org/officeDocument/2006/relationships/ctrlProp" Target="../ctrlProps/ctrlProp3.xml" /><Relationship Id="rId11" Type="http://schemas.openxmlformats.org/officeDocument/2006/relationships/ctrlProp" Target="../ctrlProps/ctrlProp8.xml" /><Relationship Id="rId5" Type="http://schemas.openxmlformats.org/officeDocument/2006/relationships/ctrlProp" Target="../ctrlProps/ctrlProp2.xml" /><Relationship Id="rId10" Type="http://schemas.openxmlformats.org/officeDocument/2006/relationships/ctrlProp" Target="../ctrlProps/ctrlProp7.xml" /><Relationship Id="rId4" Type="http://schemas.openxmlformats.org/officeDocument/2006/relationships/ctrlProp" Target="../ctrlProps/ctrlProp1.xml" /><Relationship Id="rId9" Type="http://schemas.openxmlformats.org/officeDocument/2006/relationships/ctrlProp" Target="../ctrlProps/ctrlProp6.xml" /></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 /><Relationship Id="rId2" Type="http://schemas.openxmlformats.org/officeDocument/2006/relationships/drawing" Target="../drawings/drawing2.xml" /><Relationship Id="rId1" Type="http://schemas.openxmlformats.org/officeDocument/2006/relationships/printerSettings" Target="../printerSettings/printerSettings2.bin" /></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 /></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 /><Relationship Id="rId2" Type="http://schemas.openxmlformats.org/officeDocument/2006/relationships/table" Target="../tables/table2.xml" /><Relationship Id="rId1" Type="http://schemas.openxmlformats.org/officeDocument/2006/relationships/drawing" Target="../drawings/drawing4.xml" /></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 /><Relationship Id="rId2" Type="http://schemas.openxmlformats.org/officeDocument/2006/relationships/drawing" Target="../drawings/drawing5.xml" /><Relationship Id="rId1" Type="http://schemas.openxmlformats.org/officeDocument/2006/relationships/printerSettings" Target="../printerSettings/printerSettings3.bin" /><Relationship Id="rId6" Type="http://schemas.openxmlformats.org/officeDocument/2006/relationships/table" Target="../tables/table7.xml" /><Relationship Id="rId5" Type="http://schemas.openxmlformats.org/officeDocument/2006/relationships/table" Target="../tables/table6.xml" /><Relationship Id="rId4" Type="http://schemas.openxmlformats.org/officeDocument/2006/relationships/table" Target="../tables/table5.xml" /></Relationships>
</file>

<file path=xl/worksheets/_rels/sheet6.xml.rels><?xml version="1.0" encoding="UTF-8" standalone="yes"?>
<Relationships xmlns="http://schemas.openxmlformats.org/package/2006/relationships"><Relationship Id="rId3" Type="http://schemas.openxmlformats.org/officeDocument/2006/relationships/table" Target="../tables/table8.xml" /><Relationship Id="rId2" Type="http://schemas.openxmlformats.org/officeDocument/2006/relationships/drawing" Target="../drawings/drawing6.xml" /><Relationship Id="rId1" Type="http://schemas.openxmlformats.org/officeDocument/2006/relationships/printerSettings" Target="../printerSettings/printerSettings4.bin" /><Relationship Id="rId6" Type="http://schemas.openxmlformats.org/officeDocument/2006/relationships/table" Target="../tables/table11.xml" /><Relationship Id="rId5" Type="http://schemas.openxmlformats.org/officeDocument/2006/relationships/table" Target="../tables/table10.xml" /><Relationship Id="rId4" Type="http://schemas.openxmlformats.org/officeDocument/2006/relationships/table" Target="../tables/table9.xml" /></Relationships>
</file>

<file path=xl/worksheets/_rels/sheet7.xml.rels><?xml version="1.0" encoding="UTF-8" standalone="yes"?>
<Relationships xmlns="http://schemas.openxmlformats.org/package/2006/relationships"><Relationship Id="rId8" Type="http://schemas.openxmlformats.org/officeDocument/2006/relationships/table" Target="../tables/table17.xml" /><Relationship Id="rId13" Type="http://schemas.openxmlformats.org/officeDocument/2006/relationships/table" Target="../tables/table22.xml" /><Relationship Id="rId3" Type="http://schemas.openxmlformats.org/officeDocument/2006/relationships/table" Target="../tables/table12.xml" /><Relationship Id="rId7" Type="http://schemas.openxmlformats.org/officeDocument/2006/relationships/table" Target="../tables/table16.xml" /><Relationship Id="rId12" Type="http://schemas.openxmlformats.org/officeDocument/2006/relationships/table" Target="../tables/table21.xml" /><Relationship Id="rId2" Type="http://schemas.openxmlformats.org/officeDocument/2006/relationships/drawing" Target="../drawings/drawing7.xml" /><Relationship Id="rId1" Type="http://schemas.openxmlformats.org/officeDocument/2006/relationships/printerSettings" Target="../printerSettings/printerSettings5.bin" /><Relationship Id="rId6" Type="http://schemas.openxmlformats.org/officeDocument/2006/relationships/table" Target="../tables/table15.xml" /><Relationship Id="rId11" Type="http://schemas.openxmlformats.org/officeDocument/2006/relationships/table" Target="../tables/table20.xml" /><Relationship Id="rId5" Type="http://schemas.openxmlformats.org/officeDocument/2006/relationships/table" Target="../tables/table14.xml" /><Relationship Id="rId15" Type="http://schemas.openxmlformats.org/officeDocument/2006/relationships/table" Target="../tables/table24.xml" /><Relationship Id="rId10" Type="http://schemas.openxmlformats.org/officeDocument/2006/relationships/table" Target="../tables/table19.xml" /><Relationship Id="rId4" Type="http://schemas.openxmlformats.org/officeDocument/2006/relationships/table" Target="../tables/table13.xml" /><Relationship Id="rId9" Type="http://schemas.openxmlformats.org/officeDocument/2006/relationships/table" Target="../tables/table18.xml" /><Relationship Id="rId14" Type="http://schemas.openxmlformats.org/officeDocument/2006/relationships/table" Target="../tables/table23.xml" /></Relationships>
</file>

<file path=xl/worksheets/_rels/sheet8.xml.rels><?xml version="1.0" encoding="UTF-8" standalone="yes"?>
<Relationships xmlns="http://schemas.openxmlformats.org/package/2006/relationships"><Relationship Id="rId8" Type="http://schemas.openxmlformats.org/officeDocument/2006/relationships/table" Target="../tables/table31.xml" /><Relationship Id="rId13" Type="http://schemas.openxmlformats.org/officeDocument/2006/relationships/table" Target="../tables/table36.xml" /><Relationship Id="rId3" Type="http://schemas.openxmlformats.org/officeDocument/2006/relationships/table" Target="../tables/table26.xml" /><Relationship Id="rId7" Type="http://schemas.openxmlformats.org/officeDocument/2006/relationships/table" Target="../tables/table30.xml" /><Relationship Id="rId12" Type="http://schemas.openxmlformats.org/officeDocument/2006/relationships/table" Target="../tables/table35.xml" /><Relationship Id="rId2" Type="http://schemas.openxmlformats.org/officeDocument/2006/relationships/table" Target="../tables/table25.xml" /><Relationship Id="rId1" Type="http://schemas.openxmlformats.org/officeDocument/2006/relationships/drawing" Target="../drawings/drawing8.xml" /><Relationship Id="rId6" Type="http://schemas.openxmlformats.org/officeDocument/2006/relationships/table" Target="../tables/table29.xml" /><Relationship Id="rId11" Type="http://schemas.openxmlformats.org/officeDocument/2006/relationships/table" Target="../tables/table34.xml" /><Relationship Id="rId5" Type="http://schemas.openxmlformats.org/officeDocument/2006/relationships/table" Target="../tables/table28.xml" /><Relationship Id="rId10" Type="http://schemas.openxmlformats.org/officeDocument/2006/relationships/table" Target="../tables/table33.xml" /><Relationship Id="rId4" Type="http://schemas.openxmlformats.org/officeDocument/2006/relationships/table" Target="../tables/table27.xml" /><Relationship Id="rId9" Type="http://schemas.openxmlformats.org/officeDocument/2006/relationships/table" Target="../tables/table32.xml" /></Relationships>
</file>

<file path=xl/worksheets/_rels/sheet9.xml.rels><?xml version="1.0" encoding="UTF-8" standalone="yes"?>
<Relationships xmlns="http://schemas.openxmlformats.org/package/2006/relationships"><Relationship Id="rId8" Type="http://schemas.openxmlformats.org/officeDocument/2006/relationships/table" Target="../tables/table43.xml" /><Relationship Id="rId13" Type="http://schemas.openxmlformats.org/officeDocument/2006/relationships/table" Target="../tables/table48.xml" /><Relationship Id="rId3" Type="http://schemas.openxmlformats.org/officeDocument/2006/relationships/table" Target="../tables/table38.xml" /><Relationship Id="rId7" Type="http://schemas.openxmlformats.org/officeDocument/2006/relationships/table" Target="../tables/table42.xml" /><Relationship Id="rId12" Type="http://schemas.openxmlformats.org/officeDocument/2006/relationships/table" Target="../tables/table47.xml" /><Relationship Id="rId2" Type="http://schemas.openxmlformats.org/officeDocument/2006/relationships/table" Target="../tables/table37.xml" /><Relationship Id="rId1" Type="http://schemas.openxmlformats.org/officeDocument/2006/relationships/drawing" Target="../drawings/drawing9.xml" /><Relationship Id="rId6" Type="http://schemas.openxmlformats.org/officeDocument/2006/relationships/table" Target="../tables/table41.xml" /><Relationship Id="rId11" Type="http://schemas.openxmlformats.org/officeDocument/2006/relationships/table" Target="../tables/table46.xml" /><Relationship Id="rId5" Type="http://schemas.openxmlformats.org/officeDocument/2006/relationships/table" Target="../tables/table40.xml" /><Relationship Id="rId10" Type="http://schemas.openxmlformats.org/officeDocument/2006/relationships/table" Target="../tables/table45.xml" /><Relationship Id="rId4" Type="http://schemas.openxmlformats.org/officeDocument/2006/relationships/table" Target="../tables/table39.xml" /><Relationship Id="rId9" Type="http://schemas.openxmlformats.org/officeDocument/2006/relationships/table" Target="../tables/table44.xml" /></Relationships>
</file>

<file path=xl/worksheets/_rels/sheet10.xml.rels><?xml version="1.0" encoding="UTF-8" standalone="yes"?>
<Relationships xmlns="http://schemas.openxmlformats.org/package/2006/relationships"><Relationship Id="rId8" Type="http://schemas.openxmlformats.org/officeDocument/2006/relationships/hyperlink" Target="https://www.astm.org/Standards/B166.htm" TargetMode="External" /><Relationship Id="rId13" Type="http://schemas.openxmlformats.org/officeDocument/2006/relationships/table" Target="../tables/table51.xml" /><Relationship Id="rId3" Type="http://schemas.openxmlformats.org/officeDocument/2006/relationships/hyperlink" Target="https://blog.projectmaterials.com/flanges/flange-meaning/" TargetMode="External" /><Relationship Id="rId7" Type="http://schemas.openxmlformats.org/officeDocument/2006/relationships/hyperlink" Target="https://www.astm.org/Standards/B160.htm" TargetMode="External" /><Relationship Id="rId12" Type="http://schemas.openxmlformats.org/officeDocument/2006/relationships/table" Target="../tables/table50.xml" /><Relationship Id="rId2" Type="http://schemas.openxmlformats.org/officeDocument/2006/relationships/hyperlink" Target="https://blog.projectmaterials.com/flanges/flange-materials-carbon-alloy-stainless-duplex/" TargetMode="External" /><Relationship Id="rId1" Type="http://schemas.openxmlformats.org/officeDocument/2006/relationships/hyperlink" Target="https://blog.projectmaterials.com/flanges/flange-materials-carbon-alloy-stainless-duplex/" TargetMode="External" /><Relationship Id="rId6" Type="http://schemas.openxmlformats.org/officeDocument/2006/relationships/hyperlink" Target="https://blog.projectmaterials.com/pipes/stainless-pipes-a312-a790/" TargetMode="External" /><Relationship Id="rId11" Type="http://schemas.openxmlformats.org/officeDocument/2006/relationships/table" Target="../tables/table49.xml" /><Relationship Id="rId5" Type="http://schemas.openxmlformats.org/officeDocument/2006/relationships/hyperlink" Target="https://www.astm.org/Standards/A350.htm" TargetMode="External" /><Relationship Id="rId10" Type="http://schemas.openxmlformats.org/officeDocument/2006/relationships/hyperlink" Target="https://www.astm.org/Standards/B425.htm" TargetMode="External" /><Relationship Id="rId4" Type="http://schemas.openxmlformats.org/officeDocument/2006/relationships/hyperlink" Target="https://www.astm.org/Standards/A105.htm" TargetMode="External" /><Relationship Id="rId9" Type="http://schemas.openxmlformats.org/officeDocument/2006/relationships/hyperlink" Target="https://www.astm.org/Standards/B564.htm" TargetMode="External" /><Relationship Id="rId14" Type="http://schemas.openxmlformats.org/officeDocument/2006/relationships/table" Target="../tables/table52.xml" /></Relationships>
</file>

<file path=xl/worksheets/_rels/sheet11.xml.rels><?xml version="1.0" encoding="UTF-8" standalone="yes"?>
<Relationships xmlns="http://schemas.openxmlformats.org/package/2006/relationships"><Relationship Id="rId3" Type="http://schemas.openxmlformats.org/officeDocument/2006/relationships/table" Target="../tables/table54.xml" /><Relationship Id="rId2" Type="http://schemas.openxmlformats.org/officeDocument/2006/relationships/table" Target="../tables/table53.xml" /><Relationship Id="rId1" Type="http://schemas.openxmlformats.org/officeDocument/2006/relationships/drawing" Target="../drawings/drawing10.xml" /><Relationship Id="rId6" Type="http://schemas.openxmlformats.org/officeDocument/2006/relationships/table" Target="../tables/table57.xml" /><Relationship Id="rId5" Type="http://schemas.openxmlformats.org/officeDocument/2006/relationships/table" Target="../tables/table56.xml" /><Relationship Id="rId4" Type="http://schemas.openxmlformats.org/officeDocument/2006/relationships/table" Target="../tables/table55.xml" /></Relationships>
</file>

<file path=xl/worksheets/_rels/sheet12.xml.rels><?xml version="1.0" encoding="UTF-8" standalone="yes"?>
<Relationships xmlns="http://schemas.openxmlformats.org/package/2006/relationships"><Relationship Id="rId2" Type="http://schemas.openxmlformats.org/officeDocument/2006/relationships/table" Target="../tables/table58.xml" /><Relationship Id="rId1" Type="http://schemas.openxmlformats.org/officeDocument/2006/relationships/drawing" Target="../drawings/drawing11.xml" /></Relationships>
</file>

<file path=xl/worksheets/_rels/sheet13.xml.rels><?xml version="1.0" encoding="UTF-8" standalone="yes"?>
<Relationships xmlns="http://schemas.openxmlformats.org/package/2006/relationships"><Relationship Id="rId2" Type="http://schemas.openxmlformats.org/officeDocument/2006/relationships/queryTable" Target="../queryTables/queryTable1.xml" /><Relationship Id="rId1" Type="http://schemas.openxmlformats.org/officeDocument/2006/relationships/drawing" Target="../drawings/drawing12.xml" /></Relationships>
</file>

<file path=xl/worksheets/_rels/sheet14.xml.rels><?xml version="1.0" encoding="UTF-8" standalone="yes"?>
<Relationships xmlns="http://schemas.openxmlformats.org/package/2006/relationships"><Relationship Id="rId3" Type="http://schemas.openxmlformats.org/officeDocument/2006/relationships/table" Target="../tables/table60.xml" /><Relationship Id="rId2" Type="http://schemas.openxmlformats.org/officeDocument/2006/relationships/table" Target="../tables/table59.xml" /><Relationship Id="rId1" Type="http://schemas.openxmlformats.org/officeDocument/2006/relationships/printerSettings" Target="../printerSettings/printerSettings6.bin" /><Relationship Id="rId4" Type="http://schemas.openxmlformats.org/officeDocument/2006/relationships/table" Target="../tables/table61.xml" /></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ublished="0" codeName="Sayfa13">
    <tabColor theme="5" tint="-0.499984740745262"/>
  </sheetPr>
  <dimension ref="A1:T18"/>
  <sheetViews>
    <sheetView showGridLines="0" view="pageBreakPreview" zoomScale="130" zoomScaleNormal="100" zoomScaleSheetLayoutView="130" workbookViewId="0">
      <selection activeCell="N9" sqref="N9"/>
    </sheetView>
  </sheetViews>
  <sheetFormatPr defaultRowHeight="15" x14ac:dyDescent="0.2"/>
  <cols>
    <col min="1" max="1" width="6.58984375" customWidth="1"/>
    <col min="2" max="2" width="8.609375" bestFit="1" customWidth="1"/>
    <col min="3" max="3" width="9.55078125" customWidth="1"/>
    <col min="4" max="4" width="10.0859375" customWidth="1"/>
    <col min="5" max="5" width="9.4140625" customWidth="1"/>
    <col min="6" max="6" width="13.44921875" customWidth="1"/>
    <col min="18" max="19" width="0" hidden="1" customWidth="1"/>
  </cols>
  <sheetData>
    <row r="1" spans="1:20" ht="15.75" thickBot="1" x14ac:dyDescent="0.25">
      <c r="A1" s="688"/>
      <c r="B1" s="689"/>
      <c r="C1" s="690"/>
      <c r="D1" s="690"/>
      <c r="E1" s="690"/>
      <c r="F1" s="691"/>
      <c r="G1" s="690"/>
      <c r="H1" s="690"/>
      <c r="I1" s="690"/>
      <c r="J1" s="692"/>
      <c r="R1" s="119">
        <v>2</v>
      </c>
      <c r="S1" s="119">
        <v>3</v>
      </c>
      <c r="T1" s="119"/>
    </row>
    <row r="2" spans="1:20" x14ac:dyDescent="0.2">
      <c r="A2" s="693"/>
      <c r="B2" s="815" t="s">
        <v>635</v>
      </c>
      <c r="C2" s="816"/>
      <c r="D2" s="816"/>
      <c r="E2" s="816"/>
      <c r="F2" s="817"/>
      <c r="G2" s="694"/>
      <c r="H2" s="695"/>
      <c r="I2" s="695"/>
      <c r="J2" s="696"/>
      <c r="K2" s="331"/>
      <c r="R2" s="119" t="str">
        <f>CHOOSE(R1,"Station","Pipeline","Pig Or Valve Station")</f>
        <v>Pipeline</v>
      </c>
      <c r="S2" s="119">
        <f>CHOOSE(S1,0.4,0.5, 0.6,0.72,0.8)</f>
        <v>0.6</v>
      </c>
      <c r="T2" s="119"/>
    </row>
    <row r="3" spans="1:20" x14ac:dyDescent="0.2">
      <c r="A3" s="693"/>
      <c r="B3" s="697" t="s">
        <v>1428</v>
      </c>
      <c r="C3" s="698">
        <v>0</v>
      </c>
      <c r="D3" s="699" t="s">
        <v>629</v>
      </c>
      <c r="E3" s="700"/>
      <c r="F3" s="701"/>
      <c r="G3" s="694"/>
      <c r="H3" s="695"/>
      <c r="I3" s="695"/>
      <c r="J3" s="696"/>
      <c r="K3" s="331"/>
      <c r="R3" s="119"/>
      <c r="S3" s="119"/>
      <c r="T3" s="119"/>
    </row>
    <row r="4" spans="1:20" x14ac:dyDescent="0.2">
      <c r="A4" s="693"/>
      <c r="B4" s="702" t="s">
        <v>631</v>
      </c>
      <c r="C4" s="703">
        <v>42100</v>
      </c>
      <c r="D4" s="704" t="s">
        <v>632</v>
      </c>
      <c r="E4" s="700">
        <f>VLOOKUP(C4,'Boru SMYS Tablosu'!$D$4:H16,5,0)</f>
        <v>290</v>
      </c>
      <c r="F4" s="705" t="s">
        <v>633</v>
      </c>
      <c r="G4" s="694"/>
      <c r="H4" s="695"/>
      <c r="I4" s="695"/>
      <c r="J4" s="696"/>
      <c r="R4" s="724"/>
      <c r="S4" s="724"/>
      <c r="T4" s="724"/>
    </row>
    <row r="5" spans="1:20" x14ac:dyDescent="0.2">
      <c r="A5" s="693"/>
      <c r="B5" s="706" t="s">
        <v>630</v>
      </c>
      <c r="C5" s="707" t="s">
        <v>12</v>
      </c>
      <c r="D5" s="708" t="s">
        <v>634</v>
      </c>
      <c r="E5" s="704">
        <f>VLOOKUP(C5,Tablo2[[ÇAP inch]:[ÇAP mm]],2,0)</f>
        <v>114.3</v>
      </c>
      <c r="F5" s="709" t="s">
        <v>629</v>
      </c>
      <c r="G5" s="694"/>
      <c r="H5" s="695"/>
      <c r="I5" s="695"/>
      <c r="J5" s="696"/>
      <c r="R5" s="119"/>
      <c r="S5" s="119"/>
      <c r="T5" s="119"/>
    </row>
    <row r="6" spans="1:20" x14ac:dyDescent="0.2">
      <c r="A6" s="693"/>
      <c r="B6" s="702" t="s">
        <v>628</v>
      </c>
      <c r="C6" s="710">
        <f>$S$2</f>
        <v>0.6</v>
      </c>
      <c r="D6" s="704"/>
      <c r="E6" s="711"/>
      <c r="F6" s="701"/>
      <c r="G6" s="694"/>
      <c r="H6" s="695"/>
      <c r="I6" s="695"/>
      <c r="J6" s="696"/>
      <c r="R6" s="119"/>
      <c r="S6" s="119"/>
      <c r="T6" s="119"/>
    </row>
    <row r="7" spans="1:20" x14ac:dyDescent="0.2">
      <c r="A7" s="693"/>
      <c r="B7" s="702" t="s">
        <v>859</v>
      </c>
      <c r="C7" s="710">
        <v>1</v>
      </c>
      <c r="D7" s="712"/>
      <c r="E7" s="713"/>
      <c r="F7" s="714"/>
      <c r="G7" s="694"/>
      <c r="H7" s="695"/>
      <c r="I7" s="695"/>
      <c r="J7" s="696"/>
      <c r="K7" s="331"/>
    </row>
    <row r="8" spans="1:20" x14ac:dyDescent="0.2">
      <c r="A8" s="693"/>
      <c r="B8" s="715" t="s">
        <v>860</v>
      </c>
      <c r="C8" s="707">
        <v>1</v>
      </c>
      <c r="D8" s="700"/>
      <c r="E8" s="704"/>
      <c r="F8" s="716"/>
      <c r="G8" s="694"/>
      <c r="H8" s="695"/>
      <c r="I8" s="695"/>
      <c r="J8" s="696"/>
      <c r="K8" s="331"/>
    </row>
    <row r="9" spans="1:20" x14ac:dyDescent="0.2">
      <c r="A9" s="693"/>
      <c r="B9" s="702" t="s">
        <v>626</v>
      </c>
      <c r="C9" s="707">
        <v>75</v>
      </c>
      <c r="D9" s="704" t="s">
        <v>627</v>
      </c>
      <c r="E9" s="712">
        <f>C9/10</f>
        <v>7.5</v>
      </c>
      <c r="F9" s="709" t="s">
        <v>633</v>
      </c>
      <c r="G9" s="694"/>
      <c r="H9" s="695"/>
      <c r="I9" s="695"/>
      <c r="J9" s="696"/>
      <c r="K9" s="331"/>
    </row>
    <row r="10" spans="1:20" x14ac:dyDescent="0.2">
      <c r="A10" s="693"/>
      <c r="B10" s="818" t="str">
        <f>"Required Pipe Thickness (Botaş) for"&amp;"-"&amp;R2</f>
        <v>Required Pipe Thickness (Botaş) for-Pipeline</v>
      </c>
      <c r="C10" s="819"/>
      <c r="D10" s="819"/>
      <c r="E10" s="819"/>
      <c r="F10" s="820"/>
      <c r="G10" s="694"/>
      <c r="H10" s="695"/>
      <c r="I10" s="695"/>
      <c r="J10" s="696"/>
      <c r="K10" s="331"/>
    </row>
    <row r="11" spans="1:20" s="286" customFormat="1" x14ac:dyDescent="0.2">
      <c r="A11" s="693"/>
      <c r="B11" s="728" t="s">
        <v>49</v>
      </c>
      <c r="C11" s="726" t="s">
        <v>50</v>
      </c>
      <c r="D11" s="729" t="s">
        <v>51</v>
      </c>
      <c r="E11" s="727" t="s">
        <v>51</v>
      </c>
      <c r="F11" s="725" t="s">
        <v>51</v>
      </c>
      <c r="G11" s="694"/>
      <c r="H11" s="695"/>
      <c r="I11" s="695"/>
      <c r="J11" s="696"/>
      <c r="K11" s="331"/>
    </row>
    <row r="12" spans="1:20" s="286" customFormat="1" x14ac:dyDescent="0.2">
      <c r="A12" s="693"/>
      <c r="B12" s="717">
        <f>VLOOKUP(C5,Tablo244[],6,0)</f>
        <v>0</v>
      </c>
      <c r="C12" s="718">
        <f>VLOOKUP(C5,Tablo244[],8,0)</f>
        <v>0</v>
      </c>
      <c r="D12" s="718">
        <f>VLOOKUP(C5,Tablo244[],10,0)</f>
        <v>0</v>
      </c>
      <c r="E12" s="718">
        <f>VLOOKUP(C5,Tablo244[],12,0)</f>
        <v>6</v>
      </c>
      <c r="F12" s="705">
        <f>VLOOKUP(C5,Tablo244[],14,0)</f>
        <v>6</v>
      </c>
      <c r="G12" s="694"/>
      <c r="H12" s="695"/>
      <c r="I12" s="695"/>
      <c r="J12" s="696"/>
      <c r="K12" s="331"/>
    </row>
    <row r="13" spans="1:20" s="286" customFormat="1" x14ac:dyDescent="0.2">
      <c r="A13" s="693"/>
      <c r="B13" s="812" t="s">
        <v>1281</v>
      </c>
      <c r="C13" s="813"/>
      <c r="D13" s="813"/>
      <c r="E13" s="813"/>
      <c r="F13" s="814"/>
      <c r="G13" s="694"/>
      <c r="H13" s="695"/>
      <c r="I13" s="695"/>
      <c r="J13" s="696"/>
      <c r="K13" s="331"/>
    </row>
    <row r="14" spans="1:20" x14ac:dyDescent="0.2">
      <c r="A14" s="693"/>
      <c r="B14" s="821">
        <f>IF(R1=2,(E9*E5/(2*E4*C6*C7*C8)),(IF(E5&lt;168.3,((E9*E5/(2*E4*C6*C7*C8))+C3)*1.125, (E9*E5/(2*E4*C6*C7*C8))+C3)))</f>
        <v>2.4633620689655173</v>
      </c>
      <c r="C14" s="822"/>
      <c r="D14" s="822"/>
      <c r="E14" s="823"/>
      <c r="F14" s="719" t="s">
        <v>629</v>
      </c>
      <c r="G14" s="694"/>
      <c r="H14" s="695"/>
      <c r="I14" s="695"/>
      <c r="J14" s="696"/>
      <c r="K14" s="331"/>
    </row>
    <row r="15" spans="1:20" ht="16.5" customHeight="1" x14ac:dyDescent="0.2">
      <c r="A15" s="693"/>
      <c r="B15" s="824" t="s">
        <v>649</v>
      </c>
      <c r="C15" s="825"/>
      <c r="D15" s="825"/>
      <c r="E15" s="825"/>
      <c r="F15" s="826"/>
      <c r="G15" s="694"/>
      <c r="H15" s="695"/>
      <c r="I15" s="695"/>
      <c r="J15" s="696"/>
      <c r="K15" s="331"/>
    </row>
    <row r="16" spans="1:20" ht="15.75" thickBot="1" x14ac:dyDescent="0.25">
      <c r="A16" s="693"/>
      <c r="B16" s="806">
        <f>VLOOKUP('ASME B36.10'!$B$48,'ASME B36.10'!$B$50:AU84,'ASME B36.10'!$A$48,FALSE)</f>
        <v>2.77</v>
      </c>
      <c r="C16" s="807"/>
      <c r="D16" s="807"/>
      <c r="E16" s="808"/>
      <c r="F16" s="720" t="s">
        <v>629</v>
      </c>
      <c r="G16" s="695" t="s">
        <v>861</v>
      </c>
      <c r="H16" s="695"/>
      <c r="I16" s="695"/>
      <c r="J16" s="696"/>
      <c r="K16" s="331"/>
    </row>
    <row r="17" spans="1:10" ht="15.75" thickBot="1" x14ac:dyDescent="0.25">
      <c r="A17" s="693"/>
      <c r="B17" s="827" t="s">
        <v>1447</v>
      </c>
      <c r="C17" s="827"/>
      <c r="D17" s="512">
        <f>B16*0.875</f>
        <v>2.4237500000000001</v>
      </c>
      <c r="E17" s="694"/>
      <c r="F17" s="694"/>
      <c r="G17" s="809" t="str">
        <f>IF(R1=2,"Please Choose F=0,5 - 0,6 - 0,72 or 0,8","Please Choose F 0,5")</f>
        <v>Please Choose F=0,5 - 0,6 - 0,72 or 0,8</v>
      </c>
      <c r="H17" s="810"/>
      <c r="I17" s="810"/>
      <c r="J17" s="811"/>
    </row>
    <row r="18" spans="1:10" ht="15.75" thickBot="1" x14ac:dyDescent="0.25">
      <c r="A18" s="721"/>
      <c r="B18" s="722"/>
      <c r="C18" s="722"/>
      <c r="D18" s="722"/>
      <c r="E18" s="722"/>
      <c r="F18" s="722"/>
      <c r="G18" s="722" t="str">
        <f>IF(R1=1,IF(S1&gt;2,"Wrong F Factor",""),IF(R1=3,IF(S1&gt;2,"Wrong F Factor",""),""))</f>
        <v/>
      </c>
      <c r="H18" s="722"/>
      <c r="I18" s="722"/>
      <c r="J18" s="723"/>
    </row>
  </sheetData>
  <mergeCells count="8">
    <mergeCell ref="B16:E16"/>
    <mergeCell ref="G17:J17"/>
    <mergeCell ref="B13:F13"/>
    <mergeCell ref="B2:F2"/>
    <mergeCell ref="B10:F10"/>
    <mergeCell ref="B14:E14"/>
    <mergeCell ref="B15:F15"/>
    <mergeCell ref="B17:C17"/>
  </mergeCells>
  <dataValidations disablePrompts="1" count="1">
    <dataValidation type="list" allowBlank="1" showInputMessage="1" showErrorMessage="1" sqref="C6" xr:uid="{00000000-0002-0000-0000-000000000000}">
      <formula1>$Z$28:$Z$32</formula1>
    </dataValidation>
  </dataValidations>
  <pageMargins left="0.7" right="0.7" top="0.75" bottom="0.75" header="0.3" footer="0.3"/>
  <pageSetup paperSize="9" scale="92"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1265" r:id="rId4" name="Option Button 1">
              <controlPr defaultSize="0" autoFill="0" autoLine="0" autoPict="0">
                <anchor moveWithCells="1">
                  <from>
                    <xdr:col>8</xdr:col>
                    <xdr:colOff>110881</xdr:colOff>
                    <xdr:row>2</xdr:row>
                    <xdr:rowOff>76290</xdr:rowOff>
                  </from>
                  <to>
                    <xdr:col>9</xdr:col>
                    <xdr:colOff>164950</xdr:colOff>
                    <xdr:row>5</xdr:row>
                    <xdr:rowOff>36860</xdr:rowOff>
                  </to>
                </anchor>
              </controlPr>
            </control>
          </mc:Choice>
        </mc:AlternateContent>
        <mc:AlternateContent xmlns:mc="http://schemas.openxmlformats.org/markup-compatibility/2006">
          <mc:Choice Requires="x14">
            <control shapeId="11266" r:id="rId5" name="Option Button 2">
              <controlPr defaultSize="0" autoFill="0" autoLine="0" autoPict="0">
                <anchor moveWithCells="1">
                  <from>
                    <xdr:col>8</xdr:col>
                    <xdr:colOff>110881</xdr:colOff>
                    <xdr:row>4</xdr:row>
                    <xdr:rowOff>57672</xdr:rowOff>
                  </from>
                  <to>
                    <xdr:col>9</xdr:col>
                    <xdr:colOff>164950</xdr:colOff>
                    <xdr:row>7</xdr:row>
                    <xdr:rowOff>18242</xdr:rowOff>
                  </to>
                </anchor>
              </controlPr>
            </control>
          </mc:Choice>
        </mc:AlternateContent>
        <mc:AlternateContent xmlns:mc="http://schemas.openxmlformats.org/markup-compatibility/2006">
          <mc:Choice Requires="x14">
            <control shapeId="11267" r:id="rId6" name="Option Button 3">
              <controlPr defaultSize="0" autoFill="0" autoLine="0" autoPict="0">
                <anchor moveWithCells="1">
                  <from>
                    <xdr:col>8</xdr:col>
                    <xdr:colOff>110881</xdr:colOff>
                    <xdr:row>6</xdr:row>
                    <xdr:rowOff>39054</xdr:rowOff>
                  </from>
                  <to>
                    <xdr:col>9</xdr:col>
                    <xdr:colOff>164950</xdr:colOff>
                    <xdr:row>8</xdr:row>
                    <xdr:rowOff>190818</xdr:rowOff>
                  </to>
                </anchor>
              </controlPr>
            </control>
          </mc:Choice>
        </mc:AlternateContent>
        <mc:AlternateContent xmlns:mc="http://schemas.openxmlformats.org/markup-compatibility/2006">
          <mc:Choice Requires="x14">
            <control shapeId="11268" r:id="rId7" name="Option Button 4">
              <controlPr defaultSize="0" autoFill="0" autoLine="0" autoPict="0">
                <anchor moveWithCells="1">
                  <from>
                    <xdr:col>8</xdr:col>
                    <xdr:colOff>110881</xdr:colOff>
                    <xdr:row>8</xdr:row>
                    <xdr:rowOff>29421</xdr:rowOff>
                  </from>
                  <to>
                    <xdr:col>9</xdr:col>
                    <xdr:colOff>164950</xdr:colOff>
                    <xdr:row>10</xdr:row>
                    <xdr:rowOff>181183</xdr:rowOff>
                  </to>
                </anchor>
              </controlPr>
            </control>
          </mc:Choice>
        </mc:AlternateContent>
        <mc:AlternateContent xmlns:mc="http://schemas.openxmlformats.org/markup-compatibility/2006">
          <mc:Choice Requires="x14">
            <control shapeId="11269" r:id="rId8" name="Option Button 5">
              <controlPr defaultSize="0" autoFill="0" autoLine="0" autoPict="0">
                <anchor moveWithCells="1">
                  <from>
                    <xdr:col>8</xdr:col>
                    <xdr:colOff>110881</xdr:colOff>
                    <xdr:row>10</xdr:row>
                    <xdr:rowOff>19786</xdr:rowOff>
                  </from>
                  <to>
                    <xdr:col>9</xdr:col>
                    <xdr:colOff>164950</xdr:colOff>
                    <xdr:row>12</xdr:row>
                    <xdr:rowOff>171546</xdr:rowOff>
                  </to>
                </anchor>
              </controlPr>
            </control>
          </mc:Choice>
        </mc:AlternateContent>
        <mc:AlternateContent xmlns:mc="http://schemas.openxmlformats.org/markup-compatibility/2006">
          <mc:Choice Requires="x14">
            <control shapeId="11272" r:id="rId9" name="Group Box 8">
              <controlPr defaultSize="0" autoFill="0" autoPict="0">
                <anchor moveWithCells="1">
                  <from>
                    <xdr:col>8</xdr:col>
                    <xdr:colOff>76200</xdr:colOff>
                    <xdr:row>1</xdr:row>
                    <xdr:rowOff>175260</xdr:rowOff>
                  </from>
                  <to>
                    <xdr:col>9</xdr:col>
                    <xdr:colOff>327660</xdr:colOff>
                    <xdr:row>14</xdr:row>
                    <xdr:rowOff>76200</xdr:rowOff>
                  </to>
                </anchor>
              </controlPr>
            </control>
          </mc:Choice>
        </mc:AlternateContent>
        <mc:AlternateContent xmlns:mc="http://schemas.openxmlformats.org/markup-compatibility/2006">
          <mc:Choice Requires="x14">
            <control shapeId="11273" r:id="rId10" name="Group Box 9">
              <controlPr defaultSize="0" autoFill="0" autoPict="0">
                <anchor moveWithCells="1">
                  <from>
                    <xdr:col>6</xdr:col>
                    <xdr:colOff>83820</xdr:colOff>
                    <xdr:row>2</xdr:row>
                    <xdr:rowOff>121920</xdr:rowOff>
                  </from>
                  <to>
                    <xdr:col>7</xdr:col>
                    <xdr:colOff>365760</xdr:colOff>
                    <xdr:row>12</xdr:row>
                    <xdr:rowOff>60960</xdr:rowOff>
                  </to>
                </anchor>
              </controlPr>
            </control>
          </mc:Choice>
        </mc:AlternateContent>
        <mc:AlternateContent xmlns:mc="http://schemas.openxmlformats.org/markup-compatibility/2006">
          <mc:Choice Requires="x14">
            <control shapeId="11283" r:id="rId11" name="Option Button 19">
              <controlPr locked="0" defaultSize="0" autoFill="0" autoLine="0" autoPict="0" altText="Station">
                <anchor moveWithCells="1">
                  <from>
                    <xdr:col>6</xdr:col>
                    <xdr:colOff>137160</xdr:colOff>
                    <xdr:row>3</xdr:row>
                    <xdr:rowOff>38100</xdr:rowOff>
                  </from>
                  <to>
                    <xdr:col>7</xdr:col>
                    <xdr:colOff>312420</xdr:colOff>
                    <xdr:row>5</xdr:row>
                    <xdr:rowOff>175260</xdr:rowOff>
                  </to>
                </anchor>
              </controlPr>
            </control>
          </mc:Choice>
        </mc:AlternateContent>
        <mc:AlternateContent xmlns:mc="http://schemas.openxmlformats.org/markup-compatibility/2006">
          <mc:Choice Requires="x14">
            <control shapeId="11271" r:id="rId12" name="Option Button 7">
              <controlPr defaultSize="0" autoFill="0" autoLine="0" autoPict="0">
                <anchor moveWithCells="1">
                  <from>
                    <xdr:col>6</xdr:col>
                    <xdr:colOff>121920</xdr:colOff>
                    <xdr:row>6</xdr:row>
                    <xdr:rowOff>68580</xdr:rowOff>
                  </from>
                  <to>
                    <xdr:col>7</xdr:col>
                    <xdr:colOff>312420</xdr:colOff>
                    <xdr:row>9</xdr:row>
                    <xdr:rowOff>22860</xdr:rowOff>
                  </to>
                </anchor>
              </controlPr>
            </control>
          </mc:Choice>
        </mc:AlternateContent>
        <mc:AlternateContent xmlns:mc="http://schemas.openxmlformats.org/markup-compatibility/2006">
          <mc:Choice Requires="x14">
            <control shapeId="11270" r:id="rId13" name="Option Button 6">
              <controlPr defaultSize="0" autoFill="0" autoLine="0" autoPict="0">
                <anchor moveWithCells="1">
                  <from>
                    <xdr:col>6</xdr:col>
                    <xdr:colOff>121920</xdr:colOff>
                    <xdr:row>9</xdr:row>
                    <xdr:rowOff>68580</xdr:rowOff>
                  </from>
                  <to>
                    <xdr:col>7</xdr:col>
                    <xdr:colOff>312420</xdr:colOff>
                    <xdr:row>12</xdr:row>
                    <xdr:rowOff>22860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00000000-0002-0000-0000-000001000000}">
          <x14:formula1>
            <xm:f>'Boru SMYS Tablosu'!$D$4:$D$16</xm:f>
          </x14:formula1>
          <xm:sqref>C4</xm:sqref>
        </x14:dataValidation>
        <x14:dataValidation type="list" allowBlank="1" showInputMessage="1" showErrorMessage="1" xr:uid="{00000000-0002-0000-0000-000002000000}">
          <x14:formula1>
            <xm:f>'Boru Kontrol Tablosu ASME'!$B$21:$B$53</xm:f>
          </x14:formula1>
          <xm:sqref>C5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ayfa1">
    <tabColor rgb="FF0070C0"/>
  </sheetPr>
  <dimension ref="A1:AG71"/>
  <sheetViews>
    <sheetView showGridLines="0" tabSelected="1" zoomScale="85" zoomScaleNormal="85" workbookViewId="0">
      <pane xSplit="4" ySplit="10" topLeftCell="H35" activePane="bottomRight" state="frozen"/>
      <selection activeCell="D53" sqref="D53:F53"/>
      <selection pane="bottomLeft" activeCell="D53" sqref="D53:F53"/>
      <selection pane="topRight" activeCell="D53" sqref="D53:F53"/>
      <selection pane="bottomRight" activeCell="E7" sqref="E7:I7"/>
    </sheetView>
  </sheetViews>
  <sheetFormatPr defaultRowHeight="15" x14ac:dyDescent="0.2"/>
  <cols>
    <col min="4" max="4" width="17.3515625" customWidth="1"/>
    <col min="5" max="6" width="12.5078125" bestFit="1" customWidth="1"/>
    <col min="7" max="7" width="13.98828125" bestFit="1" customWidth="1"/>
    <col min="8" max="8" width="12.64453125" bestFit="1" customWidth="1"/>
    <col min="9" max="9" width="14.390625" customWidth="1"/>
    <col min="10" max="10" width="13.046875" customWidth="1"/>
    <col min="11" max="11" width="11.43359375" customWidth="1"/>
    <col min="12" max="12" width="14.9296875" bestFit="1" customWidth="1"/>
    <col min="13" max="13" width="12.5078125" customWidth="1"/>
    <col min="14" max="14" width="10.35546875" customWidth="1"/>
    <col min="16" max="16" width="9.14453125" style="286"/>
    <col min="19" max="19" width="15.6015625" customWidth="1"/>
    <col min="20" max="20" width="8.7421875" hidden="1" customWidth="1"/>
    <col min="21" max="21" width="7.12890625" hidden="1" customWidth="1"/>
    <col min="22" max="22" width="8.609375" hidden="1" customWidth="1"/>
    <col min="23" max="23" width="4.16796875" hidden="1" customWidth="1"/>
    <col min="24" max="24" width="4.70703125" hidden="1" customWidth="1"/>
    <col min="25" max="25" width="6.72265625" hidden="1" customWidth="1"/>
    <col min="26" max="26" width="5.109375" hidden="1" customWidth="1"/>
    <col min="27" max="27" width="9.14453125" style="331"/>
    <col min="28" max="28" width="11.97265625" style="331" customWidth="1"/>
    <col min="29" max="29" width="12.5078125" style="331" customWidth="1"/>
    <col min="30" max="30" width="6.72265625" style="331" customWidth="1"/>
    <col min="31" max="31" width="9.14453125" style="331"/>
  </cols>
  <sheetData>
    <row r="1" spans="1:33" s="286" customFormat="1" x14ac:dyDescent="0.2">
      <c r="E1" s="886" t="s">
        <v>516</v>
      </c>
      <c r="F1" s="887"/>
      <c r="G1" s="887"/>
      <c r="H1" s="887"/>
      <c r="I1" s="887"/>
      <c r="J1" s="888"/>
      <c r="S1"/>
      <c r="T1" s="119" t="s">
        <v>1463</v>
      </c>
      <c r="U1" s="119">
        <v>2</v>
      </c>
      <c r="V1" s="119"/>
      <c r="W1" s="119">
        <v>1</v>
      </c>
      <c r="X1" s="119"/>
      <c r="Y1" s="119"/>
      <c r="Z1" s="119"/>
      <c r="AA1" s="331"/>
      <c r="AB1" s="331"/>
      <c r="AC1" s="331"/>
      <c r="AD1" s="331"/>
      <c r="AE1" s="331"/>
      <c r="AF1" s="119"/>
      <c r="AG1" s="119"/>
    </row>
    <row r="2" spans="1:33" ht="15.75" customHeight="1" thickBot="1" x14ac:dyDescent="0.3">
      <c r="A2" s="1012" t="s">
        <v>1465</v>
      </c>
      <c r="B2" s="1012"/>
      <c r="C2" s="1012"/>
      <c r="D2" s="783" t="s">
        <v>1463</v>
      </c>
      <c r="E2" s="889"/>
      <c r="F2" s="890"/>
      <c r="G2" s="890"/>
      <c r="H2" s="890"/>
      <c r="I2" s="890"/>
      <c r="J2" s="891"/>
      <c r="K2" s="80"/>
      <c r="S2" s="1013" t="s">
        <v>1472</v>
      </c>
      <c r="T2" s="119" t="s">
        <v>1464</v>
      </c>
      <c r="U2" s="119">
        <f>CHOOSE(U1,0.4,0.5, 0.6,0.72,0.8)</f>
        <v>0.5</v>
      </c>
      <c r="V2" s="119"/>
      <c r="W2" s="119" t="str">
        <f>CHOOSE(W1,"Station","Pipeline")</f>
        <v>Station</v>
      </c>
      <c r="X2" s="119"/>
      <c r="Y2" s="119"/>
      <c r="Z2" s="119"/>
      <c r="AA2" s="750" t="s">
        <v>1438</v>
      </c>
      <c r="AB2" s="67" t="s">
        <v>1437</v>
      </c>
      <c r="AC2" s="751" t="s">
        <v>1436</v>
      </c>
      <c r="AD2" s="754" t="s">
        <v>625</v>
      </c>
      <c r="AF2" s="119">
        <v>0.4</v>
      </c>
      <c r="AG2" s="119"/>
    </row>
    <row r="3" spans="1:33" x14ac:dyDescent="0.2">
      <c r="A3" s="80"/>
      <c r="B3" s="80"/>
      <c r="C3" s="80"/>
      <c r="D3" s="80"/>
      <c r="E3" s="491">
        <f>20*G24*E10/E8</f>
        <v>105.57834290401969</v>
      </c>
      <c r="F3" s="491">
        <f>20*G24*F10/E8</f>
        <v>129.20426579163248</v>
      </c>
      <c r="G3" s="287">
        <f>20*G24*G10/E8</f>
        <v>152.09187858900739</v>
      </c>
      <c r="H3" s="287">
        <f>20*G24*H10/E8</f>
        <v>163.90484003281378</v>
      </c>
      <c r="I3" s="287">
        <f>20*G24*I10/E8</f>
        <v>175.71780147662017</v>
      </c>
      <c r="J3" s="67" t="s">
        <v>517</v>
      </c>
      <c r="K3" s="80"/>
      <c r="L3" s="80"/>
      <c r="S3" s="1013"/>
      <c r="U3" s="119"/>
      <c r="V3" s="119"/>
      <c r="W3" s="119"/>
      <c r="X3" s="119"/>
      <c r="Y3" s="119"/>
      <c r="Z3" s="119"/>
      <c r="AA3" s="752">
        <f>E8</f>
        <v>1219</v>
      </c>
      <c r="AB3" s="753">
        <v>3217.6</v>
      </c>
      <c r="AC3" s="755">
        <f>3.14*POWER((AA3-2*E10)/1000,2)*AB3/4</f>
        <v>3579.2130185625606</v>
      </c>
      <c r="AD3" s="286" t="s">
        <v>1439</v>
      </c>
      <c r="AF3" s="119">
        <v>0.5</v>
      </c>
      <c r="AG3" s="119"/>
    </row>
    <row r="4" spans="1:33" x14ac:dyDescent="0.2">
      <c r="A4" s="80"/>
      <c r="B4" s="80"/>
      <c r="C4" s="80"/>
      <c r="D4" s="80"/>
      <c r="E4" s="80"/>
      <c r="F4" s="80"/>
      <c r="G4" s="80"/>
      <c r="H4" s="80"/>
      <c r="I4" s="680" t="s">
        <v>1280</v>
      </c>
      <c r="J4" s="1016" t="s">
        <v>1279</v>
      </c>
      <c r="K4" s="1017"/>
      <c r="S4" s="1013"/>
      <c r="U4" s="119"/>
      <c r="V4" s="119"/>
      <c r="W4" s="119"/>
      <c r="X4" s="119"/>
      <c r="Y4" s="119"/>
      <c r="Z4" s="119"/>
      <c r="AA4" s="799">
        <f t="shared" ref="AA4" si="0">E8</f>
        <v>1219</v>
      </c>
      <c r="AB4" s="801">
        <v>333.25</v>
      </c>
      <c r="AC4" s="802">
        <f>3.14*POWER((AA4-2*F10)/1000,2)*AB4/4</f>
        <v>366.72728191999994</v>
      </c>
      <c r="AD4" s="510" t="s">
        <v>1439</v>
      </c>
      <c r="AF4" s="119">
        <v>0.6</v>
      </c>
      <c r="AG4" s="119"/>
    </row>
    <row r="5" spans="1:33" ht="15.75" thickBot="1" x14ac:dyDescent="0.25">
      <c r="A5" s="80"/>
      <c r="B5" s="80"/>
      <c r="C5" s="80"/>
      <c r="D5" s="80"/>
      <c r="E5" s="80"/>
      <c r="F5" s="80"/>
      <c r="G5" s="80"/>
      <c r="H5" s="80"/>
      <c r="I5" s="490">
        <v>3.6</v>
      </c>
      <c r="J5" s="1014">
        <f>2*J13*J10/J8/14.50733</f>
        <v>328.18179330671745</v>
      </c>
      <c r="K5" s="1015"/>
      <c r="O5" s="286"/>
      <c r="P5"/>
      <c r="S5" s="1013"/>
      <c r="T5" s="119"/>
      <c r="U5" s="119"/>
      <c r="V5" s="119"/>
      <c r="W5" s="119"/>
      <c r="X5" s="119"/>
      <c r="Z5" s="119"/>
      <c r="AA5" s="800">
        <f>E8</f>
        <v>1219</v>
      </c>
      <c r="AB5" s="801">
        <v>0</v>
      </c>
      <c r="AC5" s="802">
        <f>3.14*POWER((AA5-2*G10)/1000,2)*AB5/4</f>
        <v>0</v>
      </c>
      <c r="AD5" s="510" t="s">
        <v>1439</v>
      </c>
      <c r="AF5" s="119">
        <v>0.72</v>
      </c>
      <c r="AG5" s="119"/>
    </row>
    <row r="6" spans="1:33" ht="15.75" thickBot="1" x14ac:dyDescent="0.25">
      <c r="A6" s="80"/>
      <c r="B6" s="968" t="s">
        <v>317</v>
      </c>
      <c r="C6" s="969"/>
      <c r="D6" s="970"/>
      <c r="E6" s="958" t="s">
        <v>103</v>
      </c>
      <c r="F6" s="959"/>
      <c r="G6" s="959"/>
      <c r="H6" s="960"/>
      <c r="I6" s="961"/>
      <c r="J6" s="962" t="s">
        <v>104</v>
      </c>
      <c r="K6" s="961"/>
      <c r="M6" t="s">
        <v>1429</v>
      </c>
      <c r="P6"/>
      <c r="T6" s="119"/>
      <c r="U6" s="119"/>
      <c r="V6" s="119"/>
      <c r="W6" s="119"/>
      <c r="X6" s="119"/>
      <c r="AA6" s="803"/>
      <c r="AB6" s="753"/>
      <c r="AC6" s="755">
        <f>SUM(AC3:AC5)</f>
        <v>3945.9403004825604</v>
      </c>
      <c r="AD6"/>
      <c r="AF6" s="119">
        <v>0.8</v>
      </c>
      <c r="AG6" s="119"/>
    </row>
    <row r="7" spans="1:33" x14ac:dyDescent="0.2">
      <c r="A7" s="80"/>
      <c r="B7" s="917" t="s">
        <v>105</v>
      </c>
      <c r="C7" s="918"/>
      <c r="D7" s="941"/>
      <c r="E7" s="963" t="s">
        <v>38</v>
      </c>
      <c r="F7" s="964"/>
      <c r="G7" s="964"/>
      <c r="H7" s="965"/>
      <c r="I7" s="966"/>
      <c r="J7" s="967" t="s">
        <v>24</v>
      </c>
      <c r="K7" s="966"/>
      <c r="M7" s="680" t="s">
        <v>524</v>
      </c>
      <c r="N7" s="681" t="s">
        <v>522</v>
      </c>
      <c r="O7" s="681" t="s">
        <v>523</v>
      </c>
      <c r="P7"/>
      <c r="W7" s="119"/>
      <c r="X7" s="119"/>
      <c r="Z7" s="286"/>
    </row>
    <row r="8" spans="1:33" x14ac:dyDescent="0.2">
      <c r="A8" s="80"/>
      <c r="B8" s="907" t="s">
        <v>106</v>
      </c>
      <c r="C8" s="908"/>
      <c r="D8" s="981"/>
      <c r="E8" s="1033">
        <f>VLOOKUP(E7,Tablo2[[ÇAP inch]:[MALZEME]],2,0)</f>
        <v>1219</v>
      </c>
      <c r="F8" s="1034"/>
      <c r="G8" s="1034"/>
      <c r="H8" s="1034"/>
      <c r="I8" s="1035"/>
      <c r="J8" s="1040">
        <f>VLOOKUP(J7,Tablo2[[ÇAP inch]:[MALZEME]],2,0)</f>
        <v>457</v>
      </c>
      <c r="K8" s="1041"/>
      <c r="M8" s="167">
        <f>IF(E10&gt;0,2*(E10-2.4)*E24*0.72/E8/14.50733,0)</f>
        <v>63.274895857050467</v>
      </c>
      <c r="N8" s="167">
        <f>IF(F10&gt;0,2*(F10-2.4)*E24*0.6/E8/14.50733,0)</f>
        <v>66.908328252203219</v>
      </c>
      <c r="O8" s="167">
        <f>IF(G10&gt;0,2*(G10-2.4)*E24*0.5/E8/14.50733,0)</f>
        <v>67.203729259939223</v>
      </c>
      <c r="P8"/>
      <c r="Q8" t="s">
        <v>1434</v>
      </c>
      <c r="S8" s="520">
        <f>2*E24*(E22-2.4)*0.72/E8/14.50733</f>
        <v>62.477313136163268</v>
      </c>
      <c r="W8" s="119"/>
      <c r="X8" s="119"/>
      <c r="Z8" s="80"/>
    </row>
    <row r="9" spans="1:33" ht="15.75" customHeight="1" thickBot="1" x14ac:dyDescent="0.25">
      <c r="A9" s="80"/>
      <c r="B9" s="1024" t="s">
        <v>520</v>
      </c>
      <c r="C9" s="1025"/>
      <c r="D9" s="1026"/>
      <c r="E9" s="683" t="s">
        <v>524</v>
      </c>
      <c r="F9" s="684" t="s">
        <v>522</v>
      </c>
      <c r="G9" s="684" t="s">
        <v>523</v>
      </c>
      <c r="H9" s="684" t="s">
        <v>525</v>
      </c>
      <c r="I9" s="685" t="s">
        <v>525</v>
      </c>
      <c r="J9" s="1022">
        <v>0.72</v>
      </c>
      <c r="K9" s="1023"/>
      <c r="L9" s="80"/>
      <c r="M9" s="288">
        <f>M8*0.75</f>
        <v>47.45617189278785</v>
      </c>
      <c r="N9" s="288">
        <f>N8*0.75</f>
        <v>50.181246189152418</v>
      </c>
      <c r="O9" s="288">
        <f>O8*0.75</f>
        <v>50.402796944954417</v>
      </c>
      <c r="P9"/>
      <c r="Q9" t="s">
        <v>636</v>
      </c>
      <c r="S9" t="s">
        <v>1452</v>
      </c>
      <c r="W9" s="119"/>
      <c r="X9" s="119"/>
      <c r="AA9"/>
      <c r="AB9"/>
      <c r="AC9" s="286"/>
      <c r="AD9"/>
    </row>
    <row r="10" spans="1:33" ht="15.75" thickBot="1" x14ac:dyDescent="0.25">
      <c r="A10" s="461"/>
      <c r="B10" s="938" t="s">
        <v>107</v>
      </c>
      <c r="C10" s="939"/>
      <c r="D10" s="973"/>
      <c r="E10" s="686">
        <f>IF(D2="BOTAŞ",VLOOKUP(E8,Tablo244[[ÇAP mm]:[Max Bas. Bar4]],5, 0),VLOOKUP(E8,Tablo2[[ÇAP mm]:[Max Bas. Bar4]],5, 0))</f>
        <v>14.3</v>
      </c>
      <c r="F10" s="687">
        <f>IF(D2="BOTAŞ",VLOOKUP(E8,Tablo244[[ÇAP mm]:[Max Bas. Bar4]],7, 0),VLOOKUP(E8,Tablo2[[ÇAP mm]:[Max Bas. Bar4]],7, 0))</f>
        <v>17.5</v>
      </c>
      <c r="G10" s="687">
        <f>IF(D2="BOTAŞ",VLOOKUP(E8,Tablo244[[ÇAP mm]:[Max Bas. Bar4]],9, 0),VLOOKUP(E8,Tablo2[[ÇAP mm]:[Max Bas. Bar4]],9, 0))</f>
        <v>20.6</v>
      </c>
      <c r="H10" s="687">
        <f>IF(D2="BOTAŞ",VLOOKUP(E8,Tablo244[[ÇAP mm]:[Max Bas. Bar4]],11, 0),VLOOKUP(E8,Tablo2[[ÇAP mm]:[Max Bas. Bar4]],11, 0))</f>
        <v>22.2</v>
      </c>
      <c r="I10" s="687">
        <f>IF(D2="BOTAŞ",VLOOKUP(E8,Tablo244[[ÇAP mm]:[Max Bas. Bar5]],13, 0),VLOOKUP(E8,Tablo2[[ÇAP mm]:[Max Bas. Bar5]],13,0))</f>
        <v>23.8</v>
      </c>
      <c r="J10" s="1042">
        <v>16.66</v>
      </c>
      <c r="K10" s="1043"/>
      <c r="L10" s="80"/>
      <c r="M10" s="749">
        <f>IF(J10&gt;0,2*(J10-2.4)*J24*0.72/J8/14.50733,0)</f>
        <v>202.25138704914343</v>
      </c>
      <c r="N10" s="167">
        <f>IF(J10&gt;0,2*(J10-2.4)*J24*0.6/J8/14.50733,0)</f>
        <v>168.54282254095281</v>
      </c>
      <c r="O10" s="167">
        <f>IF(J10&gt;0,2*(J10-2.4)*10*K24*0.5/J8,0)</f>
        <v>140.41575492341357</v>
      </c>
      <c r="P10"/>
      <c r="Q10" t="s">
        <v>1435</v>
      </c>
      <c r="T10" s="119"/>
      <c r="U10" s="119"/>
      <c r="V10" s="119"/>
      <c r="W10" s="119"/>
      <c r="X10" s="119"/>
      <c r="Z10" s="119"/>
    </row>
    <row r="11" spans="1:33" ht="16.5" customHeight="1" thickBot="1" x14ac:dyDescent="0.25">
      <c r="A11" s="461"/>
      <c r="B11" s="938" t="s">
        <v>289</v>
      </c>
      <c r="C11" s="939"/>
      <c r="D11" s="973"/>
      <c r="E11" s="976" t="str">
        <f>IF(E8&gt;323.9,"SAWH",IF(E8&gt;60.3,"ERW HFW","SMLS"))</f>
        <v>SAWH</v>
      </c>
      <c r="F11" s="977"/>
      <c r="G11" s="977"/>
      <c r="H11" s="977"/>
      <c r="I11" s="978"/>
      <c r="J11" s="1042" t="s">
        <v>285</v>
      </c>
      <c r="K11" s="1043"/>
      <c r="L11" s="80"/>
      <c r="U11" s="119"/>
      <c r="V11" s="119"/>
      <c r="W11" s="119"/>
      <c r="X11" s="119"/>
      <c r="Y11" s="119"/>
      <c r="Z11" s="119"/>
    </row>
    <row r="12" spans="1:33" ht="15.75" thickBot="1" x14ac:dyDescent="0.25">
      <c r="A12" s="461"/>
      <c r="B12" s="938" t="s">
        <v>79</v>
      </c>
      <c r="C12" s="939"/>
      <c r="D12" s="973"/>
      <c r="E12" s="1036" t="str">
        <f>VLOOKUP(E8,Tablo2[[#All],[ÇAP mm]:[Max Bas. Bar4]],2,0)</f>
        <v>X65</v>
      </c>
      <c r="F12" s="1037"/>
      <c r="G12" s="1037"/>
      <c r="H12" s="1038"/>
      <c r="I12" s="1039"/>
      <c r="J12" s="1031" t="s">
        <v>25</v>
      </c>
      <c r="K12" s="1032"/>
      <c r="L12" s="80"/>
      <c r="R12" s="286"/>
      <c r="U12" s="119"/>
      <c r="V12" s="119"/>
      <c r="W12" s="119"/>
      <c r="X12" s="119"/>
      <c r="Y12" s="119"/>
      <c r="Z12" s="119">
        <v>0.4</v>
      </c>
    </row>
    <row r="13" spans="1:33" ht="15.75" thickBot="1" x14ac:dyDescent="0.25">
      <c r="A13" s="461"/>
      <c r="B13" s="938" t="s">
        <v>108</v>
      </c>
      <c r="C13" s="939"/>
      <c r="D13" s="973"/>
      <c r="E13" s="1036">
        <f>VLOOKUP(E12,'Boru Kontrol Tablosu ASME'!D21:N47,2,0)</f>
        <v>65300</v>
      </c>
      <c r="F13" s="1037"/>
      <c r="G13" s="1037"/>
      <c r="H13" s="1038"/>
      <c r="I13" s="1039"/>
      <c r="J13" s="1044">
        <f>VLOOKUP(J12,'Boru SMYS Tablosu'!B5:D16,3,0)</f>
        <v>65300</v>
      </c>
      <c r="K13" s="1045"/>
      <c r="L13" s="80"/>
      <c r="U13" s="119"/>
      <c r="V13" s="119"/>
      <c r="W13" s="119"/>
      <c r="X13" s="119"/>
      <c r="Y13" s="119"/>
      <c r="Z13" s="119">
        <v>0.5</v>
      </c>
    </row>
    <row r="14" spans="1:33" x14ac:dyDescent="0.2">
      <c r="A14" s="80"/>
      <c r="B14" s="923" t="s">
        <v>298</v>
      </c>
      <c r="C14" s="924"/>
      <c r="D14" s="925"/>
      <c r="E14" s="979" t="s">
        <v>290</v>
      </c>
      <c r="F14" s="980"/>
      <c r="G14" s="682" t="s">
        <v>299</v>
      </c>
      <c r="H14" s="1027">
        <f>IF(E12='Boru Kontrol Tablosu ASME'!D30,0.18,IF(E12='Boru Kontrol Tablosu ASME'!D31,0.18,IF(E12='Boru Kontrol Tablosu ASME'!D33,0.18,IF(E12='Boru Kontrol Tablosu ASME'!D35,0.18,IF(E12="X56",0.18,IF(E12='Boru Kontrol Tablosu ASME'!D36,0.12,IF(E12='Boru Kontrol Tablosu ASME'!D40,0.12,"hata")))))))</f>
        <v>0.12</v>
      </c>
      <c r="I14" s="1028"/>
      <c r="J14" s="678" t="s">
        <v>299</v>
      </c>
      <c r="K14" s="679">
        <f>IF(J12='Boru Kontrol Tablosu ASME'!D30,0.18,IF(J12='Boru Kontrol Tablosu ASME'!D31,0.18,IF(J12='Boru Kontrol Tablosu ASME'!D33,0.18,IF(J12='Boru Kontrol Tablosu ASME'!D35,0.18,IF(J12="X56",0.18,IF(J12='Boru Kontrol Tablosu ASME'!D36,0.12,IF(J12='Boru Kontrol Tablosu ASME'!D40,0.12,"hata")))))))</f>
        <v>0.12</v>
      </c>
      <c r="L14" s="80"/>
      <c r="U14" s="119"/>
      <c r="V14" s="119"/>
      <c r="W14" s="119"/>
      <c r="X14" s="119"/>
      <c r="Y14" s="119"/>
      <c r="Z14" s="119">
        <v>0.6</v>
      </c>
      <c r="AA14" s="119"/>
      <c r="AB14" s="119"/>
    </row>
    <row r="15" spans="1:33" x14ac:dyDescent="0.2">
      <c r="A15" s="80"/>
      <c r="B15" s="926"/>
      <c r="C15" s="927"/>
      <c r="D15" s="928"/>
      <c r="E15" s="971" t="s">
        <v>291</v>
      </c>
      <c r="F15" s="972"/>
      <c r="G15" s="609" t="s">
        <v>299</v>
      </c>
      <c r="H15" s="1029">
        <f>IF(E12='Boru Kontrol Tablosu ASME'!D30,1.2,IF(E12='Boru Kontrol Tablosu ASME'!D31,1.3,IF(E12='Boru Kontrol Tablosu ASME'!D33,1.3,IF(E12='Boru Kontrol Tablosu ASME'!D35,1.4,IF(E12="X56",1.4,IF(E12='Boru Kontrol Tablosu ASME'!D36,1.6,IF(E12='Boru Kontrol Tablosu ASME'!D40,1.6,"hata")))))))</f>
        <v>1.6</v>
      </c>
      <c r="I15" s="1030"/>
      <c r="J15" s="672" t="s">
        <v>299</v>
      </c>
      <c r="K15" s="673">
        <f>IF(J12='Boru Kontrol Tablosu ASME'!D30,1.2,IF(J12='Boru Kontrol Tablosu ASME'!D31,1.3,IF(J12='Boru Kontrol Tablosu ASME'!D33,1.3,IF(J12='Boru Kontrol Tablosu ASME'!D35,1.4,IF(J12="X56",1.4,IF(J12='Boru Kontrol Tablosu ASME'!D36,1.6,IF(J12='Boru Kontrol Tablosu ASME'!D40,1.6,"hata")))))))</f>
        <v>1.6</v>
      </c>
      <c r="L15" s="80"/>
      <c r="U15" s="119"/>
      <c r="V15" s="119"/>
      <c r="W15" s="119"/>
      <c r="X15" s="119"/>
      <c r="Y15" s="119"/>
      <c r="Z15" s="119">
        <v>0.72</v>
      </c>
      <c r="AA15" s="119"/>
      <c r="AB15" s="119"/>
    </row>
    <row r="16" spans="1:33" x14ac:dyDescent="0.2">
      <c r="A16" s="80"/>
      <c r="B16" s="926"/>
      <c r="C16" s="927"/>
      <c r="D16" s="928"/>
      <c r="E16" s="971" t="s">
        <v>292</v>
      </c>
      <c r="F16" s="972"/>
      <c r="G16" s="609" t="s">
        <v>299</v>
      </c>
      <c r="H16" s="1018">
        <v>2.5000000000000001E-2</v>
      </c>
      <c r="I16" s="1019"/>
      <c r="J16" s="672" t="s">
        <v>299</v>
      </c>
      <c r="K16" s="673">
        <v>2.5000000000000001E-2</v>
      </c>
      <c r="L16" s="80"/>
      <c r="M16" s="80"/>
      <c r="N16" s="80"/>
      <c r="U16" s="119"/>
      <c r="V16" s="119"/>
      <c r="W16" s="119"/>
      <c r="X16" s="119"/>
      <c r="Y16" s="119"/>
      <c r="Z16" s="119">
        <v>0.8</v>
      </c>
      <c r="AA16" s="119"/>
      <c r="AB16" s="119"/>
    </row>
    <row r="17" spans="1:31" x14ac:dyDescent="0.2">
      <c r="A17" s="80"/>
      <c r="B17" s="926"/>
      <c r="C17" s="927"/>
      <c r="D17" s="928"/>
      <c r="E17" s="971" t="s">
        <v>293</v>
      </c>
      <c r="F17" s="972"/>
      <c r="G17" s="609" t="s">
        <v>299</v>
      </c>
      <c r="H17" s="1018">
        <v>0.01</v>
      </c>
      <c r="I17" s="1019"/>
      <c r="J17" s="672" t="s">
        <v>299</v>
      </c>
      <c r="K17" s="673">
        <v>0.01</v>
      </c>
      <c r="L17" s="80"/>
      <c r="M17" s="80"/>
      <c r="N17" s="80"/>
      <c r="U17" s="119"/>
      <c r="V17" s="119"/>
      <c r="W17" s="119"/>
      <c r="X17" s="119"/>
      <c r="Y17" s="119"/>
      <c r="Z17" s="119"/>
      <c r="AA17" s="119"/>
      <c r="AB17" s="119"/>
    </row>
    <row r="18" spans="1:31" x14ac:dyDescent="0.2">
      <c r="A18" s="80"/>
      <c r="B18" s="926"/>
      <c r="C18" s="927"/>
      <c r="D18" s="928"/>
      <c r="E18" s="971" t="s">
        <v>294</v>
      </c>
      <c r="F18" s="972"/>
      <c r="G18" s="609" t="str">
        <f>IF(H18=0.05,"Max %", "Min%-Max%")</f>
        <v>Min%-Max%</v>
      </c>
      <c r="H18" s="1018" t="str">
        <f>IF(E12='Boru Kontrol Tablosu ASME'!D30,0.05,IF(E12='Boru Kontrol Tablosu ASME'!D31,0.05,IF(E12='Boru Kontrol Tablosu ASME'!D33,0.05,"0,015-0,050")))</f>
        <v>0,015-0,050</v>
      </c>
      <c r="I18" s="1019"/>
      <c r="J18" s="672" t="str">
        <f>IF(K18=0.05,"Max %", "Min%-Max%")</f>
        <v>Min%-Max%</v>
      </c>
      <c r="K18" s="673" t="str">
        <f>IF(J12='Boru Kontrol Tablosu ASME'!D30,0.05,IF(J12='Boru Kontrol Tablosu ASME'!D31,0.05,IF(J12='Boru Kontrol Tablosu ASME'!D33,0.05,"0,015-0,050")))</f>
        <v>0,015-0,050</v>
      </c>
      <c r="L18" s="80"/>
      <c r="P18"/>
      <c r="U18" s="119"/>
      <c r="V18" s="119"/>
      <c r="W18" s="119"/>
      <c r="X18" s="119"/>
      <c r="Y18" s="119"/>
      <c r="Z18" s="119"/>
      <c r="AA18" s="119"/>
      <c r="AB18" s="119"/>
    </row>
    <row r="19" spans="1:31" x14ac:dyDescent="0.2">
      <c r="A19" s="80"/>
      <c r="B19" s="926"/>
      <c r="C19" s="927"/>
      <c r="D19" s="928"/>
      <c r="E19" s="971" t="s">
        <v>295</v>
      </c>
      <c r="F19" s="972"/>
      <c r="G19" s="609" t="s">
        <v>299</v>
      </c>
      <c r="H19" s="1018">
        <v>0.05</v>
      </c>
      <c r="I19" s="1019"/>
      <c r="J19" s="672" t="s">
        <v>299</v>
      </c>
      <c r="K19" s="673">
        <v>0.05</v>
      </c>
      <c r="L19" s="80"/>
      <c r="P19"/>
      <c r="U19" s="119"/>
      <c r="V19" s="119"/>
      <c r="W19" s="119"/>
      <c r="X19" s="119"/>
      <c r="Y19" s="119"/>
      <c r="Z19" s="119"/>
      <c r="AA19" s="119"/>
      <c r="AB19" s="119"/>
    </row>
    <row r="20" spans="1:31" x14ac:dyDescent="0.2">
      <c r="A20" s="80"/>
      <c r="B20" s="926"/>
      <c r="C20" s="927"/>
      <c r="D20" s="928"/>
      <c r="E20" s="971" t="s">
        <v>296</v>
      </c>
      <c r="F20" s="972"/>
      <c r="G20" s="609" t="s">
        <v>299</v>
      </c>
      <c r="H20" s="1018">
        <v>0.04</v>
      </c>
      <c r="I20" s="1019"/>
      <c r="J20" s="672" t="s">
        <v>299</v>
      </c>
      <c r="K20" s="673">
        <v>0.04</v>
      </c>
      <c r="L20" s="80"/>
      <c r="X20" s="119"/>
      <c r="Y20" s="119"/>
      <c r="Z20" s="119"/>
      <c r="AA20" s="119"/>
      <c r="AB20" s="119"/>
    </row>
    <row r="21" spans="1:31" ht="15.75" thickBot="1" x14ac:dyDescent="0.25">
      <c r="A21" s="80"/>
      <c r="B21" s="929"/>
      <c r="C21" s="930"/>
      <c r="D21" s="931"/>
      <c r="E21" s="974" t="s">
        <v>297</v>
      </c>
      <c r="F21" s="975"/>
      <c r="G21" s="610" t="s">
        <v>299</v>
      </c>
      <c r="H21" s="1020">
        <v>8.9999999999999993E-3</v>
      </c>
      <c r="I21" s="1021"/>
      <c r="J21" s="674" t="s">
        <v>299</v>
      </c>
      <c r="K21" s="675">
        <v>8.9999999999999993E-3</v>
      </c>
      <c r="L21" s="80"/>
      <c r="AA21" s="119"/>
      <c r="AB21" s="119"/>
    </row>
    <row r="22" spans="1:31" ht="25.5" customHeight="1" x14ac:dyDescent="0.2">
      <c r="A22" s="80"/>
      <c r="B22" s="892" t="s">
        <v>326</v>
      </c>
      <c r="C22" s="893"/>
      <c r="D22" s="597" t="s">
        <v>325</v>
      </c>
      <c r="E22" s="611">
        <f>IF(E10&lt;8.71,E10-0.04,IF(E10&lt;12.71,E10-0.1,'Boru Seçim-Kontrol Aracı'!E10-0.15))</f>
        <v>14.15</v>
      </c>
      <c r="F22" s="612">
        <f>IF(F10&lt;8.71,F10-0.04,IF(F10&lt;12.71,F10-0.1,'Boru Seçim-Kontrol Aracı'!F10-0.15))</f>
        <v>17.350000000000001</v>
      </c>
      <c r="G22" s="612">
        <f>IF(G10&lt;8.71,G10-0.04,IF(G10&lt;12.71,G10-0.1,'Boru Seçim-Kontrol Aracı'!G10-0.15))</f>
        <v>20.450000000000003</v>
      </c>
      <c r="H22" s="612">
        <f>IF(H10&lt;8.71,H10-0.04,IF(H10&lt;12.71,H10-0.1,'Boru Seçim-Kontrol Aracı'!H10-0.15))</f>
        <v>22.05</v>
      </c>
      <c r="I22" s="613">
        <f>IF(I10&lt;8.71,I10-0.04,IF(I10&lt;12.71,I10-0.1,'Boru Seçim-Kontrol Aracı'!I10-0.15))</f>
        <v>23.650000000000002</v>
      </c>
      <c r="J22" s="676" t="s">
        <v>325</v>
      </c>
      <c r="K22" s="607">
        <f>IF(J10&lt;8.71,J10-0.04,IF(J10&lt;12.71,J10-0.1,'Boru Seçim-Kontrol Aracı'!J10-0.15))</f>
        <v>16.510000000000002</v>
      </c>
      <c r="L22" s="80"/>
      <c r="AA22" s="119">
        <v>35500</v>
      </c>
      <c r="AB22" s="119"/>
    </row>
    <row r="23" spans="1:31" ht="24" thickBot="1" x14ac:dyDescent="0.25">
      <c r="A23" s="80"/>
      <c r="B23" s="894"/>
      <c r="C23" s="895"/>
      <c r="D23" s="598" t="s">
        <v>324</v>
      </c>
      <c r="E23" s="614">
        <f>IF(E11="SMLS",IF(E10&lt;4.01,E10+0.6,IF('Boru Seçim-Kontrol Aracı'!E10&lt;25,'Boru Seçim-Kontrol Aracı'!E10*1.15,'Boru Seçim-Kontrol Aracı'!E10+3.7)),IF('Boru Seçim-Kontrol Aracı'!E10&lt;5.01,'Boru Seçim-Kontrol Aracı'!E10+0.5,IF('Boru Seçim-Kontrol Aracı'!E10&lt;15,'Boru Seçim-Kontrol Aracı'!E10*1.1,'Boru Seçim-Kontrol Aracı'!E10+1.5)))</f>
        <v>15.730000000000002</v>
      </c>
      <c r="F23" s="615">
        <f>IF(E11="SMLS",IF(F10&lt;4.01,F10+0.6,IF('Boru Seçim-Kontrol Aracı'!F10&lt;25,'Boru Seçim-Kontrol Aracı'!F10*1.15,'Boru Seçim-Kontrol Aracı'!F10+3.7)),IF('Boru Seçim-Kontrol Aracı'!F10&lt;5.01,'Boru Seçim-Kontrol Aracı'!F10+0.5,IF('Boru Seçim-Kontrol Aracı'!F10&lt;15,'Boru Seçim-Kontrol Aracı'!F10*1.1,'Boru Seçim-Kontrol Aracı'!F10+1.5)))</f>
        <v>19</v>
      </c>
      <c r="G23" s="615">
        <f>IF(E11="SMLS",IF(G10&lt;4.01,G10+0.6,IF('Boru Seçim-Kontrol Aracı'!G10&lt;25,'Boru Seçim-Kontrol Aracı'!G10*1.15,'Boru Seçim-Kontrol Aracı'!G10+3.7)),IF('Boru Seçim-Kontrol Aracı'!G10&lt;5.01,'Boru Seçim-Kontrol Aracı'!G10+0.5,IF('Boru Seçim-Kontrol Aracı'!G10&lt;15,'Boru Seçim-Kontrol Aracı'!G10*1.1,'Boru Seçim-Kontrol Aracı'!G10+1.5)))</f>
        <v>22.1</v>
      </c>
      <c r="H23" s="615">
        <f>IF(E11="SMLS",IF(H10&lt;4.01,H10+0.6,IF('Boru Seçim-Kontrol Aracı'!H10&lt;25,'Boru Seçim-Kontrol Aracı'!H10*1.15,'Boru Seçim-Kontrol Aracı'!H10+3.7)),IF('Boru Seçim-Kontrol Aracı'!H10&lt;5.01,'Boru Seçim-Kontrol Aracı'!H10+0.5,IF('Boru Seçim-Kontrol Aracı'!H10&lt;15,'Boru Seçim-Kontrol Aracı'!H10*1.1,'Boru Seçim-Kontrol Aracı'!H10+1.5)))</f>
        <v>23.7</v>
      </c>
      <c r="I23" s="616">
        <f>IF(E11="SMLS",IF(I10&lt;4.01,I10+0.6,IF('Boru Seçim-Kontrol Aracı'!I10&lt;25,'Boru Seçim-Kontrol Aracı'!I10*1.15,'Boru Seçim-Kontrol Aracı'!I10+3.7)),IF('Boru Seçim-Kontrol Aracı'!I10&lt;5.01,'Boru Seçim-Kontrol Aracı'!I10+0.5,IF('Boru Seçim-Kontrol Aracı'!I10&lt;15,'Boru Seçim-Kontrol Aracı'!I10*1.1,'Boru Seçim-Kontrol Aracı'!I10+1.5)))</f>
        <v>25.3</v>
      </c>
      <c r="J23" s="677" t="s">
        <v>324</v>
      </c>
      <c r="K23" s="608">
        <f>IF(J11="SMLS",IF(J10&lt;4.01,J10+0.6,IF('Boru Seçim-Kontrol Aracı'!J10&lt;25,'Boru Seçim-Kontrol Aracı'!J10*1.15,'Boru Seçim-Kontrol Aracı'!J10+3.7)),IF('Boru Seçim-Kontrol Aracı'!J10&lt;5.01,'Boru Seçim-Kontrol Aracı'!J10+0.5,IF('Boru Seçim-Kontrol Aracı'!J10&lt;15,'Boru Seçim-Kontrol Aracı'!J10*1.1,'Boru Seçim-Kontrol Aracı'!J10+1.5)))</f>
        <v>18.16</v>
      </c>
      <c r="L23" s="80"/>
      <c r="AA23" s="119">
        <v>42100</v>
      </c>
      <c r="AB23" s="119"/>
    </row>
    <row r="24" spans="1:31" x14ac:dyDescent="0.2">
      <c r="A24" s="80"/>
      <c r="B24" s="898" t="s">
        <v>133</v>
      </c>
      <c r="C24" s="899"/>
      <c r="D24" s="900"/>
      <c r="E24" s="982">
        <f>VLOOKUP(E12,'Boru SMYS Tablosu'!$B$5:$N$16,3,0)</f>
        <v>65300</v>
      </c>
      <c r="F24" s="932"/>
      <c r="G24" s="932">
        <f>VLOOKUP(E12,'Boru SMYS Tablosu'!$B$5:$N$16,7,0)</f>
        <v>450</v>
      </c>
      <c r="H24" s="933"/>
      <c r="I24" s="934"/>
      <c r="J24" s="670">
        <f>VLOOKUP(J12,'Boru SMYS Tablosu'!$B$5:$N$16,3,0)</f>
        <v>65300</v>
      </c>
      <c r="K24" s="671">
        <f>VLOOKUP(J12,'Boru SMYS Tablosu'!$B$5:$N$16,7,0)</f>
        <v>450</v>
      </c>
      <c r="L24" s="80"/>
      <c r="M24" s="80"/>
      <c r="N24" s="80"/>
      <c r="AA24" s="119">
        <v>46400</v>
      </c>
      <c r="AB24" s="119"/>
    </row>
    <row r="25" spans="1:31" x14ac:dyDescent="0.2">
      <c r="A25" s="80"/>
      <c r="B25" s="907" t="s">
        <v>134</v>
      </c>
      <c r="C25" s="908"/>
      <c r="D25" s="981"/>
      <c r="E25" s="983">
        <f>VLOOKUP(E12,'Boru SMYS Tablosu'!$B$5:$N$16,8,0)</f>
        <v>87000</v>
      </c>
      <c r="F25" s="935"/>
      <c r="G25" s="935">
        <f>VLOOKUP(E12,'Boru SMYS Tablosu'!$B$5:$N$16,9,0)</f>
        <v>600</v>
      </c>
      <c r="H25" s="936"/>
      <c r="I25" s="937"/>
      <c r="J25" s="672">
        <f>VLOOKUP(J12,'Boru SMYS Tablosu'!$B$5:$N$16,8,0)</f>
        <v>87000</v>
      </c>
      <c r="K25" s="673">
        <f>VLOOKUP(J12,'Boru SMYS Tablosu'!$B$5:$N$16,9,0)</f>
        <v>600</v>
      </c>
      <c r="L25" s="80"/>
      <c r="M25" s="80"/>
      <c r="N25" s="80"/>
      <c r="Q25">
        <f>F10*1.25</f>
        <v>21.875</v>
      </c>
      <c r="AA25" s="119">
        <v>52200</v>
      </c>
      <c r="AB25" s="119"/>
    </row>
    <row r="26" spans="1:31" ht="15" customHeight="1" x14ac:dyDescent="0.2">
      <c r="A26" s="80"/>
      <c r="B26" s="907" t="s">
        <v>135</v>
      </c>
      <c r="C26" s="908"/>
      <c r="D26" s="981"/>
      <c r="E26" s="983">
        <f>VLOOKUP(E13,'Boru SMYS Tablosu'!$D$5:$N$16,8,0)</f>
        <v>77600</v>
      </c>
      <c r="F26" s="935"/>
      <c r="G26" s="935">
        <f>VLOOKUP(E13,'Boru SMYS Tablosu'!$D$5:$N$16,9,0)</f>
        <v>535</v>
      </c>
      <c r="H26" s="936"/>
      <c r="I26" s="937"/>
      <c r="J26" s="672">
        <f>VLOOKUP(J13,'Boru SMYS Tablosu'!$D$5:$N$16,8,0)</f>
        <v>77600</v>
      </c>
      <c r="K26" s="673">
        <f>VLOOKUP(J13,'Boru SMYS Tablosu'!$D$5:$N$16,9,0)</f>
        <v>535</v>
      </c>
      <c r="L26" s="80"/>
      <c r="M26" s="80"/>
      <c r="N26" s="80"/>
      <c r="Q26" s="510">
        <f>F10*0.75</f>
        <v>13.125</v>
      </c>
      <c r="AA26" s="119">
        <v>56600</v>
      </c>
      <c r="AB26" s="119"/>
    </row>
    <row r="27" spans="1:31" ht="15.75" customHeight="1" thickBot="1" x14ac:dyDescent="0.25">
      <c r="A27" s="80"/>
      <c r="B27" s="863" t="s">
        <v>136</v>
      </c>
      <c r="C27" s="864"/>
      <c r="D27" s="865"/>
      <c r="E27" s="984">
        <f>VLOOKUP(E13,'Boru SMYS Tablosu'!$D$5:$N$16,10,0)</f>
        <v>110200</v>
      </c>
      <c r="F27" s="985"/>
      <c r="G27" s="985">
        <f>VLOOKUP(E13,'Boru SMYS Tablosu'!$D$5:$N$16,11,0)</f>
        <v>760</v>
      </c>
      <c r="H27" s="1004"/>
      <c r="I27" s="1005"/>
      <c r="J27" s="674">
        <f>VLOOKUP(J13,'Boru SMYS Tablosu'!$D$5:$N$16,10,0)</f>
        <v>110200</v>
      </c>
      <c r="K27" s="675">
        <f>VLOOKUP(J13,'Boru SMYS Tablosu'!$D$5:$N$16,11,0)</f>
        <v>760</v>
      </c>
      <c r="L27" s="80"/>
      <c r="M27" s="80" t="s">
        <v>1457</v>
      </c>
      <c r="N27" s="765" t="s">
        <v>1457</v>
      </c>
      <c r="AA27" s="119">
        <v>60200</v>
      </c>
      <c r="AB27" s="119"/>
    </row>
    <row r="28" spans="1:31" x14ac:dyDescent="0.2">
      <c r="A28" s="80"/>
      <c r="B28" s="898" t="s">
        <v>109</v>
      </c>
      <c r="C28" s="899"/>
      <c r="D28" s="900"/>
      <c r="E28" s="611">
        <f>2*E13*E10/E8/14.50733</f>
        <v>105.60586026561877</v>
      </c>
      <c r="F28" s="612">
        <f>2*E13*F10/E8/14.50733</f>
        <v>129.2379408844985</v>
      </c>
      <c r="G28" s="612">
        <f>2*E13*G10/E8/14.50733</f>
        <v>152.13151898403822</v>
      </c>
      <c r="H28" s="612">
        <f>2*E13*H10/E8/14.50733</f>
        <v>163.94755929347807</v>
      </c>
      <c r="I28" s="613">
        <f>2*E13*I10/E8/14.50733</f>
        <v>175.76359960291794</v>
      </c>
      <c r="J28" s="956">
        <f>2*J13*J10/J8/14.50733</f>
        <v>328.18179330671745</v>
      </c>
      <c r="K28" s="957"/>
      <c r="L28" s="80"/>
      <c r="M28" s="766">
        <f>H28*0.9</f>
        <v>147.55280336413026</v>
      </c>
      <c r="N28" s="766">
        <f>I28*0.9</f>
        <v>158.18723964262614</v>
      </c>
      <c r="AA28" s="119">
        <v>65300</v>
      </c>
      <c r="AB28" s="119"/>
    </row>
    <row r="29" spans="1:31" x14ac:dyDescent="0.2">
      <c r="A29" s="80"/>
      <c r="B29" s="863" t="s">
        <v>309</v>
      </c>
      <c r="C29" s="864"/>
      <c r="D29" s="865"/>
      <c r="E29" s="777">
        <f>IF(E28=0,"YOK",E28-2)</f>
        <v>103.60586026561877</v>
      </c>
      <c r="F29" s="770">
        <f>IF(F28=0,"YOK",F28-2)</f>
        <v>127.2379408844985</v>
      </c>
      <c r="G29" s="770">
        <f>IF(G28=0,"YOK",G28-2)</f>
        <v>150.13151898403822</v>
      </c>
      <c r="H29" s="770">
        <f>IF(H28=0,"YOK",H28-2)</f>
        <v>161.94755929347807</v>
      </c>
      <c r="I29" s="772">
        <f>IF(I28=0,"YOK",I28-2)</f>
        <v>173.76359960291794</v>
      </c>
      <c r="J29" s="896">
        <f>J28-2</f>
        <v>326.18179330671745</v>
      </c>
      <c r="K29" s="897">
        <f>K28-2</f>
        <v>-2</v>
      </c>
      <c r="L29" s="80"/>
      <c r="M29" s="80"/>
      <c r="N29" s="80"/>
      <c r="AA29" s="119">
        <v>70300</v>
      </c>
      <c r="AB29" s="119"/>
    </row>
    <row r="30" spans="1:31" s="510" customFormat="1" x14ac:dyDescent="0.2">
      <c r="A30" s="765"/>
      <c r="B30" s="945" t="s">
        <v>1458</v>
      </c>
      <c r="C30" s="946"/>
      <c r="D30" s="946"/>
      <c r="E30" s="777">
        <f>IF(E12="GRADE B",0.6*2*E13*E10/E8/14.50733,IF(E8&lt;219.2,0.75*2*E13*E10/E8/14.50733,IF(E8&lt;508,0.85*2*E13*E10/E8/14.50733,0.9*2*E13*E10/E8/14.50733)))</f>
        <v>95.045274239056894</v>
      </c>
      <c r="F30" s="770">
        <f>IF(E12="GRADE B",0.6*2*E13*F10/E8/14.50733,IF(E8&lt;219.2,0.75*2*E13*F10/E8/14.50733,IF(E8&lt;508,0.85*2*E13*F10/E8/14.50733,0.9*2*E13*F10/E8/14.50733)))</f>
        <v>116.31414679604865</v>
      </c>
      <c r="G30" s="770">
        <f>IF(E12="GRADE B",0.6*2*E13*G10/E8/14.50733,IF(E8&lt;219.2,0.75*2*E13*G10/E8/14.50733,IF(E8&lt;508,0.85*2*E13*G10/E8/14.50733,0.9*2*E13*G10/E8/14.50733)))</f>
        <v>136.9183670856344</v>
      </c>
      <c r="H30" s="770">
        <f>IF(E12="GRADE B",0.6*2*E13*H10/E8/14.50733,IF(E8&lt;219.2,0.75*2*E13*H10/E8/14.50733,IF(E8&lt;508,0.85*2*E13*H10/E8/14.50733,0.9*2*E13*H10/E8/14.50733)))</f>
        <v>147.55280336413028</v>
      </c>
      <c r="I30" s="772">
        <f>IF(E12="GRADE B",0.6*2*E13*I10/E8/14.50733,IF(E8&lt;219.2,0.75*2*E13*I10/E8/14.50733,IF(E8&lt;508,0.85*2*E13*I10/E8/14.50733,0.9*2*E13*I10/E8/14.50733)))</f>
        <v>158.18723964262614</v>
      </c>
      <c r="J30" s="833">
        <f>IF(E12="GRADE B",0.6*2*J13*J10/J8/14.50733,IF(E8&lt;219.2,0.75*2*J13*J10/J8/14.50733,IF(E8&lt;508,0.85*2*J13*J10/J8/14.50733,0.9*2*J13*J10/J8/14.50733)))</f>
        <v>295.36361397604571</v>
      </c>
      <c r="K30" s="834"/>
      <c r="L30" s="765"/>
      <c r="M30" s="765"/>
      <c r="N30" s="765"/>
      <c r="AA30" s="119"/>
      <c r="AB30" s="119"/>
      <c r="AC30" s="331"/>
      <c r="AD30" s="331"/>
      <c r="AE30" s="331"/>
    </row>
    <row r="31" spans="1:31" s="510" customFormat="1" ht="15.75" thickBot="1" x14ac:dyDescent="0.25">
      <c r="A31" s="765"/>
      <c r="B31" s="860" t="s">
        <v>1459</v>
      </c>
      <c r="C31" s="861"/>
      <c r="D31" s="862"/>
      <c r="E31" s="614"/>
      <c r="F31" s="615"/>
      <c r="G31" s="615"/>
      <c r="H31" s="615"/>
      <c r="I31" s="616"/>
      <c r="J31" s="776"/>
      <c r="K31" s="608"/>
      <c r="L31" s="765"/>
      <c r="M31" s="765"/>
      <c r="N31" s="765"/>
      <c r="AA31" s="119"/>
      <c r="AB31" s="119"/>
      <c r="AC31" s="331"/>
      <c r="AD31" s="331"/>
      <c r="AE31" s="331"/>
    </row>
    <row r="32" spans="1:31" x14ac:dyDescent="0.2">
      <c r="A32" s="80"/>
      <c r="B32" s="917" t="s">
        <v>110</v>
      </c>
      <c r="C32" s="918"/>
      <c r="D32" s="941"/>
      <c r="E32" s="767" t="s">
        <v>112</v>
      </c>
      <c r="F32" s="768">
        <f>IF(D2="BOTAŞ",VLOOKUP(E7,'Boru Kontrol Tablosu BOTAŞ'!B21:T53,16,0),VLOOKUP(E7,'Boru Kontrol Tablosu ASME'!B21:T53,16,0))</f>
        <v>1220.5999999999999</v>
      </c>
      <c r="G32" s="634" t="s">
        <v>113</v>
      </c>
      <c r="H32" s="998">
        <f>IF(D2="BOTAŞ",VLOOKUP(E7,'Boru Kontrol Tablosu BOTAŞ'!B21:T53,18,0),VLOOKUP(E7,'Boru Kontrol Tablosu ASME'!B21:T53,18,0))</f>
        <v>1223</v>
      </c>
      <c r="I32" s="999"/>
      <c r="J32" s="771">
        <f>VLOOKUP(J7,'Boru Kontrol Tablosu ASME'!B21:T53,16,0)</f>
        <v>458.6</v>
      </c>
      <c r="K32" s="769">
        <f>VLOOKUP(J7,'Boru Kontrol Tablosu ASME'!B21:T53,18,0)</f>
        <v>460.2</v>
      </c>
      <c r="L32" s="80"/>
      <c r="M32" s="80"/>
      <c r="N32" s="80"/>
      <c r="AA32" s="119">
        <v>80500</v>
      </c>
      <c r="AB32" s="119"/>
    </row>
    <row r="33" spans="1:31" ht="15.75" thickBot="1" x14ac:dyDescent="0.25">
      <c r="A33" s="80"/>
      <c r="B33" s="863"/>
      <c r="C33" s="864"/>
      <c r="D33" s="865"/>
      <c r="E33" s="784" t="s">
        <v>111</v>
      </c>
      <c r="F33" s="785">
        <f>IF(D2="BOTAŞ",VLOOKUP(E7,'Boru Kontrol Tablosu BOTAŞ'!B21:T53,17,0),VLOOKUP(E7,'Boru Kontrol Tablosu ASME'!B21:T53,17,0))</f>
        <v>1217.4000000000001</v>
      </c>
      <c r="G33" s="786" t="s">
        <v>114</v>
      </c>
      <c r="H33" s="1000">
        <f>IF(D2="BOTAŞ",VLOOKUP(E7,'Boru Kontrol Tablosu BOTAŞ'!B21:T53,19,0),VLOOKUP(E7,'Boru Kontrol Tablosu ASME'!B21:T53,19,0))</f>
        <v>1215</v>
      </c>
      <c r="I33" s="1001"/>
      <c r="J33" s="787">
        <f>VLOOKUP(J7,'Boru Kontrol Tablosu ASME'!B22:T54,17,0)</f>
        <v>455.4</v>
      </c>
      <c r="K33" s="788">
        <f>VLOOKUP(J7,'Boru Kontrol Tablosu ASME'!B21:T53,19,0)</f>
        <v>453.57250000000005</v>
      </c>
      <c r="L33" s="80"/>
      <c r="M33" s="80"/>
      <c r="N33" s="80"/>
      <c r="AA33" s="119">
        <v>90600</v>
      </c>
      <c r="AB33" s="119"/>
    </row>
    <row r="34" spans="1:31" x14ac:dyDescent="0.2">
      <c r="A34" s="80"/>
      <c r="B34" s="898" t="s">
        <v>322</v>
      </c>
      <c r="C34" s="899"/>
      <c r="D34" s="900"/>
      <c r="E34" s="791" t="s">
        <v>112</v>
      </c>
      <c r="F34" s="792">
        <f>F32*3.141592</f>
        <v>3834.6271951999997</v>
      </c>
      <c r="G34" s="793" t="s">
        <v>113</v>
      </c>
      <c r="H34" s="987">
        <f>H32*3.141592</f>
        <v>3842.1670160000003</v>
      </c>
      <c r="I34" s="988"/>
      <c r="J34" s="794">
        <f>J32*3.141592</f>
        <v>1440.7340912000002</v>
      </c>
      <c r="K34" s="795">
        <f>K32*3.141592</f>
        <v>1445.7606384000001</v>
      </c>
      <c r="L34" s="80"/>
      <c r="M34" s="80"/>
      <c r="N34" s="80"/>
      <c r="AA34" s="119">
        <v>100100</v>
      </c>
      <c r="AB34" s="119"/>
    </row>
    <row r="35" spans="1:31" ht="15.75" thickBot="1" x14ac:dyDescent="0.25">
      <c r="A35" s="80"/>
      <c r="B35" s="860"/>
      <c r="C35" s="861"/>
      <c r="D35" s="862"/>
      <c r="E35" s="773" t="s">
        <v>111</v>
      </c>
      <c r="F35" s="774">
        <f>F33*3.141592</f>
        <v>3824.5741008000005</v>
      </c>
      <c r="G35" s="775" t="s">
        <v>114</v>
      </c>
      <c r="H35" s="1002">
        <f>H33*3.141592</f>
        <v>3817.0342800000003</v>
      </c>
      <c r="I35" s="1003"/>
      <c r="J35" s="796">
        <f>J33*3.141592</f>
        <v>1430.6809968</v>
      </c>
      <c r="K35" s="797">
        <f>K33*3.141592</f>
        <v>1424.9397374200003</v>
      </c>
      <c r="L35" s="80"/>
      <c r="M35" s="80"/>
      <c r="N35" s="80"/>
      <c r="AA35" s="119">
        <v>120400</v>
      </c>
      <c r="AB35" s="119"/>
    </row>
    <row r="36" spans="1:31" x14ac:dyDescent="0.2">
      <c r="A36" s="80"/>
      <c r="B36" s="917" t="s">
        <v>116</v>
      </c>
      <c r="C36" s="918"/>
      <c r="D36" s="600" t="s">
        <v>44</v>
      </c>
      <c r="E36" s="789" t="str">
        <f>VLOOKUP(E7,'Boru Kontrol Tablosu ASME'!B21:AI53,25,0)</f>
        <v>Anlaşmaya bağlıdır.</v>
      </c>
      <c r="F36" s="790">
        <f>VLOOKUP(E7,'Boru Kontrol Tablosu ASME'!B21:AI53,27,0)</f>
        <v>6.0949999999999998</v>
      </c>
      <c r="G36" s="790">
        <f>VLOOKUP(E7,'Boru Kontrol Tablosu ASME'!B21:AG53,29,0)</f>
        <v>6.0949999999999998</v>
      </c>
      <c r="H36" s="919">
        <f>VLOOKUP(E7,'Boru Kontrol Tablosu ASME'!B21:AG53,31,0)</f>
        <v>9.1425000000000001</v>
      </c>
      <c r="I36" s="920"/>
      <c r="J36" s="909">
        <f>IF(J8&lt;60.3,0.45,IF(J8&lt;168.4,IF(J8/J10&lt;75,0.015*J8/2,"Anlaşma"),IF(J8&lt;610.1,0.015*J8/2,IF(J8&lt;1422,IF(J8/J10&lt;75,0.01*J8/2,"Anlaşmaya Bağlı")))))</f>
        <v>3.4274999999999998</v>
      </c>
      <c r="K36" s="910"/>
      <c r="L36" s="80"/>
      <c r="M36" s="80"/>
      <c r="N36" s="80"/>
    </row>
    <row r="37" spans="1:31" ht="15.75" thickBot="1" x14ac:dyDescent="0.25">
      <c r="A37" s="80"/>
      <c r="B37" s="860"/>
      <c r="C37" s="861"/>
      <c r="D37" s="599" t="s">
        <v>115</v>
      </c>
      <c r="E37" s="621" t="str">
        <f>VLOOKUP(E7,'Boru Kontrol Tablosu ASME'!B21:AI53,26,0)</f>
        <v>Anlaşmaya bağlıdır.</v>
      </c>
      <c r="F37" s="622">
        <f>VLOOKUP(E7,'Boru Kontrol Tablosu ASME'!B21:AI53,28,0)</f>
        <v>18.285</v>
      </c>
      <c r="G37" s="622">
        <f>VLOOKUP(E7,'Boru Kontrol Tablosu ASME'!B21:AG53,30,0)</f>
        <v>18.285</v>
      </c>
      <c r="H37" s="921">
        <f>VLOOKUP(E7,'Boru Kontrol Tablosu ASME'!B21:AG53,32,0)</f>
        <v>18.285</v>
      </c>
      <c r="I37" s="922"/>
      <c r="J37" s="911">
        <f>IF(J8&lt;60.3,0.6,IF(J8&lt;168.4,IF(J8/J10&lt;75,0.02*J8,"Anlaşmaya Bağlı"),IF(J8&lt;610.1,0.02*J8,IF(J8&lt;1422,IF(J8/J10&lt;75,0.015*J8,"Anlaşmaya Bağlı")))))</f>
        <v>9.14</v>
      </c>
      <c r="K37" s="912"/>
      <c r="L37" s="80"/>
      <c r="M37" s="80"/>
      <c r="N37" s="80"/>
    </row>
    <row r="38" spans="1:31" x14ac:dyDescent="0.2">
      <c r="A38" s="80"/>
      <c r="B38" s="870" t="s">
        <v>312</v>
      </c>
      <c r="C38" s="871"/>
      <c r="D38" s="600" t="s">
        <v>306</v>
      </c>
      <c r="E38" s="623">
        <f>VLOOKUP(E7,'Boru Kontrol Tablosu ASME'!B21:AQ53,36,0)</f>
        <v>23.459704754158476</v>
      </c>
      <c r="F38" s="624">
        <f>VLOOKUP(E7,'Boru Kontrol Tablosu ASME'!B21:AQ53,38,0)</f>
        <v>23.459704754158476</v>
      </c>
      <c r="G38" s="624">
        <f>VLOOKUP(E7,'Boru Kontrol Tablosu ASME'!B21:AQ53,40,0)</f>
        <v>23.459704754158476</v>
      </c>
      <c r="H38" s="624">
        <f>VLOOKUP(E7,'Boru Kontrol Tablosu ASME'!B21:AR53,42,0)</f>
        <v>23.459704754158476</v>
      </c>
      <c r="I38" s="625">
        <f>VLOOKUP(E7,'Boru Kontrol Tablosu ASME'!B21:AS53,44,0)</f>
        <v>23.459704754158476</v>
      </c>
      <c r="J38" s="913">
        <f>1940*(POWER(IF(J10*38&lt;485,ROUND(J10*38,-1),485),0.2))/POWER(K26,0.9)</f>
        <v>23.411631184526453</v>
      </c>
      <c r="K38" s="914"/>
      <c r="L38" s="80"/>
      <c r="M38" s="80"/>
      <c r="N38" s="80"/>
    </row>
    <row r="39" spans="1:31" ht="15.75" thickBot="1" x14ac:dyDescent="0.25">
      <c r="A39" s="80"/>
      <c r="B39" s="872"/>
      <c r="C39" s="873"/>
      <c r="D39" s="601" t="s">
        <v>122</v>
      </c>
      <c r="E39" s="618">
        <v>10</v>
      </c>
      <c r="F39" s="619">
        <v>10</v>
      </c>
      <c r="G39" s="619">
        <v>10</v>
      </c>
      <c r="H39" s="619">
        <v>10</v>
      </c>
      <c r="I39" s="620">
        <v>10</v>
      </c>
      <c r="J39" s="915">
        <v>10</v>
      </c>
      <c r="K39" s="916"/>
      <c r="L39" s="80"/>
      <c r="M39" s="80"/>
      <c r="N39" s="80"/>
    </row>
    <row r="40" spans="1:31" x14ac:dyDescent="0.2">
      <c r="A40" s="80"/>
      <c r="B40" s="898" t="s">
        <v>311</v>
      </c>
      <c r="C40" s="899"/>
      <c r="D40" s="900"/>
      <c r="E40" s="611">
        <f>IF(E11="SAWH",IF(E10&lt;15.01,1.5*0.75,IF(E10&lt;25.01,0.1*0.75*E10,IF(E10&gt;25.01,2.5*0.75,"HATA"))),"Değer Yok")</f>
        <v>1.125</v>
      </c>
      <c r="F40" s="612">
        <f>IF(E11="SAWH",IF(F10&lt;15.01,1.5*0.75,IF(F10&lt;25.01,0.1*0.75*F10,IF(F10&gt;25.01,2.5*0.75,"HATA"))),"Değer Yok")</f>
        <v>1.3125000000000002</v>
      </c>
      <c r="G40" s="612">
        <f>IF(E11="SAWH",IF(G10&lt;15.01,1.5*0.75,IF(G10&lt;25.01,0.1*0.75*G10,IF(G10&gt;25.01,2.5*0.75,"HATA"))),"Değer Yok")</f>
        <v>1.5450000000000004</v>
      </c>
      <c r="H40" s="612">
        <f>IF(E11="SAWH",IF(H10&lt;15.01,1.5*0.75,IF(H10&lt;25.01,0.1*0.75*H10,IF(H10&gt;25.01,2.5*0.75,"HATA"))),"Değer Yok")</f>
        <v>1.6650000000000003</v>
      </c>
      <c r="I40" s="613">
        <f>IF(E11="SAWH",IF(I10&lt;15.01,1.5*0.75,IF(I10&lt;25.01,0.1*0.75*I10,IF(I10&gt;25.01,2.5*0.75,"HATA"))),"Değer Yok")</f>
        <v>1.7850000000000004</v>
      </c>
      <c r="J40" s="901">
        <f>IF(J11="SAWH",IF(J10&lt;15.01,1.5*0.75,IF(J10&lt;25.01,0.1*0.75*J10,IF(J10&gt;25.01,2.5*0.75,"HATA"))),"Değer Yok")</f>
        <v>1.2495000000000003</v>
      </c>
      <c r="K40" s="902"/>
      <c r="L40" s="80"/>
      <c r="M40" s="80"/>
      <c r="N40" s="80"/>
    </row>
    <row r="41" spans="1:31" x14ac:dyDescent="0.2">
      <c r="A41" s="80"/>
      <c r="B41" s="907" t="s">
        <v>313</v>
      </c>
      <c r="C41" s="908"/>
      <c r="D41" s="602" t="s">
        <v>314</v>
      </c>
      <c r="E41" s="626">
        <f>IF(E11="SAWH",IF(E10&lt;13.01,3.5*0.75,3.5*0.75),"Değer Yok")</f>
        <v>2.625</v>
      </c>
      <c r="F41" s="627">
        <f>IF(E11="SAWH",IF(F10&lt;13.01,3.5*0.75,3.5*0.75),"Değer Yok")</f>
        <v>2.625</v>
      </c>
      <c r="G41" s="627">
        <f>IF(E11="SAWH",IF(G10&lt;13.01,3.5*0.75,3.5*0.75),"Değer Yok")</f>
        <v>2.625</v>
      </c>
      <c r="H41" s="627">
        <f>IF(E11="SAWH",IF(H10&lt;13.01,3.5*0.75,3.5*0.75),"Değer Yok")</f>
        <v>2.625</v>
      </c>
      <c r="I41" s="628">
        <f>IF(E11="SAWH",IF(I10&lt;13.01,3.5*0.75,3.5*0.75),"Değer Yok")</f>
        <v>2.625</v>
      </c>
      <c r="J41" s="849">
        <f>IF(J11="SAWH",IF(J10&lt;13.01,3.5*0.75,3.5*0.75),"Değer Yok")</f>
        <v>2.625</v>
      </c>
      <c r="K41" s="850"/>
      <c r="L41" s="80"/>
      <c r="M41" s="80"/>
      <c r="N41" s="80"/>
    </row>
    <row r="42" spans="1:31" ht="15.75" thickBot="1" x14ac:dyDescent="0.25">
      <c r="A42" s="80"/>
      <c r="B42" s="863"/>
      <c r="C42" s="864"/>
      <c r="D42" s="603" t="s">
        <v>315</v>
      </c>
      <c r="E42" s="618">
        <f>IF(E11="SAWH",IF(E10&lt;13.01,3.5*0.75,4.5*0.75),"Değer Yok")</f>
        <v>3.375</v>
      </c>
      <c r="F42" s="619">
        <f>IF(E11="SAWH",IF(F10&lt;13.01,3.5*0.75,4.5*0.75),"Değer Yok")</f>
        <v>3.375</v>
      </c>
      <c r="G42" s="619">
        <f>IF(E11="SAWH",IF(G10&lt;13.01,3.5*0.75,4.5*0.75),"Değer Yok")</f>
        <v>3.375</v>
      </c>
      <c r="H42" s="619">
        <f>IF(E11="SAWH",IF(H10&lt;13.01,3.5*0.75,4.5*0.75),"Değer Yok")</f>
        <v>3.375</v>
      </c>
      <c r="I42" s="620">
        <f>IF(E11="SAWH",IF(I10&lt;13.01,3.5*0.75,4.5*0.75),"Değer Yok")</f>
        <v>3.375</v>
      </c>
      <c r="J42" s="874">
        <f>IF(J11="SAWH",IF(J10&lt;13.01,3.5*0.75,4.5*0.75),"Değer Yok")</f>
        <v>3.375</v>
      </c>
      <c r="K42" s="875" t="str">
        <f>IF(K11="SAWH",IF(K11&lt;13.01,3.5*0.75,4.5*0.75),"Değer Yok")</f>
        <v>Değer Yok</v>
      </c>
      <c r="L42" s="80"/>
      <c r="M42" s="80"/>
      <c r="N42" s="80"/>
    </row>
    <row r="43" spans="1:31" ht="15.75" thickBot="1" x14ac:dyDescent="0.25">
      <c r="A43" s="80"/>
      <c r="B43" s="938" t="s">
        <v>316</v>
      </c>
      <c r="C43" s="939"/>
      <c r="D43" s="940"/>
      <c r="E43" s="629">
        <f>IF(E11="SAWH",IF(E10&lt;20.01,3*0.75,4*0.75),"DEĞER YOK")</f>
        <v>2.25</v>
      </c>
      <c r="F43" s="630">
        <f>IF(E11="SAWH",IF(F10&lt;20.01,3*0.75,4*0.75),"DEĞER YOK")</f>
        <v>2.25</v>
      </c>
      <c r="G43" s="630">
        <f>IF(E11="SAWH",IF(G10&lt;20.01,3*0.75,4*0.75),"DEĞER YOK")</f>
        <v>3</v>
      </c>
      <c r="H43" s="630">
        <f>IF(E11="SAWH",IF(H10&lt;20.01,3*0.75,4*0.75),"DEĞER YOK")</f>
        <v>3</v>
      </c>
      <c r="I43" s="631">
        <f>IF(E11="SAWH",IF(I10&lt;20.01,3*0.75,4*0.75),"DEĞER YOK")</f>
        <v>3</v>
      </c>
      <c r="J43" s="841">
        <f>IF(J11="SAWH",IF(J10&lt;20.01,3*0.75,4*0.75),"DEĞER YOK")</f>
        <v>2.25</v>
      </c>
      <c r="K43" s="842">
        <f>IF(K10&lt;20.01,3*0.75,4*0.75)</f>
        <v>2.25</v>
      </c>
      <c r="L43" s="80"/>
      <c r="M43" s="80"/>
      <c r="N43" s="80"/>
    </row>
    <row r="44" spans="1:31" x14ac:dyDescent="0.2">
      <c r="A44" s="80"/>
      <c r="B44" s="995" t="s">
        <v>120</v>
      </c>
      <c r="C44" s="996"/>
      <c r="D44" s="997"/>
      <c r="E44" s="632" t="s">
        <v>121</v>
      </c>
      <c r="F44" s="633">
        <f>VLOOKUP(E12,'Boru SMYS Tablosu'!B5:G16,5,0)</f>
        <v>60</v>
      </c>
      <c r="G44" s="634" t="s">
        <v>122</v>
      </c>
      <c r="H44" s="884">
        <f>VLOOKUP(E12,'Boru SMYS Tablosu'!B5:G16,6,0)</f>
        <v>45</v>
      </c>
      <c r="I44" s="885"/>
      <c r="J44" s="678">
        <f>VLOOKUP(J12,'Boru SMYS Tablosu'!B5:G16,5,0)</f>
        <v>60</v>
      </c>
      <c r="K44" s="679">
        <f>VLOOKUP(J12,'Boru SMYS Tablosu'!B5:G16,6,0)</f>
        <v>45</v>
      </c>
      <c r="L44" s="80"/>
      <c r="M44" s="80"/>
      <c r="N44" s="80"/>
    </row>
    <row r="45" spans="1:31" s="510" customFormat="1" ht="23.25" x14ac:dyDescent="0.2">
      <c r="A45" s="759"/>
      <c r="B45" s="942" t="s">
        <v>1449</v>
      </c>
      <c r="C45" s="943"/>
      <c r="D45" s="944"/>
      <c r="E45" s="764" t="s">
        <v>1450</v>
      </c>
      <c r="F45" s="760"/>
      <c r="G45" s="761"/>
      <c r="H45" s="762"/>
      <c r="I45" s="763"/>
      <c r="J45" s="757"/>
      <c r="K45" s="758"/>
      <c r="L45" s="759"/>
      <c r="M45" s="759"/>
      <c r="N45" s="759"/>
      <c r="AA45" s="331"/>
      <c r="AB45" s="331"/>
      <c r="AC45" s="331"/>
      <c r="AD45" s="331"/>
      <c r="AE45" s="331"/>
    </row>
    <row r="46" spans="1:31" ht="15.75" thickBot="1" x14ac:dyDescent="0.25">
      <c r="A46" s="80"/>
      <c r="B46" s="863" t="s">
        <v>1466</v>
      </c>
      <c r="C46" s="864"/>
      <c r="D46" s="865"/>
      <c r="E46" s="866">
        <f>VLOOKUP(E12,'Boru SMYS Tablosu'!B5:G16,4,0)</f>
        <v>0.9</v>
      </c>
      <c r="F46" s="867"/>
      <c r="G46" s="867"/>
      <c r="H46" s="868"/>
      <c r="I46" s="869"/>
      <c r="J46" s="915">
        <f>VLOOKUP(J12,'Boru SMYS Tablosu'!B5:G16,4,0)</f>
        <v>0.9</v>
      </c>
      <c r="K46" s="916"/>
      <c r="L46" s="80"/>
      <c r="M46" s="80"/>
      <c r="N46" s="80"/>
    </row>
    <row r="47" spans="1:31" x14ac:dyDescent="0.2">
      <c r="A47" s="80"/>
      <c r="B47" s="898" t="s">
        <v>307</v>
      </c>
      <c r="C47" s="899"/>
      <c r="D47" s="900"/>
      <c r="E47" s="635">
        <f>IF(D2="BOTAŞ",IF(E11="SAWH",12.566*POWER(E8,2)*G24*0.1/(200000*E10),"TEST YOK"),IF(E11="SAWH",12.566*POWER(E8,2)*G24*0.1/(200000*E10),"TEST YOK"))</f>
        <v>293.79942890559448</v>
      </c>
      <c r="F47" s="636">
        <f>IF(E11="SAWH",12.566*POWER(E8,2)*G24*0.1/(200000*F10),"TEST YOK")</f>
        <v>240.0761047628572</v>
      </c>
      <c r="G47" s="636">
        <f>IF(E11="SAWH",12.566*POWER(E8,2)*G24*0.1/(200000*G10),"TEST YOK")</f>
        <v>203.94814725000003</v>
      </c>
      <c r="H47" s="637">
        <f>IF(E11="SAWH",12.566*POWER(E8,2)*G24*0.1/(200000*H10),"TEST YOK")</f>
        <v>189.24918168243246</v>
      </c>
      <c r="I47" s="638">
        <f>IF(E11="SAWH",12.566*POWER(E8,2)*G24*0.1/(200000*I10),"TEST YOK")</f>
        <v>176.52654761974793</v>
      </c>
      <c r="J47" s="880">
        <f>IF(J11="SAWH",12.566*POWER(J8,2)*K24*0.1/(200000*J10),"TEST YOK")</f>
        <v>35.443530621248499</v>
      </c>
      <c r="K47" s="881"/>
      <c r="L47" s="80"/>
      <c r="M47" s="759">
        <f>12.566*POWER(E8,2)*G24*0.1/(200000*G10)</f>
        <v>203.94814725000003</v>
      </c>
      <c r="N47" s="759">
        <f>12.566*POWER(E8,2)*G24*0.1/(200000*H10)</f>
        <v>189.24918168243246</v>
      </c>
    </row>
    <row r="48" spans="1:31" ht="15.75" thickBot="1" x14ac:dyDescent="0.25">
      <c r="A48" s="80"/>
      <c r="B48" s="860" t="s">
        <v>303</v>
      </c>
      <c r="C48" s="861"/>
      <c r="D48" s="862"/>
      <c r="E48" s="639" t="str">
        <f>IF(E8&lt;508,"TEST YOK","Var")</f>
        <v>Var</v>
      </c>
      <c r="F48" s="640" t="str">
        <f>IF(E8&lt;508," TEST YOK","Var")</f>
        <v>Var</v>
      </c>
      <c r="G48" s="640" t="str">
        <f>IF(E8&lt;508,"TEST YOK","Var")</f>
        <v>Var</v>
      </c>
      <c r="H48" s="640" t="str">
        <f>IF(E8&lt;508,"TEST YOK","Var")</f>
        <v>Var</v>
      </c>
      <c r="I48" s="641" t="str">
        <f>IF(E8&lt;508,"TEST YOK","Var")</f>
        <v>Var</v>
      </c>
      <c r="J48" s="876" t="str">
        <f>IF(J8&lt;508,"TEST YOK","Var")</f>
        <v>TEST YOK</v>
      </c>
      <c r="K48" s="877"/>
      <c r="L48" s="80"/>
      <c r="M48" s="80"/>
      <c r="N48" s="80"/>
    </row>
    <row r="49" spans="1:14" ht="15.75" thickBot="1" x14ac:dyDescent="0.25">
      <c r="A49" s="80"/>
      <c r="B49" s="989" t="s">
        <v>304</v>
      </c>
      <c r="C49" s="990"/>
      <c r="D49" s="991"/>
      <c r="E49" s="642" t="s">
        <v>305</v>
      </c>
      <c r="F49" s="643" t="s">
        <v>305</v>
      </c>
      <c r="G49" s="643" t="s">
        <v>305</v>
      </c>
      <c r="H49" s="643" t="s">
        <v>305</v>
      </c>
      <c r="I49" s="644" t="s">
        <v>305</v>
      </c>
      <c r="J49" s="947" t="s">
        <v>305</v>
      </c>
      <c r="K49" s="948"/>
      <c r="L49" s="80"/>
      <c r="M49" s="80"/>
      <c r="N49" s="80"/>
    </row>
    <row r="50" spans="1:14" x14ac:dyDescent="0.2">
      <c r="A50" s="80"/>
      <c r="B50" s="898" t="s">
        <v>301</v>
      </c>
      <c r="C50" s="899"/>
      <c r="D50" s="900"/>
      <c r="E50" s="635">
        <f>IF(E11="SAWH",(1.15*(E8-2*E10)/((VLOOKUP(E12,'Boru SMYS Tablosu'!B3:O16,14,0)*E8/E10)-2*VLOOKUP(E12,'Boru SMYS Tablosu'!B3:O16,14,0)-1))-E10,"TEST YOK")</f>
        <v>153.52798943794795</v>
      </c>
      <c r="F50" s="636">
        <f>IF(E11="SAWH",(1.15*(E8-2*F10)/((VLOOKUP(E12,'Boru SMYS Tablosu'!B3:O16,14,0)*E8/F10)-2*VLOOKUP(E12,'Boru SMYS Tablosu'!B3:O16,14,0)-1))-F10,"TEST YOK")</f>
        <v>193.85355685648392</v>
      </c>
      <c r="G50" s="636">
        <f>IF(E11="SAWH",(1.15*(E8-2*G10)/((VLOOKUP(E12,'Boru SMYS Tablosu'!B3:O16,14,0)*E8/G10)-2*VLOOKUP(E12,'Boru SMYS Tablosu'!B3:O16,14,0)-1))-G10,"TEST YOK")</f>
        <v>235.48107711228178</v>
      </c>
      <c r="H50" s="636">
        <f>IF(E11="SAWH",(1.15*(E8-2*H10)/((VLOOKUP(E12,'Boru SMYS Tablosu'!B3:O16,14,0)*E8/H10)-2*VLOOKUP(E12,'Boru SMYS Tablosu'!B3:O16,14,0)-1))-H10,"TEST YOK")</f>
        <v>258.04165000093445</v>
      </c>
      <c r="I50" s="638">
        <f>IF(E11="SAWH",1.15*(E8-2*I10)/((VLOOKUP(E12,'Boru SMYS Tablosu'!B3:O16,14,0)*E8/I10)-2*VLOOKUP(E12,'Boru SMYS Tablosu'!B3:O16,14,0)-1)-I10, "TEST YOK")</f>
        <v>281.38797951529682</v>
      </c>
      <c r="J50" s="880">
        <f>IF(J11="SAWH",(1.15*(J8-2*J10)/((VLOOKUP(J12,'Boru SMYS Tablosu'!B3:O16,14,0)*J8/J10)-2*VLOOKUP(J12,'Boru SMYS Tablosu'!B3:O16,14,0)-1))-J10,"TEST YOK")</f>
        <v>254.41494857203921</v>
      </c>
      <c r="K50" s="881"/>
      <c r="L50" s="80"/>
      <c r="M50" s="80"/>
      <c r="N50" s="80"/>
    </row>
    <row r="51" spans="1:14" ht="15.75" thickBot="1" x14ac:dyDescent="0.25">
      <c r="A51" s="80"/>
      <c r="B51" s="863" t="s">
        <v>302</v>
      </c>
      <c r="C51" s="864"/>
      <c r="D51" s="865"/>
      <c r="E51" s="645">
        <f t="shared" ref="E51:J51" si="1">IF(E50="TEST YOK","TEST YOK",E50+3.2+2*E10)</f>
        <v>185.32798943794793</v>
      </c>
      <c r="F51" s="646">
        <f t="shared" si="1"/>
        <v>232.05355685648391</v>
      </c>
      <c r="G51" s="646">
        <f t="shared" si="1"/>
        <v>279.88107711228179</v>
      </c>
      <c r="H51" s="647">
        <f t="shared" si="1"/>
        <v>305.64165000093442</v>
      </c>
      <c r="I51" s="648">
        <f t="shared" si="1"/>
        <v>332.18797951529683</v>
      </c>
      <c r="J51" s="874">
        <f t="shared" si="1"/>
        <v>290.93494857203922</v>
      </c>
      <c r="K51" s="875"/>
      <c r="L51" s="80"/>
      <c r="M51" s="80"/>
      <c r="N51" s="80"/>
    </row>
    <row r="52" spans="1:14" ht="27.75" x14ac:dyDescent="0.2">
      <c r="A52" s="80"/>
      <c r="B52" s="1006" t="s">
        <v>318</v>
      </c>
      <c r="C52" s="1007"/>
      <c r="D52" s="604" t="s">
        <v>320</v>
      </c>
      <c r="E52" s="617" t="str">
        <f>IF(E10=0,"YOK",IF(E11="ERW HFW",IF(E13&gt;'Boru SMYS Tablosu'!$D$9,IF(E10&gt;12.69,E8*0.66,E8*0.5),E8*0.5),"TEST YOK"))</f>
        <v>TEST YOK</v>
      </c>
      <c r="F52" s="649" t="str">
        <f>IF(E11="ERW HFW",IF(E13&gt;'Boru SMYS Tablosu'!$D$9,IF(F10&gt;12.69,E8*0.66,E8*0.5),E8*0.5),"TEST YOK")</f>
        <v>TEST YOK</v>
      </c>
      <c r="G52" s="649" t="str">
        <f>IF(E11="ERW HFW",IF(E13&gt;'Boru SMYS Tablosu'!$D$9,IF(G10&gt;12.69,E8*0.66,E8*0.5),E8*0.5),"TEST YOK")</f>
        <v>TEST YOK</v>
      </c>
      <c r="H52" s="649" t="str">
        <f>IF(E11="ERW HFW",IF(E13&gt;'Boru SMYS Tablosu'!$D$9,IF(H10&gt;12.69,E8*0.66,E8*0.5),E8*0.5),"TEST YOK")</f>
        <v>TEST YOK</v>
      </c>
      <c r="I52" s="650" t="str">
        <f>IF(E11="ERW HFW",IF(E13&gt;'Boru SMYS Tablosu'!$D$9,IF(I10&gt;12.69,E8*0.66,E8*0.5),E8*0.5),"TEST YOK")</f>
        <v>TEST YOK</v>
      </c>
      <c r="J52" s="882" t="str">
        <f>IF(J11="ERW HFW",IF(J13&gt;'Boru SMYS Tablosu'!$D$9,IF(J10&gt;12.69,J8*0.66,J8*0.5),J8*0.5),"TEST YOK")</f>
        <v>TEST YOK</v>
      </c>
      <c r="K52" s="883"/>
      <c r="L52" s="80"/>
      <c r="M52" s="80"/>
      <c r="N52" s="80"/>
    </row>
    <row r="53" spans="1:14" ht="27.75" x14ac:dyDescent="0.2">
      <c r="A53" s="80"/>
      <c r="B53" s="1008"/>
      <c r="C53" s="1009"/>
      <c r="D53" s="605" t="s">
        <v>321</v>
      </c>
      <c r="E53" s="626" t="str">
        <f>IF(E10=0,"YOK",IF(E11="ERW HFW",IF(E8/E10&gt;10,E8*0.33,"Soruştur"),"TEST YOK"))</f>
        <v>TEST YOK</v>
      </c>
      <c r="F53" s="627" t="str">
        <f>IF(E11="ERW HFW",IF(E8/F10&gt;10,E8*0.33,"Soruştur"),"TEST YOK")</f>
        <v>TEST YOK</v>
      </c>
      <c r="G53" s="627" t="str">
        <f>IF(E11="ERW HFW",IF(E8/G10&gt;10,E8*0.33,"Soruştur"),"TEST YOK")</f>
        <v>TEST YOK</v>
      </c>
      <c r="H53" s="627" t="str">
        <f>IF(E11="ERW HFW",IF(E8/H10&gt;10,E8*0.33,"Soruştur"),"TEST YOK")</f>
        <v>TEST YOK</v>
      </c>
      <c r="I53" s="628" t="str">
        <f>IF(E11="ERW HFW",IF(E8/I10&gt;10,E8*0.33,"Soruştur"),"BU TEST YOK")</f>
        <v>BU TEST YOK</v>
      </c>
      <c r="J53" s="949" t="str">
        <f>IF(J11="ERW HFW",IF(J8/J10&gt;10,J8*0.33,"Soruştur"),"TEST YOK")</f>
        <v>TEST YOK</v>
      </c>
      <c r="K53" s="950"/>
      <c r="L53" s="80"/>
      <c r="M53" s="80"/>
      <c r="N53" s="80"/>
    </row>
    <row r="54" spans="1:14" ht="39.75" customHeight="1" thickBot="1" x14ac:dyDescent="0.25">
      <c r="A54" s="80"/>
      <c r="B54" s="1010"/>
      <c r="C54" s="1011"/>
      <c r="D54" s="606" t="s">
        <v>319</v>
      </c>
      <c r="E54" s="992" t="str">
        <f>IF(E11="ERW HFW","Düzleştirme testinde karşı duvarlar değdiğinde Laminasyon ve Yanık bulunmayacaktır","TEST YOK")</f>
        <v>TEST YOK</v>
      </c>
      <c r="F54" s="993"/>
      <c r="G54" s="993"/>
      <c r="H54" s="993"/>
      <c r="I54" s="994"/>
      <c r="J54" s="954" t="str">
        <f>IF(J11="ERW HFW","Düzleştirme testinde karşı duvarlar değdiğinde Laminasyon ve Yanık bulunmayacaktır","TEST YOK")</f>
        <v>TEST YOK</v>
      </c>
      <c r="K54" s="955"/>
      <c r="L54" s="80"/>
      <c r="M54" s="80"/>
      <c r="N54" s="80"/>
    </row>
    <row r="55" spans="1:14" x14ac:dyDescent="0.2">
      <c r="A55" s="80"/>
      <c r="B55" s="898" t="s">
        <v>308</v>
      </c>
      <c r="C55" s="899"/>
      <c r="D55" s="900"/>
      <c r="E55" s="986">
        <f>IF(E11="SAWH", E8*0.0015, "Bu Ölçü Yok")</f>
        <v>1.8285</v>
      </c>
      <c r="F55" s="987"/>
      <c r="G55" s="987"/>
      <c r="H55" s="987"/>
      <c r="I55" s="988"/>
      <c r="J55" s="880">
        <f>IF(J11="SAWH", J8*0.0015, "Bu Ölçü Yok")</f>
        <v>0.6855</v>
      </c>
      <c r="K55" s="881"/>
      <c r="L55" s="80"/>
      <c r="M55" s="80"/>
      <c r="N55" s="80"/>
    </row>
    <row r="56" spans="1:14" ht="15.75" thickBot="1" x14ac:dyDescent="0.25">
      <c r="A56" s="80"/>
      <c r="B56" s="863" t="s">
        <v>323</v>
      </c>
      <c r="C56" s="864"/>
      <c r="D56" s="865"/>
      <c r="E56" s="846">
        <v>1.6</v>
      </c>
      <c r="F56" s="847"/>
      <c r="G56" s="847"/>
      <c r="H56" s="847"/>
      <c r="I56" s="848"/>
      <c r="J56" s="905">
        <v>1.6</v>
      </c>
      <c r="K56" s="906"/>
      <c r="L56" s="80"/>
      <c r="M56" s="80"/>
      <c r="N56" s="80"/>
    </row>
    <row r="57" spans="1:14" ht="15.75" thickBot="1" x14ac:dyDescent="0.25">
      <c r="A57" s="80"/>
      <c r="B57" s="938" t="s">
        <v>327</v>
      </c>
      <c r="C57" s="939"/>
      <c r="D57" s="940"/>
      <c r="E57" s="951">
        <f>IF(E11="SAWH",IF(E8*0.2&lt;150,E8*0.2,150),"Değer Yok")</f>
        <v>150</v>
      </c>
      <c r="F57" s="952"/>
      <c r="G57" s="952"/>
      <c r="H57" s="952"/>
      <c r="I57" s="953"/>
      <c r="J57" s="841">
        <f>IF(J11="SAWH",IF(J8*0.2&lt;150,J8*0.2,150),"Değer Yok")</f>
        <v>91.4</v>
      </c>
      <c r="K57" s="842"/>
      <c r="L57" s="80"/>
    </row>
    <row r="58" spans="1:14" ht="15.75" thickBot="1" x14ac:dyDescent="0.25">
      <c r="A58" s="80"/>
      <c r="B58" s="843" t="s">
        <v>310</v>
      </c>
      <c r="C58" s="844"/>
      <c r="D58" s="845"/>
      <c r="E58" s="651" t="str">
        <f>IF(E13&gt;52000,IF(E10&gt;10,"100 C Ön Isıtma","Ön Isıtma Yok"),"Ön Isıtma Yok")</f>
        <v>100 C Ön Isıtma</v>
      </c>
      <c r="F58" s="652" t="str">
        <f>IF(E13&gt;52000,IF(F10&gt;10,"100 C Ön Isıtma","Ön Isıtma Yok"),"Ön Isıtma Yok")</f>
        <v>100 C Ön Isıtma</v>
      </c>
      <c r="G58" s="652" t="str">
        <f>IF(E13&gt;52000,IF(G10&gt;10,"100 C Ön Isıtma","Ön Isıtma Yok"),"Ön Isıtma Yok")</f>
        <v>100 C Ön Isıtma</v>
      </c>
      <c r="H58" s="652" t="str">
        <f>IF(E13&gt;52000,IF(H10&gt;10,"100 C Ön Isıtma","Ön Isıtma Yok"),"Ön Isıtma Yok")</f>
        <v>100 C Ön Isıtma</v>
      </c>
      <c r="I58" s="653" t="str">
        <f>IF(E13&gt;52000,IF(I10&gt;10,"100 C Ön Isıtma","Ön Isıtma Yok"),"Ön Isıtma Yok")</f>
        <v>100 C Ön Isıtma</v>
      </c>
      <c r="J58" s="903" t="str">
        <f>IF(J13&gt;52000,IF(J10&gt;10,"100 C Ön Isıtma","Ön Isıtma Yok"),"Ön Isıtma Yok")</f>
        <v>100 C Ön Isıtma</v>
      </c>
      <c r="K58" s="904"/>
      <c r="L58" s="80"/>
    </row>
    <row r="59" spans="1:14" x14ac:dyDescent="0.2">
      <c r="A59" s="80"/>
      <c r="B59" s="917" t="s">
        <v>123</v>
      </c>
      <c r="C59" s="918"/>
      <c r="D59" s="941"/>
      <c r="E59" s="654">
        <f>E10*0.02466*(E8-E10)</f>
        <v>424.82299860000012</v>
      </c>
      <c r="F59" s="655">
        <f>F10*0.02466*(E8-F10)</f>
        <v>518.50732500000004</v>
      </c>
      <c r="G59" s="655">
        <f>G10*0.02466*(E8-G10)</f>
        <v>608.78240640000013</v>
      </c>
      <c r="H59" s="655">
        <f>H10*0.02466*(E8-H10)</f>
        <v>655.19055360000004</v>
      </c>
      <c r="I59" s="656">
        <f>I10*0.02466*(E8-I10)</f>
        <v>701.47244160000014</v>
      </c>
      <c r="J59" s="878">
        <f>J10*0.02466*(J8-J10)</f>
        <v>180.90734810399999</v>
      </c>
      <c r="K59" s="879"/>
      <c r="L59" s="80"/>
    </row>
    <row r="60" spans="1:14" x14ac:dyDescent="0.2">
      <c r="A60" s="80"/>
      <c r="B60" s="907" t="s">
        <v>124</v>
      </c>
      <c r="C60" s="908"/>
      <c r="D60" s="981"/>
      <c r="E60" s="657">
        <f t="shared" ref="E60:J60" si="2">E59*0.965</f>
        <v>409.9541936490001</v>
      </c>
      <c r="F60" s="658">
        <f t="shared" si="2"/>
        <v>500.35956862500001</v>
      </c>
      <c r="G60" s="658">
        <f t="shared" si="2"/>
        <v>587.47502217600015</v>
      </c>
      <c r="H60" s="658">
        <f t="shared" si="2"/>
        <v>632.25888422399998</v>
      </c>
      <c r="I60" s="659">
        <f t="shared" si="2"/>
        <v>676.92090614400013</v>
      </c>
      <c r="J60" s="849">
        <f t="shared" si="2"/>
        <v>174.57559092035999</v>
      </c>
      <c r="K60" s="850"/>
      <c r="L60" s="80"/>
    </row>
    <row r="61" spans="1:14" ht="15.75" thickBot="1" x14ac:dyDescent="0.25">
      <c r="A61" s="80"/>
      <c r="B61" s="860" t="s">
        <v>125</v>
      </c>
      <c r="C61" s="861"/>
      <c r="D61" s="862"/>
      <c r="E61" s="660">
        <f t="shared" ref="E61:K61" si="3">E59*1.1</f>
        <v>467.30529846000019</v>
      </c>
      <c r="F61" s="661">
        <f t="shared" si="3"/>
        <v>570.35805750000009</v>
      </c>
      <c r="G61" s="661">
        <f t="shared" si="3"/>
        <v>669.66064704000019</v>
      </c>
      <c r="H61" s="661">
        <f t="shared" si="3"/>
        <v>720.70960896000008</v>
      </c>
      <c r="I61" s="662">
        <f t="shared" si="3"/>
        <v>771.61968576000027</v>
      </c>
      <c r="J61" s="856">
        <f t="shared" si="3"/>
        <v>198.99808291440002</v>
      </c>
      <c r="K61" s="857">
        <f t="shared" si="3"/>
        <v>0</v>
      </c>
      <c r="L61" s="80"/>
    </row>
    <row r="62" spans="1:14" ht="20.25" thickBot="1" x14ac:dyDescent="0.4">
      <c r="A62" s="80"/>
      <c r="B62" s="858" t="s">
        <v>515</v>
      </c>
      <c r="C62" s="859"/>
      <c r="D62" s="859"/>
      <c r="E62" s="663">
        <f>75/E28</f>
        <v>0.71018786089484776</v>
      </c>
      <c r="F62" s="664">
        <f>75/F28</f>
        <v>0.58032493775978988</v>
      </c>
      <c r="G62" s="664">
        <f>75/G28</f>
        <v>0.49299448596098661</v>
      </c>
      <c r="H62" s="664">
        <f>75/H28</f>
        <v>0.45746335183767234</v>
      </c>
      <c r="I62" s="665">
        <f>82.5/I28</f>
        <v>0.46938046436453601</v>
      </c>
      <c r="J62" s="851">
        <f>75/J28</f>
        <v>0.22853187327764185</v>
      </c>
      <c r="K62" s="852"/>
      <c r="L62" s="284"/>
    </row>
    <row r="63" spans="1:14" ht="72" customHeight="1" thickBot="1" x14ac:dyDescent="0.25">
      <c r="A63" s="80"/>
      <c r="B63" s="853" t="s">
        <v>604</v>
      </c>
      <c r="C63" s="854"/>
      <c r="D63" s="855"/>
      <c r="E63" s="666" t="str">
        <f>IF(E7&gt;14,IF(E62&gt;40%,"Brittle Fracture Control, API 5L Annex G ye Bakınız","API 5L Annex G işlemine gerek yok"),IF(E62&gt;80%,"Brittle Fracture Control, API 5L Annex G ye Bakınız","API 5L Annex G işlemine gerek yok"))</f>
        <v>Brittle Fracture Control, API 5L Annex G ye Bakınız</v>
      </c>
      <c r="F63" s="667" t="str">
        <f>IF(E7&gt;14,IF(F62&gt;40%,"Brittle Fracture Control, API 5L Annex G ye Bakınız","API 5L Annex G işlemine gerek yok"),IF(F62&gt;80%,"Brittle Fracture Control, API 5L Annex G ye Bakınız","API 5L Annex G işlemine gerek yok"))</f>
        <v>Brittle Fracture Control, API 5L Annex G ye Bakınız</v>
      </c>
      <c r="G63" s="667" t="str">
        <f>IF(E7&gt;14,IF(G62&gt;40%,"Brittle Fracture Control, API 5L Annex G ye Bakınız","API 5L Annex G işlemine gerek yok"),IF(G62&gt;80%,"Brittle Fracture Control, API 5L Annex G ye Bakınız","API 5L Annex G işlemine gerek yok"))</f>
        <v>Brittle Fracture Control, API 5L Annex G ye Bakınız</v>
      </c>
      <c r="H63" s="667" t="str">
        <f>IF(E7&gt;14,IF(H62&gt;40%,"Brittle Fracture Control, API 5L Annex G ye Bakınız","API 5L Annex G işlemine gerek yok"),IF(H62&gt;80%,"Brittle Fracture Control, API 5L Annex G ye Bakınız","API 5L Annex G işlemine gerek yok"))</f>
        <v>Brittle Fracture Control, API 5L Annex G ye Bakınız</v>
      </c>
      <c r="I63" s="668" t="str">
        <f>IF(E7&gt;14,IF(I62&gt;40%,"Brittle Fracture Control, API 5L Annex G ye Bakınız","API 5L Annex G işlemine gerek yok"),IF(I62&gt;80%,"Brittle Fracture Control, API 5L Annex G ye Bakınız","API 5L Annex G işlemine gerek yok"))</f>
        <v>Brittle Fracture Control, API 5L Annex G ye Bakınız</v>
      </c>
      <c r="J63" s="839" t="str">
        <f>IF(J7&gt;14,IF(J62&gt;40%,"Brittle Fracture Control, API 5L Annex G ye Bakınız","API 5L Annex G işlemine gerek yok"),IF(J62&gt;80%,"Brittle Fracture Control, API 5L Annex G ye Bakınız","API 5L Annex G işlemine gerek yok"))</f>
        <v>API 5L Annex G işlemine gerek yok</v>
      </c>
      <c r="K63" s="840"/>
      <c r="L63" s="80"/>
    </row>
    <row r="64" spans="1:14" ht="15.75" thickBot="1" x14ac:dyDescent="0.25">
      <c r="A64" s="80"/>
      <c r="B64" s="835" t="s">
        <v>54</v>
      </c>
      <c r="C64" s="836"/>
      <c r="D64" s="836"/>
      <c r="E64" s="669">
        <f>$E$8/E10</f>
        <v>85.24475524475524</v>
      </c>
      <c r="F64" s="669">
        <f>$E$8/F10</f>
        <v>69.657142857142858</v>
      </c>
      <c r="G64" s="669">
        <f>$E$8/G10</f>
        <v>59.174757281553397</v>
      </c>
      <c r="H64" s="669">
        <f>$E$8/H10</f>
        <v>54.909909909909913</v>
      </c>
      <c r="I64" s="669">
        <f>$E$8/I10</f>
        <v>51.218487394957982</v>
      </c>
      <c r="J64" s="837">
        <f>J8/J10</f>
        <v>27.430972388955581</v>
      </c>
      <c r="K64" s="838"/>
      <c r="L64" s="80"/>
    </row>
    <row r="65" spans="1:12" ht="14.45" customHeight="1" x14ac:dyDescent="0.2">
      <c r="A65" s="80"/>
      <c r="B65" s="829" t="s">
        <v>1473</v>
      </c>
      <c r="C65" s="829"/>
      <c r="D65" s="829"/>
      <c r="E65" s="831" t="str">
        <f>IF(E64&lt;30,"Alternatif  Basınç Dizayn Hesabı Kullanılabilir", "Normal Basınç Dizayn Hesabı")</f>
        <v>Normal Basınç Dizayn Hesabı</v>
      </c>
      <c r="F65" s="831" t="str">
        <f t="shared" ref="F65:I65" si="4">IF(F64&lt;30,"Alternatif  Basınç Dizayn Hesabı Kullanılabilir", "Normal Basınç Dizayn Hesabı")</f>
        <v>Normal Basınç Dizayn Hesabı</v>
      </c>
      <c r="G65" s="831" t="str">
        <f t="shared" si="4"/>
        <v>Normal Basınç Dizayn Hesabı</v>
      </c>
      <c r="H65" s="831" t="str">
        <f t="shared" si="4"/>
        <v>Normal Basınç Dizayn Hesabı</v>
      </c>
      <c r="I65" s="831" t="str">
        <f t="shared" si="4"/>
        <v>Normal Basınç Dizayn Hesabı</v>
      </c>
      <c r="J65" s="832" t="str">
        <f>IF(J64&lt;30,"Alternatif  Basınç Dizayn Hesabı Kullanılabilir", "Normal Basınç Dizyn Hesabı")</f>
        <v>Alternatif  Basınç Dizayn Hesabı Kullanılabilir</v>
      </c>
      <c r="K65" s="832"/>
      <c r="L65" s="80"/>
    </row>
    <row r="66" spans="1:12" x14ac:dyDescent="0.2">
      <c r="A66" s="80"/>
      <c r="B66" s="830"/>
      <c r="C66" s="830"/>
      <c r="D66" s="830"/>
      <c r="E66" s="831"/>
      <c r="F66" s="831"/>
      <c r="G66" s="831"/>
      <c r="H66" s="831"/>
      <c r="I66" s="831"/>
      <c r="J66" s="832"/>
      <c r="K66" s="832"/>
      <c r="L66" s="80"/>
    </row>
    <row r="67" spans="1:12" x14ac:dyDescent="0.2">
      <c r="A67" s="80"/>
      <c r="B67" s="828" t="s">
        <v>1474</v>
      </c>
      <c r="C67" s="828"/>
      <c r="D67" s="828"/>
      <c r="E67" s="80" t="str">
        <f>IF(E65="Alternatif  Basınç Dizayn Hesabı Kullanılabilir",E3*0.72,"Hesaplamaya Gerek Yok")</f>
        <v>Hesaplamaya Gerek Yok</v>
      </c>
      <c r="F67" s="782" t="str">
        <f t="shared" ref="F67:K67" si="5">IF(F65="Alternatif  Basınç Dizayn Hesabı Kullanılabilir",F3*0.72,"Hesaplamaya Gerek Yok")</f>
        <v>Hesaplamaya Gerek Yok</v>
      </c>
      <c r="G67" s="782" t="str">
        <f t="shared" si="5"/>
        <v>Hesaplamaya Gerek Yok</v>
      </c>
      <c r="H67" s="782" t="str">
        <f t="shared" si="5"/>
        <v>Hesaplamaya Gerek Yok</v>
      </c>
      <c r="I67" s="782" t="str">
        <f t="shared" si="5"/>
        <v>Hesaplamaya Gerek Yok</v>
      </c>
      <c r="J67" s="828">
        <f>IF(J65="Alternatif  Basınç Dizayn Hesabı Kullanılabilir",2*J13*J10/(J8-J10)/14.50733*J9,"Hesaplamaya Gerek Yok")</f>
        <v>245.23081543725831</v>
      </c>
      <c r="K67" s="828"/>
      <c r="L67" s="80"/>
    </row>
    <row r="68" spans="1:12" x14ac:dyDescent="0.2">
      <c r="A68" s="80"/>
      <c r="B68" s="80"/>
      <c r="C68" s="80"/>
      <c r="D68" s="80"/>
      <c r="E68" s="80"/>
      <c r="F68" s="80"/>
      <c r="G68" s="80"/>
      <c r="H68" s="80"/>
      <c r="I68" s="80"/>
      <c r="J68" s="80"/>
      <c r="K68" s="80"/>
      <c r="L68" s="80"/>
    </row>
    <row r="69" spans="1:12" x14ac:dyDescent="0.2">
      <c r="A69" s="80"/>
      <c r="B69" s="80"/>
      <c r="C69" s="80"/>
      <c r="D69" s="80"/>
      <c r="E69" s="80"/>
      <c r="F69" s="80"/>
      <c r="G69" s="80"/>
      <c r="H69" s="80"/>
      <c r="I69" s="80"/>
      <c r="J69" s="80"/>
      <c r="K69" s="80"/>
      <c r="L69" s="80"/>
    </row>
    <row r="71" spans="1:12" x14ac:dyDescent="0.2">
      <c r="E71">
        <f>E62/0.72</f>
        <v>0.98637202902062193</v>
      </c>
    </row>
  </sheetData>
  <mergeCells count="138">
    <mergeCell ref="A2:C2"/>
    <mergeCell ref="S2:S5"/>
    <mergeCell ref="J5:K5"/>
    <mergeCell ref="J4:K4"/>
    <mergeCell ref="H18:I18"/>
    <mergeCell ref="H19:I19"/>
    <mergeCell ref="H20:I20"/>
    <mergeCell ref="H21:I21"/>
    <mergeCell ref="J9:K9"/>
    <mergeCell ref="B9:D9"/>
    <mergeCell ref="H14:I14"/>
    <mergeCell ref="H15:I15"/>
    <mergeCell ref="H16:I16"/>
    <mergeCell ref="H17:I17"/>
    <mergeCell ref="B8:D8"/>
    <mergeCell ref="B10:D10"/>
    <mergeCell ref="J12:K12"/>
    <mergeCell ref="E8:I8"/>
    <mergeCell ref="E13:I13"/>
    <mergeCell ref="E12:I12"/>
    <mergeCell ref="J8:K8"/>
    <mergeCell ref="J10:K10"/>
    <mergeCell ref="J13:K13"/>
    <mergeCell ref="J11:K11"/>
    <mergeCell ref="B59:D59"/>
    <mergeCell ref="B60:D60"/>
    <mergeCell ref="E24:F24"/>
    <mergeCell ref="E25:F25"/>
    <mergeCell ref="E26:F26"/>
    <mergeCell ref="E27:F27"/>
    <mergeCell ref="E55:I55"/>
    <mergeCell ref="B43:D43"/>
    <mergeCell ref="B48:D48"/>
    <mergeCell ref="B49:D49"/>
    <mergeCell ref="E54:I54"/>
    <mergeCell ref="B44:D44"/>
    <mergeCell ref="H32:I32"/>
    <mergeCell ref="H33:I33"/>
    <mergeCell ref="H34:I34"/>
    <mergeCell ref="H35:I35"/>
    <mergeCell ref="B28:D28"/>
    <mergeCell ref="G27:I27"/>
    <mergeCell ref="B24:D24"/>
    <mergeCell ref="B25:D25"/>
    <mergeCell ref="B26:D26"/>
    <mergeCell ref="B27:D27"/>
    <mergeCell ref="B29:D29"/>
    <mergeCell ref="B52:C54"/>
    <mergeCell ref="J49:K49"/>
    <mergeCell ref="J43:K43"/>
    <mergeCell ref="J53:K53"/>
    <mergeCell ref="E57:I57"/>
    <mergeCell ref="J54:K54"/>
    <mergeCell ref="J28:K28"/>
    <mergeCell ref="E6:I6"/>
    <mergeCell ref="J6:K6"/>
    <mergeCell ref="B7:D7"/>
    <mergeCell ref="E7:I7"/>
    <mergeCell ref="J7:K7"/>
    <mergeCell ref="B6:D6"/>
    <mergeCell ref="E16:F16"/>
    <mergeCell ref="B12:D12"/>
    <mergeCell ref="B13:D13"/>
    <mergeCell ref="E15:F15"/>
    <mergeCell ref="E18:F18"/>
    <mergeCell ref="E19:F19"/>
    <mergeCell ref="E20:F20"/>
    <mergeCell ref="E21:F21"/>
    <mergeCell ref="E11:I11"/>
    <mergeCell ref="B11:D11"/>
    <mergeCell ref="E14:F14"/>
    <mergeCell ref="E17:F17"/>
    <mergeCell ref="B34:D35"/>
    <mergeCell ref="B56:D56"/>
    <mergeCell ref="B47:D47"/>
    <mergeCell ref="B57:D57"/>
    <mergeCell ref="B55:D55"/>
    <mergeCell ref="B32:D33"/>
    <mergeCell ref="B45:D45"/>
    <mergeCell ref="B31:D31"/>
    <mergeCell ref="B30:D30"/>
    <mergeCell ref="E1:J2"/>
    <mergeCell ref="B22:C23"/>
    <mergeCell ref="J29:K29"/>
    <mergeCell ref="B40:D40"/>
    <mergeCell ref="J40:K40"/>
    <mergeCell ref="J58:K58"/>
    <mergeCell ref="J56:K56"/>
    <mergeCell ref="B41:C42"/>
    <mergeCell ref="J36:K36"/>
    <mergeCell ref="J37:K37"/>
    <mergeCell ref="J38:K38"/>
    <mergeCell ref="J39:K39"/>
    <mergeCell ref="B36:C37"/>
    <mergeCell ref="H36:I36"/>
    <mergeCell ref="H37:I37"/>
    <mergeCell ref="J42:K42"/>
    <mergeCell ref="J50:K50"/>
    <mergeCell ref="B14:D21"/>
    <mergeCell ref="B50:D50"/>
    <mergeCell ref="B51:D51"/>
    <mergeCell ref="J46:K46"/>
    <mergeCell ref="G24:I24"/>
    <mergeCell ref="G25:I25"/>
    <mergeCell ref="G26:I26"/>
    <mergeCell ref="J30:K30"/>
    <mergeCell ref="B64:D64"/>
    <mergeCell ref="J64:K64"/>
    <mergeCell ref="J63:K63"/>
    <mergeCell ref="J57:K57"/>
    <mergeCell ref="B58:D58"/>
    <mergeCell ref="E56:I56"/>
    <mergeCell ref="J60:K60"/>
    <mergeCell ref="J62:K62"/>
    <mergeCell ref="B63:D63"/>
    <mergeCell ref="J61:K61"/>
    <mergeCell ref="B62:D62"/>
    <mergeCell ref="B61:D61"/>
    <mergeCell ref="B46:D46"/>
    <mergeCell ref="E46:I46"/>
    <mergeCell ref="B38:C39"/>
    <mergeCell ref="J51:K51"/>
    <mergeCell ref="J48:K48"/>
    <mergeCell ref="J59:K59"/>
    <mergeCell ref="J47:K47"/>
    <mergeCell ref="J55:K55"/>
    <mergeCell ref="J52:K52"/>
    <mergeCell ref="J41:K41"/>
    <mergeCell ref="H44:I44"/>
    <mergeCell ref="B67:D67"/>
    <mergeCell ref="J67:K67"/>
    <mergeCell ref="B65:D66"/>
    <mergeCell ref="E65:E66"/>
    <mergeCell ref="F65:F66"/>
    <mergeCell ref="G65:G66"/>
    <mergeCell ref="H65:H66"/>
    <mergeCell ref="I65:I66"/>
    <mergeCell ref="J65:K66"/>
  </mergeCells>
  <conditionalFormatting sqref="E63">
    <cfRule type="expression" dxfId="8" priority="1">
      <formula>"""Brittle Fracture Control, API 5L Annex G ye Bakınız"""</formula>
    </cfRule>
  </conditionalFormatting>
  <conditionalFormatting sqref="F63">
    <cfRule type="cellIs" dxfId="7" priority="2" operator="equal">
      <formula>"""Brittle Fracture Control, API 5L Annex G ye Bakınız"""</formula>
    </cfRule>
  </conditionalFormatting>
  <dataValidations count="2">
    <dataValidation type="list" allowBlank="1" showInputMessage="1" showErrorMessage="1" sqref="D2" xr:uid="{00000000-0002-0000-0100-000000000000}">
      <formula1>$T$1:$T$2</formula1>
    </dataValidation>
    <dataValidation type="list" allowBlank="1" showInputMessage="1" showErrorMessage="1" sqref="J9:K9" xr:uid="{00000000-0002-0000-0100-000001000000}">
      <formula1>$AF$2:$AF$6</formula1>
    </dataValidation>
  </dataValidations>
  <pageMargins left="0.7" right="0.7" top="0.75" bottom="0.75" header="0.3" footer="0.3"/>
  <pageSetup paperSize="9" orientation="portrait" r:id="rId1"/>
  <ignoredErrors>
    <ignoredError sqref="I62" formula="1"/>
  </ignoredErrors>
  <drawing r:id="rId2"/>
  <tableParts count="1">
    <tablePart r:id="rId3"/>
  </tableParts>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100-000002000000}">
          <x14:formula1>
            <xm:f>'Boru SMYS Tablosu'!$B$5:$B$16</xm:f>
          </x14:formula1>
          <xm:sqref>J12:K12</xm:sqref>
        </x14:dataValidation>
        <x14:dataValidation type="list" allowBlank="1" showInputMessage="1" showErrorMessage="1" xr:uid="{00000000-0002-0000-0100-000003000000}">
          <x14:formula1>
            <xm:f>'Boru Kontrol Tablosu ASME'!$B$2:$B$6</xm:f>
          </x14:formula1>
          <xm:sqref>J11:K11</xm:sqref>
        </x14:dataValidation>
        <x14:dataValidation type="list" allowBlank="1" showInputMessage="1" showErrorMessage="1" xr:uid="{00000000-0002-0000-0100-000004000000}">
          <x14:formula1>
            <xm:f>'Boru Kontrol Tablosu ASME'!$B$21:$B$52</xm:f>
          </x14:formula1>
          <xm:sqref>J7:K7</xm:sqref>
        </x14:dataValidation>
        <x14:dataValidation type="list" allowBlank="1" showInputMessage="1" showErrorMessage="1" xr:uid="{00000000-0002-0000-0100-000005000000}">
          <x14:formula1>
            <xm:f>'Boru Kontrol Tablosu ASME'!$B$21:$B$53</xm:f>
          </x14:formula1>
          <xm:sqref>E7:I7</xm:sqref>
        </x14:dataValidation>
        <x14:dataValidation type="list" allowBlank="1" showInputMessage="1" showErrorMessage="1" xr:uid="{00000000-0002-0000-0100-000006000000}">
          <x14:formula1>
            <xm:f>'ASME B36.10'!$AV$51:$AV$168</xm:f>
          </x14:formula1>
          <xm:sqref>J10:K10</xm:sqref>
        </x14:dataValidation>
        <x14:dataValidation type="list" allowBlank="1" showInputMessage="1" showErrorMessage="1" xr:uid="{00000000-0002-0000-0100-000007000000}">
          <x14:formula1>
            <xm:f>'Boru Kontrol Tablosu ASME'!$C$21:$C$53</xm:f>
          </x14:formula1>
          <xm:sqref>AA4:AA5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ublished="0" codeName="Sayfa3"/>
  <dimension ref="B1:O17"/>
  <sheetViews>
    <sheetView workbookViewId="0">
      <selection activeCell="E28" sqref="E28"/>
    </sheetView>
  </sheetViews>
  <sheetFormatPr defaultRowHeight="15" x14ac:dyDescent="0.2"/>
  <cols>
    <col min="2" max="2" width="10.89453125" customWidth="1"/>
    <col min="4" max="4" width="9.68359375" customWidth="1"/>
    <col min="5" max="5" width="12.64453125" bestFit="1" customWidth="1"/>
    <col min="6" max="6" width="12.375" customWidth="1"/>
    <col min="7" max="13" width="12.10546875" customWidth="1"/>
  </cols>
  <sheetData>
    <row r="1" spans="2:15" ht="15.75" thickBot="1" x14ac:dyDescent="0.25"/>
    <row r="2" spans="2:15" ht="15.75" thickBot="1" x14ac:dyDescent="0.25">
      <c r="B2" s="34" t="s">
        <v>80</v>
      </c>
    </row>
    <row r="3" spans="2:15" ht="29.25" customHeight="1" thickBot="1" x14ac:dyDescent="0.25">
      <c r="B3" s="68" t="s">
        <v>81</v>
      </c>
      <c r="C3" s="69" t="s">
        <v>82</v>
      </c>
      <c r="D3" s="69" t="s">
        <v>83</v>
      </c>
      <c r="E3" s="69" t="s">
        <v>117</v>
      </c>
      <c r="F3" s="69" t="s">
        <v>118</v>
      </c>
      <c r="G3" s="69" t="s">
        <v>119</v>
      </c>
      <c r="H3" s="69" t="s">
        <v>130</v>
      </c>
      <c r="I3" s="69" t="s">
        <v>126</v>
      </c>
      <c r="J3" s="69" t="s">
        <v>127</v>
      </c>
      <c r="K3" s="69" t="s">
        <v>128</v>
      </c>
      <c r="L3" s="69" t="s">
        <v>129</v>
      </c>
      <c r="M3" s="69" t="s">
        <v>131</v>
      </c>
      <c r="N3" s="69" t="s">
        <v>132</v>
      </c>
      <c r="O3" s="70" t="s">
        <v>300</v>
      </c>
    </row>
    <row r="4" spans="2:15" s="286" customFormat="1" x14ac:dyDescent="0.2">
      <c r="B4" s="65" t="s">
        <v>1282</v>
      </c>
      <c r="C4" s="66" t="s">
        <v>1283</v>
      </c>
      <c r="D4" s="66">
        <v>30500</v>
      </c>
      <c r="E4" s="495"/>
      <c r="F4" s="495"/>
      <c r="G4" s="495"/>
      <c r="H4" s="67">
        <v>210</v>
      </c>
      <c r="I4" s="495"/>
      <c r="J4" s="495"/>
      <c r="K4" s="495"/>
      <c r="L4" s="495"/>
      <c r="M4" s="495"/>
      <c r="N4" s="495"/>
      <c r="O4" s="496"/>
    </row>
    <row r="5" spans="2:15" x14ac:dyDescent="0.2">
      <c r="B5" s="65" t="s">
        <v>84</v>
      </c>
      <c r="C5" s="66" t="s">
        <v>85</v>
      </c>
      <c r="D5" s="66">
        <v>35500</v>
      </c>
      <c r="E5" s="67">
        <v>0.8</v>
      </c>
      <c r="F5" s="67">
        <v>27</v>
      </c>
      <c r="G5" s="67">
        <v>27</v>
      </c>
      <c r="H5" s="67">
        <v>245</v>
      </c>
      <c r="I5" s="120">
        <v>65300</v>
      </c>
      <c r="J5" s="120">
        <v>450</v>
      </c>
      <c r="K5" s="120">
        <v>60200</v>
      </c>
      <c r="L5" s="120">
        <v>415</v>
      </c>
      <c r="M5" s="120">
        <v>95000</v>
      </c>
      <c r="N5" s="120">
        <v>655</v>
      </c>
      <c r="O5" s="121">
        <v>0.13750000000000001</v>
      </c>
    </row>
    <row r="6" spans="2:15" x14ac:dyDescent="0.2">
      <c r="B6" s="35" t="s">
        <v>15</v>
      </c>
      <c r="C6" s="36" t="s">
        <v>86</v>
      </c>
      <c r="D6" s="36">
        <v>42100</v>
      </c>
      <c r="E6" s="2">
        <v>0.85</v>
      </c>
      <c r="F6" s="2">
        <v>27</v>
      </c>
      <c r="G6" s="2">
        <v>27</v>
      </c>
      <c r="H6" s="2">
        <v>290</v>
      </c>
      <c r="I6" s="72">
        <v>71800</v>
      </c>
      <c r="J6" s="72">
        <v>495</v>
      </c>
      <c r="K6" s="72">
        <v>60200</v>
      </c>
      <c r="L6" s="72">
        <v>415</v>
      </c>
      <c r="M6" s="72">
        <v>95000</v>
      </c>
      <c r="N6" s="72">
        <v>655</v>
      </c>
      <c r="O6" s="73">
        <v>0.13750000000000001</v>
      </c>
    </row>
    <row r="7" spans="2:15" x14ac:dyDescent="0.2">
      <c r="B7" s="35" t="s">
        <v>18</v>
      </c>
      <c r="C7" s="37" t="s">
        <v>87</v>
      </c>
      <c r="D7" s="37">
        <v>46400</v>
      </c>
      <c r="E7" s="2">
        <v>0.85</v>
      </c>
      <c r="F7" s="2">
        <v>48</v>
      </c>
      <c r="G7" s="2">
        <v>36</v>
      </c>
      <c r="H7" s="2">
        <v>320</v>
      </c>
      <c r="I7" s="72">
        <v>76100</v>
      </c>
      <c r="J7" s="72">
        <v>525</v>
      </c>
      <c r="K7" s="72">
        <v>63100</v>
      </c>
      <c r="L7" s="72">
        <v>435</v>
      </c>
      <c r="M7" s="72">
        <v>95000</v>
      </c>
      <c r="N7" s="72">
        <v>655</v>
      </c>
      <c r="O7" s="73">
        <v>0.13250000000000001</v>
      </c>
    </row>
    <row r="8" spans="2:15" x14ac:dyDescent="0.2">
      <c r="B8" s="35" t="s">
        <v>20</v>
      </c>
      <c r="C8" s="37" t="s">
        <v>88</v>
      </c>
      <c r="D8" s="37">
        <v>52200</v>
      </c>
      <c r="E8" s="2">
        <v>0.87</v>
      </c>
      <c r="F8" s="2">
        <v>48</v>
      </c>
      <c r="G8" s="2">
        <v>36</v>
      </c>
      <c r="H8" s="2">
        <v>360</v>
      </c>
      <c r="I8" s="72">
        <v>76900</v>
      </c>
      <c r="J8" s="72">
        <v>530</v>
      </c>
      <c r="K8" s="72">
        <v>66700</v>
      </c>
      <c r="L8" s="72">
        <v>460</v>
      </c>
      <c r="M8" s="72">
        <v>110200</v>
      </c>
      <c r="N8" s="72">
        <v>760</v>
      </c>
      <c r="O8" s="73">
        <v>0.125</v>
      </c>
    </row>
    <row r="9" spans="2:15" x14ac:dyDescent="0.2">
      <c r="B9" s="35" t="s">
        <v>89</v>
      </c>
      <c r="C9" s="36" t="s">
        <v>90</v>
      </c>
      <c r="D9" s="36">
        <v>56600</v>
      </c>
      <c r="E9" s="2">
        <v>0.87</v>
      </c>
      <c r="F9" s="2">
        <v>48</v>
      </c>
      <c r="G9" s="2">
        <v>36</v>
      </c>
      <c r="H9" s="2">
        <v>390</v>
      </c>
      <c r="I9" s="72">
        <v>79000</v>
      </c>
      <c r="J9" s="72">
        <v>545</v>
      </c>
      <c r="K9" s="72">
        <v>71100</v>
      </c>
      <c r="L9" s="72">
        <v>490</v>
      </c>
      <c r="M9" s="72">
        <v>110200</v>
      </c>
      <c r="N9" s="72">
        <v>760</v>
      </c>
      <c r="O9" s="73">
        <v>0.11749999999999999</v>
      </c>
    </row>
    <row r="10" spans="2:15" x14ac:dyDescent="0.2">
      <c r="B10" s="35" t="s">
        <v>23</v>
      </c>
      <c r="C10" s="37" t="s">
        <v>91</v>
      </c>
      <c r="D10" s="37">
        <v>60200</v>
      </c>
      <c r="E10" s="2">
        <v>0.9</v>
      </c>
      <c r="F10" s="2">
        <v>60</v>
      </c>
      <c r="G10" s="2">
        <v>45</v>
      </c>
      <c r="H10" s="2">
        <v>415</v>
      </c>
      <c r="I10" s="72">
        <v>81900</v>
      </c>
      <c r="J10" s="72">
        <v>565</v>
      </c>
      <c r="K10" s="72">
        <v>75400</v>
      </c>
      <c r="L10" s="72">
        <v>520</v>
      </c>
      <c r="M10" s="72">
        <v>110200</v>
      </c>
      <c r="N10" s="72">
        <v>760</v>
      </c>
      <c r="O10" s="73">
        <v>0.1125</v>
      </c>
    </row>
    <row r="11" spans="2:15" x14ac:dyDescent="0.2">
      <c r="B11" s="35" t="s">
        <v>25</v>
      </c>
      <c r="C11" s="37" t="s">
        <v>92</v>
      </c>
      <c r="D11" s="37">
        <v>65300</v>
      </c>
      <c r="E11" s="2">
        <v>0.9</v>
      </c>
      <c r="F11" s="2">
        <v>60</v>
      </c>
      <c r="G11" s="2">
        <v>45</v>
      </c>
      <c r="H11" s="2">
        <v>450</v>
      </c>
      <c r="I11" s="72">
        <v>87000</v>
      </c>
      <c r="J11" s="72">
        <v>600</v>
      </c>
      <c r="K11" s="72">
        <v>77600</v>
      </c>
      <c r="L11" s="72">
        <v>535</v>
      </c>
      <c r="M11" s="72">
        <v>110200</v>
      </c>
      <c r="N11" s="72">
        <v>760</v>
      </c>
      <c r="O11" s="73">
        <v>0.11</v>
      </c>
    </row>
    <row r="12" spans="2:15" x14ac:dyDescent="0.2">
      <c r="B12" s="35" t="s">
        <v>93</v>
      </c>
      <c r="C12" s="36" t="s">
        <v>94</v>
      </c>
      <c r="D12" s="36">
        <v>70300</v>
      </c>
      <c r="E12" s="2">
        <v>0.93</v>
      </c>
      <c r="F12" s="2">
        <v>60</v>
      </c>
      <c r="G12" s="2">
        <v>45</v>
      </c>
      <c r="H12" s="2">
        <v>485</v>
      </c>
      <c r="I12" s="72">
        <v>92100</v>
      </c>
      <c r="J12" s="72">
        <v>635</v>
      </c>
      <c r="K12" s="72">
        <v>82700</v>
      </c>
      <c r="L12" s="72">
        <v>570</v>
      </c>
      <c r="M12" s="72">
        <v>110200</v>
      </c>
      <c r="N12" s="72">
        <v>760</v>
      </c>
      <c r="O12" s="73">
        <v>0.10249999999999999</v>
      </c>
    </row>
    <row r="13" spans="2:15" x14ac:dyDescent="0.2">
      <c r="B13" s="35" t="s">
        <v>95</v>
      </c>
      <c r="C13" s="37" t="s">
        <v>96</v>
      </c>
      <c r="D13" s="37">
        <v>80500</v>
      </c>
      <c r="E13" s="2">
        <v>0.93</v>
      </c>
      <c r="F13" s="2">
        <v>90</v>
      </c>
      <c r="G13" s="2">
        <v>68</v>
      </c>
      <c r="H13" s="2">
        <v>555</v>
      </c>
      <c r="I13" s="72">
        <v>102300</v>
      </c>
      <c r="J13" s="72">
        <v>705</v>
      </c>
      <c r="K13" s="72">
        <v>90600</v>
      </c>
      <c r="L13" s="72">
        <v>625</v>
      </c>
      <c r="M13" s="72">
        <v>119700</v>
      </c>
      <c r="N13" s="72">
        <v>825</v>
      </c>
      <c r="O13" s="73">
        <v>9.5000000000000001E-2</v>
      </c>
    </row>
    <row r="14" spans="2:15" x14ac:dyDescent="0.2">
      <c r="B14" s="35" t="s">
        <v>97</v>
      </c>
      <c r="C14" s="38" t="s">
        <v>98</v>
      </c>
      <c r="D14" s="38">
        <v>90600</v>
      </c>
      <c r="E14" s="2">
        <v>0.95</v>
      </c>
      <c r="F14" s="2"/>
      <c r="G14" s="2"/>
      <c r="H14" s="2">
        <v>625</v>
      </c>
      <c r="I14" s="72">
        <v>112400</v>
      </c>
      <c r="J14" s="72">
        <v>775</v>
      </c>
      <c r="K14" s="72">
        <v>100800</v>
      </c>
      <c r="L14" s="72">
        <v>695</v>
      </c>
      <c r="M14" s="72">
        <v>132700</v>
      </c>
      <c r="N14" s="72">
        <v>915</v>
      </c>
      <c r="O14" s="73">
        <v>8.5000000000000006E-2</v>
      </c>
    </row>
    <row r="15" spans="2:15" x14ac:dyDescent="0.2">
      <c r="B15" s="35" t="s">
        <v>99</v>
      </c>
      <c r="C15" s="38" t="s">
        <v>100</v>
      </c>
      <c r="D15" s="38">
        <v>100100</v>
      </c>
      <c r="E15" s="2">
        <v>0.97</v>
      </c>
      <c r="F15" s="2"/>
      <c r="G15" s="2"/>
      <c r="H15" s="2">
        <v>690</v>
      </c>
      <c r="I15" s="72">
        <v>121800</v>
      </c>
      <c r="J15" s="72">
        <v>840</v>
      </c>
      <c r="K15" s="72">
        <v>110200</v>
      </c>
      <c r="L15" s="72">
        <v>760</v>
      </c>
      <c r="M15" s="72">
        <v>143600</v>
      </c>
      <c r="N15" s="72">
        <v>990</v>
      </c>
      <c r="O15" s="73">
        <v>0.08</v>
      </c>
    </row>
    <row r="16" spans="2:15" x14ac:dyDescent="0.2">
      <c r="B16" s="35" t="s">
        <v>101</v>
      </c>
      <c r="C16" s="36" t="s">
        <v>102</v>
      </c>
      <c r="D16" s="36">
        <v>120400</v>
      </c>
      <c r="E16" s="2">
        <v>0.99</v>
      </c>
      <c r="F16" s="2"/>
      <c r="G16" s="2"/>
      <c r="H16" s="2">
        <v>830</v>
      </c>
      <c r="I16" s="72">
        <v>152300</v>
      </c>
      <c r="J16" s="72">
        <v>1050</v>
      </c>
      <c r="K16" s="72">
        <v>132700</v>
      </c>
      <c r="L16" s="72">
        <v>915</v>
      </c>
      <c r="M16" s="72">
        <v>166100</v>
      </c>
      <c r="N16" s="72">
        <v>1145</v>
      </c>
      <c r="O16" s="73">
        <v>6.7500000000000004E-2</v>
      </c>
    </row>
    <row r="17" spans="2:15" ht="15.75" thickBot="1" x14ac:dyDescent="0.25">
      <c r="B17" s="15"/>
      <c r="C17" s="16"/>
      <c r="D17" s="16"/>
      <c r="E17" s="16"/>
      <c r="F17" s="16"/>
      <c r="G17" s="16"/>
      <c r="H17" s="16"/>
      <c r="I17" s="16"/>
      <c r="J17" s="16"/>
      <c r="K17" s="16"/>
      <c r="L17" s="16"/>
      <c r="M17" s="16"/>
      <c r="N17" s="16"/>
      <c r="O17" s="3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ublished="0" codeName="Sayfa5"/>
  <dimension ref="A1:AA56"/>
  <sheetViews>
    <sheetView topLeftCell="H38" zoomScale="70" zoomScaleNormal="70" workbookViewId="0">
      <selection activeCell="R52" sqref="R52"/>
    </sheetView>
  </sheetViews>
  <sheetFormatPr defaultRowHeight="16.5" customHeight="1" x14ac:dyDescent="0.2"/>
  <cols>
    <col min="1" max="1" width="7.26171875" customWidth="1"/>
    <col min="2" max="2" width="41.96875" customWidth="1"/>
    <col min="3" max="5" width="6.3203125" customWidth="1"/>
    <col min="7" max="7" width="10.0859375" customWidth="1"/>
    <col min="8" max="8" width="11.703125" customWidth="1"/>
    <col min="9" max="9" width="12.375" customWidth="1"/>
    <col min="11" max="11" width="24.6171875" customWidth="1"/>
    <col min="15" max="15" width="18.16015625" bestFit="1" customWidth="1"/>
    <col min="16" max="17" width="9.55078125" customWidth="1"/>
    <col min="18" max="18" width="39.81640625" bestFit="1" customWidth="1"/>
    <col min="19" max="19" width="19.37109375" bestFit="1" customWidth="1"/>
    <col min="20" max="20" width="10.4921875" customWidth="1"/>
    <col min="21" max="21" width="9.4140625" customWidth="1"/>
    <col min="257" max="257" width="7.26171875" customWidth="1"/>
    <col min="258" max="258" width="41.96875" customWidth="1"/>
    <col min="259" max="261" width="6.3203125" customWidth="1"/>
    <col min="267" max="267" width="24.6171875" customWidth="1"/>
    <col min="513" max="513" width="7.26171875" customWidth="1"/>
    <col min="514" max="514" width="41.96875" customWidth="1"/>
    <col min="515" max="517" width="6.3203125" customWidth="1"/>
    <col min="523" max="523" width="24.6171875" customWidth="1"/>
    <col min="769" max="769" width="7.26171875" customWidth="1"/>
    <col min="770" max="770" width="41.96875" customWidth="1"/>
    <col min="771" max="773" width="6.3203125" customWidth="1"/>
    <col min="779" max="779" width="24.6171875" customWidth="1"/>
    <col min="1025" max="1025" width="7.26171875" customWidth="1"/>
    <col min="1026" max="1026" width="41.96875" customWidth="1"/>
    <col min="1027" max="1029" width="6.3203125" customWidth="1"/>
    <col min="1035" max="1035" width="24.6171875" customWidth="1"/>
    <col min="1281" max="1281" width="7.26171875" customWidth="1"/>
    <col min="1282" max="1282" width="41.96875" customWidth="1"/>
    <col min="1283" max="1285" width="6.3203125" customWidth="1"/>
    <col min="1291" max="1291" width="24.6171875" customWidth="1"/>
    <col min="1537" max="1537" width="7.26171875" customWidth="1"/>
    <col min="1538" max="1538" width="41.96875" customWidth="1"/>
    <col min="1539" max="1541" width="6.3203125" customWidth="1"/>
    <col min="1547" max="1547" width="24.6171875" customWidth="1"/>
    <col min="1793" max="1793" width="7.26171875" customWidth="1"/>
    <col min="1794" max="1794" width="41.96875" customWidth="1"/>
    <col min="1795" max="1797" width="6.3203125" customWidth="1"/>
    <col min="1803" max="1803" width="24.6171875" customWidth="1"/>
    <col min="2049" max="2049" width="7.26171875" customWidth="1"/>
    <col min="2050" max="2050" width="41.96875" customWidth="1"/>
    <col min="2051" max="2053" width="6.3203125" customWidth="1"/>
    <col min="2059" max="2059" width="24.6171875" customWidth="1"/>
    <col min="2305" max="2305" width="7.26171875" customWidth="1"/>
    <col min="2306" max="2306" width="41.96875" customWidth="1"/>
    <col min="2307" max="2309" width="6.3203125" customWidth="1"/>
    <col min="2315" max="2315" width="24.6171875" customWidth="1"/>
    <col min="2561" max="2561" width="7.26171875" customWidth="1"/>
    <col min="2562" max="2562" width="41.96875" customWidth="1"/>
    <col min="2563" max="2565" width="6.3203125" customWidth="1"/>
    <col min="2571" max="2571" width="24.6171875" customWidth="1"/>
    <col min="2817" max="2817" width="7.26171875" customWidth="1"/>
    <col min="2818" max="2818" width="41.96875" customWidth="1"/>
    <col min="2819" max="2821" width="6.3203125" customWidth="1"/>
    <col min="2827" max="2827" width="24.6171875" customWidth="1"/>
    <col min="3073" max="3073" width="7.26171875" customWidth="1"/>
    <col min="3074" max="3074" width="41.96875" customWidth="1"/>
    <col min="3075" max="3077" width="6.3203125" customWidth="1"/>
    <col min="3083" max="3083" width="24.6171875" customWidth="1"/>
    <col min="3329" max="3329" width="7.26171875" customWidth="1"/>
    <col min="3330" max="3330" width="41.96875" customWidth="1"/>
    <col min="3331" max="3333" width="6.3203125" customWidth="1"/>
    <col min="3339" max="3339" width="24.6171875" customWidth="1"/>
    <col min="3585" max="3585" width="7.26171875" customWidth="1"/>
    <col min="3586" max="3586" width="41.96875" customWidth="1"/>
    <col min="3587" max="3589" width="6.3203125" customWidth="1"/>
    <col min="3595" max="3595" width="24.6171875" customWidth="1"/>
    <col min="3841" max="3841" width="7.26171875" customWidth="1"/>
    <col min="3842" max="3842" width="41.96875" customWidth="1"/>
    <col min="3843" max="3845" width="6.3203125" customWidth="1"/>
    <col min="3851" max="3851" width="24.6171875" customWidth="1"/>
    <col min="4097" max="4097" width="7.26171875" customWidth="1"/>
    <col min="4098" max="4098" width="41.96875" customWidth="1"/>
    <col min="4099" max="4101" width="6.3203125" customWidth="1"/>
    <col min="4107" max="4107" width="24.6171875" customWidth="1"/>
    <col min="4353" max="4353" width="7.26171875" customWidth="1"/>
    <col min="4354" max="4354" width="41.96875" customWidth="1"/>
    <col min="4355" max="4357" width="6.3203125" customWidth="1"/>
    <col min="4363" max="4363" width="24.6171875" customWidth="1"/>
    <col min="4609" max="4609" width="7.26171875" customWidth="1"/>
    <col min="4610" max="4610" width="41.96875" customWidth="1"/>
    <col min="4611" max="4613" width="6.3203125" customWidth="1"/>
    <col min="4619" max="4619" width="24.6171875" customWidth="1"/>
    <col min="4865" max="4865" width="7.26171875" customWidth="1"/>
    <col min="4866" max="4866" width="41.96875" customWidth="1"/>
    <col min="4867" max="4869" width="6.3203125" customWidth="1"/>
    <col min="4875" max="4875" width="24.6171875" customWidth="1"/>
    <col min="5121" max="5121" width="7.26171875" customWidth="1"/>
    <col min="5122" max="5122" width="41.96875" customWidth="1"/>
    <col min="5123" max="5125" width="6.3203125" customWidth="1"/>
    <col min="5131" max="5131" width="24.6171875" customWidth="1"/>
    <col min="5377" max="5377" width="7.26171875" customWidth="1"/>
    <col min="5378" max="5378" width="41.96875" customWidth="1"/>
    <col min="5379" max="5381" width="6.3203125" customWidth="1"/>
    <col min="5387" max="5387" width="24.6171875" customWidth="1"/>
    <col min="5633" max="5633" width="7.26171875" customWidth="1"/>
    <col min="5634" max="5634" width="41.96875" customWidth="1"/>
    <col min="5635" max="5637" width="6.3203125" customWidth="1"/>
    <col min="5643" max="5643" width="24.6171875" customWidth="1"/>
    <col min="5889" max="5889" width="7.26171875" customWidth="1"/>
    <col min="5890" max="5890" width="41.96875" customWidth="1"/>
    <col min="5891" max="5893" width="6.3203125" customWidth="1"/>
    <col min="5899" max="5899" width="24.6171875" customWidth="1"/>
    <col min="6145" max="6145" width="7.26171875" customWidth="1"/>
    <col min="6146" max="6146" width="41.96875" customWidth="1"/>
    <col min="6147" max="6149" width="6.3203125" customWidth="1"/>
    <col min="6155" max="6155" width="24.6171875" customWidth="1"/>
    <col min="6401" max="6401" width="7.26171875" customWidth="1"/>
    <col min="6402" max="6402" width="41.96875" customWidth="1"/>
    <col min="6403" max="6405" width="6.3203125" customWidth="1"/>
    <col min="6411" max="6411" width="24.6171875" customWidth="1"/>
    <col min="6657" max="6657" width="7.26171875" customWidth="1"/>
    <col min="6658" max="6658" width="41.96875" customWidth="1"/>
    <col min="6659" max="6661" width="6.3203125" customWidth="1"/>
    <col min="6667" max="6667" width="24.6171875" customWidth="1"/>
    <col min="6913" max="6913" width="7.26171875" customWidth="1"/>
    <col min="6914" max="6914" width="41.96875" customWidth="1"/>
    <col min="6915" max="6917" width="6.3203125" customWidth="1"/>
    <col min="6923" max="6923" width="24.6171875" customWidth="1"/>
    <col min="7169" max="7169" width="7.26171875" customWidth="1"/>
    <col min="7170" max="7170" width="41.96875" customWidth="1"/>
    <col min="7171" max="7173" width="6.3203125" customWidth="1"/>
    <col min="7179" max="7179" width="24.6171875" customWidth="1"/>
    <col min="7425" max="7425" width="7.26171875" customWidth="1"/>
    <col min="7426" max="7426" width="41.96875" customWidth="1"/>
    <col min="7427" max="7429" width="6.3203125" customWidth="1"/>
    <col min="7435" max="7435" width="24.6171875" customWidth="1"/>
    <col min="7681" max="7681" width="7.26171875" customWidth="1"/>
    <col min="7682" max="7682" width="41.96875" customWidth="1"/>
    <col min="7683" max="7685" width="6.3203125" customWidth="1"/>
    <col min="7691" max="7691" width="24.6171875" customWidth="1"/>
    <col min="7937" max="7937" width="7.26171875" customWidth="1"/>
    <col min="7938" max="7938" width="41.96875" customWidth="1"/>
    <col min="7939" max="7941" width="6.3203125" customWidth="1"/>
    <col min="7947" max="7947" width="24.6171875" customWidth="1"/>
    <col min="8193" max="8193" width="7.26171875" customWidth="1"/>
    <col min="8194" max="8194" width="41.96875" customWidth="1"/>
    <col min="8195" max="8197" width="6.3203125" customWidth="1"/>
    <col min="8203" max="8203" width="24.6171875" customWidth="1"/>
    <col min="8449" max="8449" width="7.26171875" customWidth="1"/>
    <col min="8450" max="8450" width="41.96875" customWidth="1"/>
    <col min="8451" max="8453" width="6.3203125" customWidth="1"/>
    <col min="8459" max="8459" width="24.6171875" customWidth="1"/>
    <col min="8705" max="8705" width="7.26171875" customWidth="1"/>
    <col min="8706" max="8706" width="41.96875" customWidth="1"/>
    <col min="8707" max="8709" width="6.3203125" customWidth="1"/>
    <col min="8715" max="8715" width="24.6171875" customWidth="1"/>
    <col min="8961" max="8961" width="7.26171875" customWidth="1"/>
    <col min="8962" max="8962" width="41.96875" customWidth="1"/>
    <col min="8963" max="8965" width="6.3203125" customWidth="1"/>
    <col min="8971" max="8971" width="24.6171875" customWidth="1"/>
    <col min="9217" max="9217" width="7.26171875" customWidth="1"/>
    <col min="9218" max="9218" width="41.96875" customWidth="1"/>
    <col min="9219" max="9221" width="6.3203125" customWidth="1"/>
    <col min="9227" max="9227" width="24.6171875" customWidth="1"/>
    <col min="9473" max="9473" width="7.26171875" customWidth="1"/>
    <col min="9474" max="9474" width="41.96875" customWidth="1"/>
    <col min="9475" max="9477" width="6.3203125" customWidth="1"/>
    <col min="9483" max="9483" width="24.6171875" customWidth="1"/>
    <col min="9729" max="9729" width="7.26171875" customWidth="1"/>
    <col min="9730" max="9730" width="41.96875" customWidth="1"/>
    <col min="9731" max="9733" width="6.3203125" customWidth="1"/>
    <col min="9739" max="9739" width="24.6171875" customWidth="1"/>
    <col min="9985" max="9985" width="7.26171875" customWidth="1"/>
    <col min="9986" max="9986" width="41.96875" customWidth="1"/>
    <col min="9987" max="9989" width="6.3203125" customWidth="1"/>
    <col min="9995" max="9995" width="24.6171875" customWidth="1"/>
    <col min="10241" max="10241" width="7.26171875" customWidth="1"/>
    <col min="10242" max="10242" width="41.96875" customWidth="1"/>
    <col min="10243" max="10245" width="6.3203125" customWidth="1"/>
    <col min="10251" max="10251" width="24.6171875" customWidth="1"/>
    <col min="10497" max="10497" width="7.26171875" customWidth="1"/>
    <col min="10498" max="10498" width="41.96875" customWidth="1"/>
    <col min="10499" max="10501" width="6.3203125" customWidth="1"/>
    <col min="10507" max="10507" width="24.6171875" customWidth="1"/>
    <col min="10753" max="10753" width="7.26171875" customWidth="1"/>
    <col min="10754" max="10754" width="41.96875" customWidth="1"/>
    <col min="10755" max="10757" width="6.3203125" customWidth="1"/>
    <col min="10763" max="10763" width="24.6171875" customWidth="1"/>
    <col min="11009" max="11009" width="7.26171875" customWidth="1"/>
    <col min="11010" max="11010" width="41.96875" customWidth="1"/>
    <col min="11011" max="11013" width="6.3203125" customWidth="1"/>
    <col min="11019" max="11019" width="24.6171875" customWidth="1"/>
    <col min="11265" max="11265" width="7.26171875" customWidth="1"/>
    <col min="11266" max="11266" width="41.96875" customWidth="1"/>
    <col min="11267" max="11269" width="6.3203125" customWidth="1"/>
    <col min="11275" max="11275" width="24.6171875" customWidth="1"/>
    <col min="11521" max="11521" width="7.26171875" customWidth="1"/>
    <col min="11522" max="11522" width="41.96875" customWidth="1"/>
    <col min="11523" max="11525" width="6.3203125" customWidth="1"/>
    <col min="11531" max="11531" width="24.6171875" customWidth="1"/>
    <col min="11777" max="11777" width="7.26171875" customWidth="1"/>
    <col min="11778" max="11778" width="41.96875" customWidth="1"/>
    <col min="11779" max="11781" width="6.3203125" customWidth="1"/>
    <col min="11787" max="11787" width="24.6171875" customWidth="1"/>
    <col min="12033" max="12033" width="7.26171875" customWidth="1"/>
    <col min="12034" max="12034" width="41.96875" customWidth="1"/>
    <col min="12035" max="12037" width="6.3203125" customWidth="1"/>
    <col min="12043" max="12043" width="24.6171875" customWidth="1"/>
    <col min="12289" max="12289" width="7.26171875" customWidth="1"/>
    <col min="12290" max="12290" width="41.96875" customWidth="1"/>
    <col min="12291" max="12293" width="6.3203125" customWidth="1"/>
    <col min="12299" max="12299" width="24.6171875" customWidth="1"/>
    <col min="12545" max="12545" width="7.26171875" customWidth="1"/>
    <col min="12546" max="12546" width="41.96875" customWidth="1"/>
    <col min="12547" max="12549" width="6.3203125" customWidth="1"/>
    <col min="12555" max="12555" width="24.6171875" customWidth="1"/>
    <col min="12801" max="12801" width="7.26171875" customWidth="1"/>
    <col min="12802" max="12802" width="41.96875" customWidth="1"/>
    <col min="12803" max="12805" width="6.3203125" customWidth="1"/>
    <col min="12811" max="12811" width="24.6171875" customWidth="1"/>
    <col min="13057" max="13057" width="7.26171875" customWidth="1"/>
    <col min="13058" max="13058" width="41.96875" customWidth="1"/>
    <col min="13059" max="13061" width="6.3203125" customWidth="1"/>
    <col min="13067" max="13067" width="24.6171875" customWidth="1"/>
    <col min="13313" max="13313" width="7.26171875" customWidth="1"/>
    <col min="13314" max="13314" width="41.96875" customWidth="1"/>
    <col min="13315" max="13317" width="6.3203125" customWidth="1"/>
    <col min="13323" max="13323" width="24.6171875" customWidth="1"/>
    <col min="13569" max="13569" width="7.26171875" customWidth="1"/>
    <col min="13570" max="13570" width="41.96875" customWidth="1"/>
    <col min="13571" max="13573" width="6.3203125" customWidth="1"/>
    <col min="13579" max="13579" width="24.6171875" customWidth="1"/>
    <col min="13825" max="13825" width="7.26171875" customWidth="1"/>
    <col min="13826" max="13826" width="41.96875" customWidth="1"/>
    <col min="13827" max="13829" width="6.3203125" customWidth="1"/>
    <col min="13835" max="13835" width="24.6171875" customWidth="1"/>
    <col min="14081" max="14081" width="7.26171875" customWidth="1"/>
    <col min="14082" max="14082" width="41.96875" customWidth="1"/>
    <col min="14083" max="14085" width="6.3203125" customWidth="1"/>
    <col min="14091" max="14091" width="24.6171875" customWidth="1"/>
    <col min="14337" max="14337" width="7.26171875" customWidth="1"/>
    <col min="14338" max="14338" width="41.96875" customWidth="1"/>
    <col min="14339" max="14341" width="6.3203125" customWidth="1"/>
    <col min="14347" max="14347" width="24.6171875" customWidth="1"/>
    <col min="14593" max="14593" width="7.26171875" customWidth="1"/>
    <col min="14594" max="14594" width="41.96875" customWidth="1"/>
    <col min="14595" max="14597" width="6.3203125" customWidth="1"/>
    <col min="14603" max="14603" width="24.6171875" customWidth="1"/>
    <col min="14849" max="14849" width="7.26171875" customWidth="1"/>
    <col min="14850" max="14850" width="41.96875" customWidth="1"/>
    <col min="14851" max="14853" width="6.3203125" customWidth="1"/>
    <col min="14859" max="14859" width="24.6171875" customWidth="1"/>
    <col min="15105" max="15105" width="7.26171875" customWidth="1"/>
    <col min="15106" max="15106" width="41.96875" customWidth="1"/>
    <col min="15107" max="15109" width="6.3203125" customWidth="1"/>
    <col min="15115" max="15115" width="24.6171875" customWidth="1"/>
    <col min="15361" max="15361" width="7.26171875" customWidth="1"/>
    <col min="15362" max="15362" width="41.96875" customWidth="1"/>
    <col min="15363" max="15365" width="6.3203125" customWidth="1"/>
    <col min="15371" max="15371" width="24.6171875" customWidth="1"/>
    <col min="15617" max="15617" width="7.26171875" customWidth="1"/>
    <col min="15618" max="15618" width="41.96875" customWidth="1"/>
    <col min="15619" max="15621" width="6.3203125" customWidth="1"/>
    <col min="15627" max="15627" width="24.6171875" customWidth="1"/>
    <col min="15873" max="15873" width="7.26171875" customWidth="1"/>
    <col min="15874" max="15874" width="41.96875" customWidth="1"/>
    <col min="15875" max="15877" width="6.3203125" customWidth="1"/>
    <col min="15883" max="15883" width="24.6171875" customWidth="1"/>
    <col min="16129" max="16129" width="7.26171875" customWidth="1"/>
    <col min="16130" max="16130" width="41.96875" customWidth="1"/>
    <col min="16131" max="16133" width="6.3203125" customWidth="1"/>
    <col min="16139" max="16139" width="24.6171875" customWidth="1"/>
  </cols>
  <sheetData>
    <row r="1" spans="1:19" ht="15" x14ac:dyDescent="0.2">
      <c r="A1" s="179" t="s">
        <v>541</v>
      </c>
      <c r="B1" s="180"/>
      <c r="C1" s="181"/>
      <c r="D1" s="181"/>
      <c r="E1" s="181"/>
      <c r="F1" s="182" t="s">
        <v>542</v>
      </c>
      <c r="G1" s="180"/>
      <c r="H1" s="180"/>
      <c r="I1" s="180"/>
      <c r="J1" s="180"/>
      <c r="K1" s="183"/>
      <c r="L1" s="184"/>
      <c r="M1" s="185"/>
    </row>
    <row r="2" spans="1:19" ht="15" x14ac:dyDescent="0.2">
      <c r="A2" s="186"/>
      <c r="B2" s="187"/>
      <c r="C2" s="188"/>
      <c r="D2" s="188"/>
      <c r="E2" s="188"/>
      <c r="F2" s="189" t="s">
        <v>602</v>
      </c>
      <c r="G2" s="187"/>
      <c r="H2" s="187"/>
      <c r="I2" s="190" t="s">
        <v>38</v>
      </c>
      <c r="J2" s="192"/>
      <c r="K2" s="191"/>
      <c r="L2" s="192"/>
      <c r="M2" s="193"/>
    </row>
    <row r="3" spans="1:19" ht="15" x14ac:dyDescent="0.2">
      <c r="A3" s="194" t="s">
        <v>543</v>
      </c>
      <c r="B3" s="195"/>
      <c r="C3" s="196"/>
      <c r="D3" s="196"/>
      <c r="E3" s="196"/>
      <c r="F3" s="197" t="s">
        <v>603</v>
      </c>
      <c r="G3" s="191"/>
      <c r="H3" s="191"/>
      <c r="I3" s="190" t="s">
        <v>12</v>
      </c>
      <c r="J3" s="192"/>
      <c r="K3" s="192"/>
      <c r="L3" s="192"/>
      <c r="M3" s="193"/>
    </row>
    <row r="4" spans="1:19" ht="15" x14ac:dyDescent="0.2">
      <c r="A4" s="198" t="s">
        <v>544</v>
      </c>
      <c r="B4" s="199" t="s">
        <v>545</v>
      </c>
      <c r="C4" s="200"/>
      <c r="D4" s="201"/>
      <c r="E4" s="202">
        <f>VLOOKUP(I2,Tablo2[[ÇAP inch]:[ÇAP mm]],2,0)</f>
        <v>1219</v>
      </c>
      <c r="F4" s="191"/>
      <c r="G4" s="191"/>
      <c r="H4" s="191"/>
      <c r="I4" s="191"/>
      <c r="J4" s="191"/>
      <c r="K4" s="192"/>
      <c r="L4" s="192"/>
      <c r="M4" s="193"/>
    </row>
    <row r="5" spans="1:19" ht="15" x14ac:dyDescent="0.2">
      <c r="A5" s="198"/>
      <c r="B5" s="199" t="s">
        <v>546</v>
      </c>
      <c r="C5" s="200"/>
      <c r="D5" s="201"/>
      <c r="E5" s="202">
        <f>VLOOKUP(I3,Tablo2[[ÇAP inch]:[ÇAP mm]],2,0)</f>
        <v>114.3</v>
      </c>
      <c r="F5" s="191"/>
      <c r="G5" s="191"/>
      <c r="H5" s="191"/>
      <c r="I5" s="191"/>
      <c r="J5" s="191"/>
      <c r="K5" s="192"/>
      <c r="L5" s="192"/>
      <c r="M5" s="193"/>
    </row>
    <row r="6" spans="1:19" ht="15" x14ac:dyDescent="0.2">
      <c r="A6" s="198" t="s">
        <v>547</v>
      </c>
      <c r="B6" s="203" t="s">
        <v>548</v>
      </c>
      <c r="C6" s="200"/>
      <c r="D6" s="201"/>
      <c r="E6" s="202">
        <f>VLOOKUP(I3,Tablo2[[ÇAP inch]:[Et Kalınlığı 5]],12,0)</f>
        <v>6.02</v>
      </c>
      <c r="F6" s="191"/>
      <c r="G6" s="191"/>
      <c r="H6" s="191"/>
      <c r="I6" s="191"/>
      <c r="J6" s="191"/>
      <c r="K6" s="192"/>
      <c r="L6" s="192"/>
      <c r="M6" s="193"/>
    </row>
    <row r="7" spans="1:19" ht="15" x14ac:dyDescent="0.2">
      <c r="A7" s="198"/>
      <c r="B7" s="204" t="s">
        <v>549</v>
      </c>
      <c r="C7" s="200"/>
      <c r="D7" s="205"/>
      <c r="E7" s="206">
        <v>1.5</v>
      </c>
      <c r="F7" s="191"/>
      <c r="G7" s="191"/>
      <c r="H7" s="191"/>
      <c r="I7" s="191"/>
      <c r="J7" s="191"/>
      <c r="K7" s="207"/>
      <c r="L7" s="207"/>
      <c r="M7" s="208"/>
    </row>
    <row r="8" spans="1:19" ht="15" x14ac:dyDescent="0.2">
      <c r="A8" s="198">
        <v>3</v>
      </c>
      <c r="B8" s="209" t="s">
        <v>550</v>
      </c>
      <c r="C8" s="200"/>
      <c r="D8" s="201"/>
      <c r="E8" s="202">
        <f>VLOOKUP(I2,Tablo2[[ÇAP inch]:[Et Kalınlığı 5]],12,0)</f>
        <v>22.23</v>
      </c>
      <c r="F8" s="187"/>
      <c r="G8" s="187"/>
      <c r="H8" s="187"/>
      <c r="I8" s="187"/>
      <c r="J8" s="187"/>
      <c r="K8" s="192"/>
      <c r="L8" s="207"/>
      <c r="M8" s="208"/>
    </row>
    <row r="9" spans="1:19" ht="15" x14ac:dyDescent="0.2">
      <c r="A9" s="198"/>
      <c r="B9" s="204" t="s">
        <v>551</v>
      </c>
      <c r="C9" s="200"/>
      <c r="D9" s="205"/>
      <c r="E9" s="206">
        <v>1.5</v>
      </c>
      <c r="F9" s="191"/>
      <c r="G9" s="191"/>
      <c r="H9" s="191"/>
      <c r="I9" s="191"/>
      <c r="J9" s="191"/>
      <c r="K9" s="192"/>
      <c r="L9" s="192"/>
      <c r="M9" s="193"/>
    </row>
    <row r="10" spans="1:19" ht="15" x14ac:dyDescent="0.2">
      <c r="A10" s="198">
        <v>4</v>
      </c>
      <c r="B10" s="285" t="s">
        <v>605</v>
      </c>
      <c r="C10" s="200"/>
      <c r="D10" s="201"/>
      <c r="E10" s="202">
        <v>82.5</v>
      </c>
      <c r="F10" s="191"/>
      <c r="G10" s="191"/>
      <c r="H10" s="191"/>
      <c r="I10" s="191"/>
      <c r="J10" s="191"/>
      <c r="K10" s="192"/>
      <c r="L10" s="211"/>
      <c r="M10" s="212"/>
    </row>
    <row r="11" spans="1:19" ht="15" x14ac:dyDescent="0.2">
      <c r="A11" s="198">
        <v>5</v>
      </c>
      <c r="B11" s="213" t="s">
        <v>552</v>
      </c>
      <c r="C11" s="214"/>
      <c r="D11" s="215"/>
      <c r="E11" s="216">
        <f>VLOOKUP(I2,Tablo2[],4,0)</f>
        <v>65300</v>
      </c>
      <c r="F11" s="191"/>
      <c r="G11" s="191"/>
      <c r="H11" s="191"/>
      <c r="I11" s="191"/>
      <c r="J11" s="191"/>
      <c r="K11" s="192"/>
      <c r="L11" s="207"/>
      <c r="M11" s="208"/>
    </row>
    <row r="12" spans="1:19" ht="15" x14ac:dyDescent="0.2">
      <c r="A12" s="198">
        <v>6</v>
      </c>
      <c r="B12" s="213" t="s">
        <v>553</v>
      </c>
      <c r="C12" s="214"/>
      <c r="D12" s="215"/>
      <c r="E12" s="216">
        <f>VLOOKUP(I3,Tablo2[],4,0)</f>
        <v>35500</v>
      </c>
      <c r="F12" s="191"/>
      <c r="G12" s="191"/>
      <c r="H12" s="191"/>
      <c r="I12" s="191"/>
      <c r="J12" s="218">
        <f>IF(E8&lt;8.71,E8-0.04,IF(E8&lt;12.71,E8-0.1,E8-0.15))</f>
        <v>22.080000000000002</v>
      </c>
      <c r="K12" s="192"/>
      <c r="L12" s="207"/>
      <c r="M12" s="208"/>
    </row>
    <row r="13" spans="1:19" ht="15" x14ac:dyDescent="0.2">
      <c r="A13" s="198">
        <v>7</v>
      </c>
      <c r="B13" s="203" t="s">
        <v>554</v>
      </c>
      <c r="C13" s="200"/>
      <c r="D13" s="201"/>
      <c r="E13" s="202">
        <v>1</v>
      </c>
      <c r="F13" s="217" t="s">
        <v>555</v>
      </c>
      <c r="G13" s="191"/>
      <c r="H13" s="191"/>
      <c r="I13" s="191"/>
      <c r="J13" s="218">
        <f>(E5-2*((1-E16/100)*E6) +2*E7)/SIN(PI()*E21/180)</f>
        <v>106.765</v>
      </c>
      <c r="K13" s="192"/>
      <c r="L13" s="192"/>
      <c r="M13" s="193"/>
    </row>
    <row r="14" spans="1:19" ht="15" x14ac:dyDescent="0.2">
      <c r="A14" s="198">
        <v>8</v>
      </c>
      <c r="B14" s="203" t="s">
        <v>556</v>
      </c>
      <c r="C14" s="200"/>
      <c r="D14" s="201"/>
      <c r="E14" s="202">
        <v>1</v>
      </c>
      <c r="F14" s="191" t="s">
        <v>557</v>
      </c>
      <c r="G14" s="191"/>
      <c r="H14" s="191"/>
      <c r="I14" s="191"/>
      <c r="J14" s="218">
        <f>(E10*E4)/(2*(E11*E13+0.4*E10))</f>
        <v>0.76965316149572194</v>
      </c>
      <c r="L14" s="191"/>
      <c r="M14" s="193"/>
    </row>
    <row r="15" spans="1:19" ht="15" x14ac:dyDescent="0.2">
      <c r="A15" s="198">
        <v>9</v>
      </c>
      <c r="B15" s="199" t="s">
        <v>558</v>
      </c>
      <c r="C15" s="200"/>
      <c r="D15" s="201"/>
      <c r="E15" s="202">
        <v>12.5</v>
      </c>
      <c r="F15" s="219" t="s">
        <v>559</v>
      </c>
      <c r="G15" s="191"/>
      <c r="H15" s="191"/>
      <c r="I15" s="191"/>
      <c r="J15" s="218">
        <f>(E10*E5)/(2*(E12*E14+0.4*E10))</f>
        <v>0.13269003461570933</v>
      </c>
      <c r="K15" s="191"/>
      <c r="L15" s="191"/>
      <c r="M15" s="220"/>
      <c r="S15" s="119">
        <v>0.5</v>
      </c>
    </row>
    <row r="16" spans="1:19" ht="15" x14ac:dyDescent="0.2">
      <c r="A16" s="198">
        <v>10</v>
      </c>
      <c r="B16" s="210" t="s">
        <v>560</v>
      </c>
      <c r="C16" s="200"/>
      <c r="D16" s="201"/>
      <c r="E16" s="202">
        <v>12.5</v>
      </c>
      <c r="F16" s="217" t="s">
        <v>561</v>
      </c>
      <c r="G16" s="191"/>
      <c r="H16" s="191"/>
      <c r="I16" s="191"/>
      <c r="J16" s="218">
        <f>(E6*(1-E16/100)-E7)+(E8*(1-E15/100)-E9)+J13/2</f>
        <v>75.101249999999993</v>
      </c>
      <c r="K16" s="187"/>
      <c r="L16" s="187"/>
      <c r="M16" s="220"/>
      <c r="S16" s="119">
        <v>0.6</v>
      </c>
    </row>
    <row r="17" spans="1:21" ht="15" x14ac:dyDescent="0.2">
      <c r="A17" s="221" t="s">
        <v>332</v>
      </c>
      <c r="B17" s="222" t="s">
        <v>562</v>
      </c>
      <c r="C17" s="187"/>
      <c r="D17" s="223"/>
      <c r="E17" s="224" t="s">
        <v>563</v>
      </c>
      <c r="F17" s="217" t="s">
        <v>564</v>
      </c>
      <c r="G17" s="191"/>
      <c r="H17" s="191"/>
      <c r="I17" s="191"/>
      <c r="J17" s="218">
        <f>IF(J13&gt;=J16,J13,J16)</f>
        <v>106.765</v>
      </c>
      <c r="K17" s="187"/>
      <c r="L17" s="187"/>
      <c r="M17" s="220"/>
      <c r="S17" s="119">
        <v>0.72</v>
      </c>
    </row>
    <row r="18" spans="1:21" ht="15" x14ac:dyDescent="0.2">
      <c r="A18" s="198"/>
      <c r="B18" s="222" t="s">
        <v>565</v>
      </c>
      <c r="C18" s="188"/>
      <c r="D18" s="188"/>
      <c r="E18" s="188"/>
      <c r="F18" s="219" t="s">
        <v>566</v>
      </c>
      <c r="G18" s="191"/>
      <c r="H18" s="191"/>
      <c r="I18" s="191"/>
      <c r="J18" s="218">
        <f>IF(J17&lt;=E4,J17,E4)</f>
        <v>106.765</v>
      </c>
      <c r="K18" s="187"/>
      <c r="L18" s="187"/>
      <c r="M18" s="220"/>
      <c r="S18" s="119">
        <v>0.8</v>
      </c>
    </row>
    <row r="19" spans="1:21" ht="15" x14ac:dyDescent="0.2">
      <c r="A19" s="225" t="s">
        <v>567</v>
      </c>
      <c r="B19" s="187"/>
      <c r="C19" s="226"/>
      <c r="D19" s="226"/>
      <c r="E19" s="226"/>
      <c r="F19" s="219" t="s">
        <v>568</v>
      </c>
      <c r="G19" s="191"/>
      <c r="H19" s="191"/>
      <c r="I19" s="191"/>
      <c r="J19" s="218">
        <f>(2*J18-J13)*(E8*(1-E15/100)-J14-E9)</f>
        <v>1834.3931864629094</v>
      </c>
      <c r="K19" s="187"/>
      <c r="L19" s="187"/>
      <c r="M19" s="220"/>
    </row>
    <row r="20" spans="1:21" ht="15" x14ac:dyDescent="0.2">
      <c r="A20" s="198">
        <v>11</v>
      </c>
      <c r="B20" s="199" t="s">
        <v>569</v>
      </c>
      <c r="C20" s="200"/>
      <c r="D20" s="227"/>
      <c r="E20" s="228">
        <v>0</v>
      </c>
      <c r="F20" s="219"/>
      <c r="G20" s="187"/>
      <c r="H20" s="191"/>
      <c r="I20" s="191"/>
      <c r="J20" s="229"/>
      <c r="K20" s="191"/>
      <c r="L20" s="187"/>
      <c r="M20" s="220"/>
    </row>
    <row r="21" spans="1:21" ht="15" x14ac:dyDescent="0.2">
      <c r="A21" s="198">
        <v>12</v>
      </c>
      <c r="B21" s="230" t="s">
        <v>570</v>
      </c>
      <c r="C21" s="200"/>
      <c r="D21" s="201"/>
      <c r="E21" s="202">
        <v>90</v>
      </c>
      <c r="F21" s="217" t="s">
        <v>571</v>
      </c>
      <c r="G21" s="191"/>
      <c r="H21" s="191"/>
      <c r="I21" s="191"/>
      <c r="J21" s="218">
        <f>2.5*(E8*(1-E15/100)-E9)</f>
        <v>44.878125000000004</v>
      </c>
      <c r="K21" s="191"/>
      <c r="L21" s="187"/>
      <c r="M21" s="220"/>
    </row>
    <row r="22" spans="1:21" ht="15" x14ac:dyDescent="0.2">
      <c r="A22" s="198"/>
      <c r="B22" s="187"/>
      <c r="C22" s="188"/>
      <c r="D22" s="188"/>
      <c r="E22" s="188"/>
      <c r="F22" s="217" t="s">
        <v>572</v>
      </c>
      <c r="G22" s="191"/>
      <c r="H22" s="191"/>
      <c r="I22" s="191"/>
      <c r="J22" s="218">
        <f>2.5*(E6*(1-E16/100)-E7) +E20</f>
        <v>9.4187499999999993</v>
      </c>
      <c r="K22" s="191"/>
      <c r="L22" s="187"/>
      <c r="M22" s="220"/>
    </row>
    <row r="23" spans="1:21" ht="15" x14ac:dyDescent="0.2">
      <c r="A23" s="231"/>
      <c r="B23" s="187"/>
      <c r="C23" s="232"/>
      <c r="D23" s="232"/>
      <c r="E23" s="232"/>
      <c r="F23" s="217" t="s">
        <v>573</v>
      </c>
      <c r="G23" s="191"/>
      <c r="H23" s="191"/>
      <c r="I23" s="191"/>
      <c r="J23" s="218">
        <f>IF(J21&lt;=J22,J21,J22)</f>
        <v>9.4187499999999993</v>
      </c>
      <c r="K23" s="219" t="s">
        <v>574</v>
      </c>
      <c r="L23" s="219"/>
      <c r="M23" s="220"/>
      <c r="O23" s="756" t="s">
        <v>625</v>
      </c>
      <c r="P23" s="290" t="s">
        <v>1430</v>
      </c>
      <c r="Q23" s="290" t="s">
        <v>1431</v>
      </c>
      <c r="R23" s="290" t="s">
        <v>615</v>
      </c>
      <c r="S23" s="290" t="s">
        <v>616</v>
      </c>
      <c r="T23" s="756"/>
      <c r="U23" s="756"/>
    </row>
    <row r="24" spans="1:21" ht="15" x14ac:dyDescent="0.2">
      <c r="A24" s="198">
        <v>13</v>
      </c>
      <c r="B24" s="233" t="s">
        <v>575</v>
      </c>
      <c r="C24" s="187"/>
      <c r="D24" s="187"/>
      <c r="E24" s="234">
        <f>IF(E17="YES",(2*J18-1),0)</f>
        <v>212.53</v>
      </c>
      <c r="F24" s="219"/>
      <c r="G24" s="191"/>
      <c r="H24" s="191"/>
      <c r="I24" s="191"/>
      <c r="J24" s="235"/>
      <c r="K24" s="191"/>
      <c r="L24" s="187"/>
      <c r="M24" s="220"/>
      <c r="O24" s="756" t="s">
        <v>612</v>
      </c>
      <c r="P24" s="291" t="s">
        <v>24</v>
      </c>
      <c r="Q24" s="291">
        <f>VLOOKUP(P24,Tablo2[[ÇAP inch]:[ÇAP mm]],2,0)</f>
        <v>457</v>
      </c>
      <c r="R24" s="291">
        <f>ROUND(VLOOKUP(P24,Tablo2[[ÇAP inch]:[Tensile Mpa]],4,0)/145.0377,0)</f>
        <v>450</v>
      </c>
      <c r="S24" s="291">
        <v>75</v>
      </c>
      <c r="T24" s="756"/>
      <c r="U24" s="756"/>
    </row>
    <row r="25" spans="1:21" ht="15" x14ac:dyDescent="0.2">
      <c r="A25" s="198"/>
      <c r="B25" s="236" t="str">
        <f>IF(E24=2*J18-1," MAXIMUM LENGTH OF SADDLE IN COMPLAINCE WITH CODE","     ")</f>
        <v xml:space="preserve"> MAXIMUM LENGTH OF SADDLE IN COMPLAINCE WITH CODE</v>
      </c>
      <c r="C25" s="232"/>
      <c r="D25" s="232"/>
      <c r="E25" s="232"/>
      <c r="F25" s="219" t="s">
        <v>576</v>
      </c>
      <c r="G25" s="191"/>
      <c r="H25" s="191"/>
      <c r="I25" s="191"/>
      <c r="J25" s="218">
        <f>2*J23*((E6*(1-E16/100)-E7-J15)/(SIN(PI()*E21/180)))</f>
        <v>68.47073272292657</v>
      </c>
      <c r="K25" s="191"/>
      <c r="L25" s="187"/>
      <c r="M25" s="220"/>
      <c r="O25" s="756" t="s">
        <v>613</v>
      </c>
      <c r="P25" s="291" t="s">
        <v>12</v>
      </c>
      <c r="Q25" s="291">
        <f>VLOOKUP(P25,Tablo2[[ÇAP inch]:[ÇAP mm]],2,0)</f>
        <v>114.3</v>
      </c>
      <c r="R25" s="291">
        <f>ROUND(VLOOKUP(P25,Tablo2[[ÇAP inch]:[Tensile Mpa]],4,0)/145.0377,0)</f>
        <v>245</v>
      </c>
      <c r="S25" s="291">
        <v>75</v>
      </c>
      <c r="T25" s="756"/>
      <c r="U25" s="756"/>
    </row>
    <row r="26" spans="1:21" ht="27.75" x14ac:dyDescent="0.2">
      <c r="A26" s="198"/>
      <c r="B26" s="237"/>
      <c r="C26" s="232"/>
      <c r="D26" s="232"/>
      <c r="E26" s="232"/>
      <c r="F26" s="219" t="s">
        <v>577</v>
      </c>
      <c r="G26" s="238"/>
      <c r="H26" s="238"/>
      <c r="I26" s="238"/>
      <c r="J26" s="239">
        <f>IF(E20&lt;=J23,E20,J23)</f>
        <v>0</v>
      </c>
      <c r="K26" s="187"/>
      <c r="L26" s="187"/>
      <c r="M26" s="220"/>
      <c r="O26" s="804" t="s">
        <v>1475</v>
      </c>
      <c r="P26" s="291"/>
      <c r="Q26" s="291"/>
      <c r="R26" s="291">
        <v>355</v>
      </c>
      <c r="S26" s="291"/>
    </row>
    <row r="27" spans="1:21" ht="15" x14ac:dyDescent="0.2">
      <c r="A27" s="198"/>
      <c r="B27" s="187"/>
      <c r="C27" s="188"/>
      <c r="D27" s="188"/>
      <c r="E27" s="188"/>
      <c r="F27" s="187"/>
      <c r="G27" s="187"/>
      <c r="H27" s="240" t="s">
        <v>578</v>
      </c>
      <c r="I27" s="191"/>
      <c r="J27" s="187"/>
      <c r="K27" s="191"/>
      <c r="L27" s="187"/>
      <c r="M27" s="220"/>
      <c r="O27" s="1047" t="s">
        <v>1462</v>
      </c>
      <c r="P27" s="1047"/>
      <c r="Q27" s="756">
        <v>0.5</v>
      </c>
      <c r="R27" s="756"/>
      <c r="S27" s="756"/>
    </row>
    <row r="28" spans="1:21" ht="15" x14ac:dyDescent="0.2">
      <c r="A28" s="231" t="s">
        <v>579</v>
      </c>
      <c r="B28" s="187"/>
      <c r="C28" s="188"/>
      <c r="D28" s="188"/>
      <c r="E28" s="188"/>
      <c r="F28" s="219" t="s">
        <v>580</v>
      </c>
      <c r="G28" s="191"/>
      <c r="H28" s="191"/>
      <c r="I28" s="191"/>
      <c r="J28" s="239">
        <f>IF(E20=0,0,J26)</f>
        <v>0</v>
      </c>
      <c r="K28" s="187"/>
      <c r="L28" s="187"/>
      <c r="M28" s="220"/>
      <c r="O28" s="1046" t="s">
        <v>1451</v>
      </c>
      <c r="P28" s="1046"/>
      <c r="Q28" s="1046"/>
      <c r="R28" s="1046"/>
    </row>
    <row r="29" spans="1:21" ht="15" x14ac:dyDescent="0.2">
      <c r="A29" s="198">
        <v>14</v>
      </c>
      <c r="B29" s="233" t="s">
        <v>581</v>
      </c>
      <c r="C29" s="187"/>
      <c r="D29" s="241"/>
      <c r="E29" s="242">
        <v>0</v>
      </c>
      <c r="F29" s="219" t="s">
        <v>582</v>
      </c>
      <c r="G29" s="191"/>
      <c r="H29" s="191"/>
      <c r="I29" s="191"/>
      <c r="J29" s="243">
        <f>J28*(E24-E5/SIN(E21*(PI()/180)))</f>
        <v>0</v>
      </c>
      <c r="K29" s="191"/>
      <c r="L29" s="187"/>
      <c r="M29" s="220"/>
      <c r="O29" s="290" t="s">
        <v>606</v>
      </c>
      <c r="P29" s="290">
        <f>IF(S25&lt;82.5, VLOOKUP(P25,Tablo244[[ÇAP inch]:[Et Kalınlığı 5]],12,0),VLOOKUP(P25,Tablo244[[ÇAP inch]:[Et Kalınlığı 5]],14,0))</f>
        <v>6</v>
      </c>
      <c r="Q29" s="290" t="s">
        <v>614</v>
      </c>
      <c r="R29" s="290"/>
      <c r="S29" s="290" t="str">
        <f>IF(P29&gt;2*P11,"Değer 2*d den büyük!","Değer uygun")</f>
        <v>Değer 2*d den büyük!</v>
      </c>
    </row>
    <row r="30" spans="1:21" ht="15" x14ac:dyDescent="0.2">
      <c r="A30" s="198">
        <v>15</v>
      </c>
      <c r="B30" s="233" t="s">
        <v>583</v>
      </c>
      <c r="C30" s="244"/>
      <c r="D30" s="245" t="str">
        <f>IF( J29=0,"NOT  APPLICABLE",ROUND(((J29/E29)+(E5/SIN(E21*(PI()/180)))), 0))</f>
        <v>NOT  APPLICABLE</v>
      </c>
      <c r="E30" s="244"/>
      <c r="F30" s="219" t="s">
        <v>584</v>
      </c>
      <c r="G30" s="191"/>
      <c r="H30" s="191"/>
      <c r="I30" s="191"/>
      <c r="J30" s="243">
        <f>IF(0.7*E6&lt;=6,0.7*E6,6)</f>
        <v>4.2139999999999995</v>
      </c>
      <c r="K30" s="191"/>
      <c r="L30" s="187"/>
      <c r="M30" s="220"/>
      <c r="O30" s="510" t="s">
        <v>1454</v>
      </c>
      <c r="P30" s="734">
        <v>0</v>
      </c>
      <c r="Q30" s="290" t="s">
        <v>614</v>
      </c>
      <c r="R30" s="290" t="s">
        <v>1453</v>
      </c>
      <c r="S30" s="290" t="str">
        <f t="shared" ref="S29:S50" si="0">IF(P30&gt;2*P12,"Değer 2*d den büyük!","Değer uygun")</f>
        <v>Değer uygun</v>
      </c>
    </row>
    <row r="31" spans="1:21" ht="15" x14ac:dyDescent="0.2">
      <c r="A31" s="198"/>
      <c r="B31" s="246" t="str">
        <f>IF(D30="NOT  APPLICABLE","        ",(IF(D30&gt;2*J18,"TRY WITH NEXT HIGHER THK REINFORCING RING ( Please note,this length shall be less than twice half width of reinforcement zone )  ",IF(D30&lt;=E5+100,"TRY WITH NEXT LOWER THK REINFORCING RING                       ( Please note,this length shall be greater than (O.D of branch pipe + 100 )mm;also refer RESULT 3 , a possible solution with available thickness )","LENGTH OF SADDLE IS IN COMPLAINCE WITH CODE"))))</f>
        <v xml:space="preserve">        </v>
      </c>
      <c r="C31" s="187"/>
      <c r="D31" s="247"/>
      <c r="E31" s="247"/>
      <c r="F31" s="219" t="s">
        <v>585</v>
      </c>
      <c r="G31" s="191"/>
      <c r="H31" s="191"/>
      <c r="I31" s="191"/>
      <c r="J31" s="218">
        <f>(J30/0.707)^2</f>
        <v>35.526320948926575</v>
      </c>
      <c r="K31" s="191"/>
      <c r="L31" s="187"/>
      <c r="M31" s="220"/>
      <c r="O31" s="290" t="s">
        <v>607</v>
      </c>
      <c r="P31" s="290">
        <f>Q25-2*P29</f>
        <v>102.3</v>
      </c>
      <c r="Q31" s="290" t="s">
        <v>614</v>
      </c>
      <c r="R31" s="290"/>
      <c r="S31" s="290" t="str">
        <f t="shared" si="0"/>
        <v>Değer 2*d den büyük!</v>
      </c>
    </row>
    <row r="32" spans="1:21" ht="15" x14ac:dyDescent="0.2">
      <c r="A32" s="198"/>
      <c r="B32" s="233"/>
      <c r="C32" s="248"/>
      <c r="D32" s="249"/>
      <c r="E32" s="248"/>
      <c r="F32" s="219" t="s">
        <v>586</v>
      </c>
      <c r="G32" s="191"/>
      <c r="H32" s="191"/>
      <c r="I32" s="191"/>
      <c r="J32" s="218">
        <f>0.5*E20/0.707</f>
        <v>0</v>
      </c>
      <c r="K32" s="191"/>
      <c r="L32" s="187"/>
      <c r="M32" s="220"/>
      <c r="O32" s="290" t="s">
        <v>611</v>
      </c>
      <c r="P32" s="290">
        <f>IF(S24&lt;82.5,IF(Q27=0.5,VLOOKUP(P24,Tablo244[],10,0),IF(Q27=0.6,VLOOKUP(P24,'Boru Kontrol Tablosu BOTAŞ'!B21:R53,8,0),IF(Q27=0.72,VLOOKUP(P24,Tablo244[],6,0),"Uygun Dizayn Değeri Seçin"))),"İstasyon Borusu mu")</f>
        <v>7.9</v>
      </c>
      <c r="Q32" s="290" t="s">
        <v>614</v>
      </c>
      <c r="R32" s="290"/>
      <c r="S32" s="290" t="str">
        <f t="shared" si="0"/>
        <v>Değer 2*d den büyük!</v>
      </c>
    </row>
    <row r="33" spans="1:27" ht="15" x14ac:dyDescent="0.2">
      <c r="A33" s="198"/>
      <c r="B33" s="233"/>
      <c r="C33" s="247"/>
      <c r="D33" s="250"/>
      <c r="E33" s="247"/>
      <c r="F33" s="219" t="s">
        <v>587</v>
      </c>
      <c r="G33" s="191"/>
      <c r="H33" s="191"/>
      <c r="I33" s="191"/>
      <c r="J33" s="218">
        <f>IF(J32&lt;=J23,J32,J23)</f>
        <v>0</v>
      </c>
      <c r="K33" s="191"/>
      <c r="L33" s="187"/>
      <c r="M33" s="220"/>
      <c r="O33" s="290" t="s">
        <v>608</v>
      </c>
      <c r="P33" s="290">
        <v>11</v>
      </c>
      <c r="Q33" s="290" t="s">
        <v>614</v>
      </c>
      <c r="R33" s="290" t="s">
        <v>1445</v>
      </c>
      <c r="S33" s="290" t="str">
        <f t="shared" si="0"/>
        <v>Değer 2*d den büyük!</v>
      </c>
    </row>
    <row r="34" spans="1:27" ht="15" x14ac:dyDescent="0.2">
      <c r="A34" s="198"/>
      <c r="B34" s="251"/>
      <c r="C34" s="248"/>
      <c r="D34" s="248"/>
      <c r="E34" s="248"/>
      <c r="F34" s="219" t="s">
        <v>588</v>
      </c>
      <c r="G34" s="191"/>
      <c r="H34" s="191"/>
      <c r="I34" s="191"/>
      <c r="J34" s="218">
        <f>J33*J32</f>
        <v>0</v>
      </c>
      <c r="K34" s="191"/>
      <c r="L34" s="187"/>
      <c r="M34" s="220"/>
      <c r="O34" s="290" t="s">
        <v>609</v>
      </c>
      <c r="P34" s="734">
        <f>S24/10*Q24/2/R24/0.5</f>
        <v>7.6166666666666663</v>
      </c>
      <c r="Q34" s="290" t="s">
        <v>614</v>
      </c>
      <c r="R34" s="290"/>
      <c r="S34" s="290" t="str">
        <f t="shared" si="0"/>
        <v>Değer 2*d den büyük!</v>
      </c>
    </row>
    <row r="35" spans="1:27" ht="15" x14ac:dyDescent="0.2">
      <c r="A35" s="252" t="s">
        <v>589</v>
      </c>
      <c r="B35" s="253" t="str">
        <f>IF((INT(J36)-INT(J37))&gt;=0,"1. Branch connection is OK","1. Area available not sufficient pl try with reinforcement , increase saddle  thk and/or saddle length.")</f>
        <v>1. Branch connection is OK</v>
      </c>
      <c r="C35" s="248"/>
      <c r="D35" s="248"/>
      <c r="E35" s="248"/>
      <c r="F35" s="219"/>
      <c r="G35" s="191"/>
      <c r="H35" s="191"/>
      <c r="I35" s="191"/>
      <c r="J35" s="235"/>
      <c r="K35" s="191"/>
      <c r="L35" s="187"/>
      <c r="M35" s="220"/>
      <c r="O35" s="290" t="s">
        <v>1455</v>
      </c>
      <c r="P35" s="734">
        <v>0</v>
      </c>
      <c r="Q35" s="290" t="s">
        <v>614</v>
      </c>
      <c r="R35" s="290" t="s">
        <v>1456</v>
      </c>
      <c r="S35" s="290" t="str">
        <f t="shared" si="0"/>
        <v>Değer uygun</v>
      </c>
    </row>
    <row r="36" spans="1:27" ht="15" x14ac:dyDescent="0.2">
      <c r="A36" s="186"/>
      <c r="B36" s="254" t="str">
        <f>IF(AND(J36&gt;J37,E20=0),"2. Reinforcement not required","2. Reinforcement is required " )</f>
        <v>2. Reinforcement not required</v>
      </c>
      <c r="C36" s="248"/>
      <c r="D36" s="248"/>
      <c r="E36" s="248"/>
      <c r="F36" s="255" t="s">
        <v>590</v>
      </c>
      <c r="G36" s="256"/>
      <c r="H36" s="256"/>
      <c r="I36" s="256"/>
      <c r="J36" s="257">
        <f>IF(J23&gt;=E20,J34+J31+J29+J25+J19,J19+J25+J29+J34)</f>
        <v>1938.3902401347625</v>
      </c>
      <c r="K36" s="235"/>
      <c r="L36" s="187"/>
      <c r="M36" s="220"/>
      <c r="O36" s="290" t="s">
        <v>610</v>
      </c>
      <c r="P36" s="734">
        <f>S25*Q25/2/R25/0.5/10</f>
        <v>3.498979591836735</v>
      </c>
      <c r="Q36" s="290" t="s">
        <v>614</v>
      </c>
      <c r="R36" s="290"/>
      <c r="S36" s="290" t="str">
        <f t="shared" si="0"/>
        <v>Değer 2*d den büyük!</v>
      </c>
    </row>
    <row r="37" spans="1:27" ht="15" x14ac:dyDescent="0.2">
      <c r="A37" s="198"/>
      <c r="B37" s="258" t="str">
        <f>IF(E29=0," ",IF(AND(J36&gt;J37,E20=0),"  ", "3. Size of reinforcing ring, width(mm)  x  thk(mm)"))</f>
        <v xml:space="preserve"> </v>
      </c>
      <c r="C37" s="259" t="str">
        <f>IF(E29=0," ",IF(AND(J36&gt;J37,E20=0),"  ",ROUND(((IF(D30&lt;=E5+100,ROUND((E5+100),0),ROUND(D30,0)))-E5)/2,0)))</f>
        <v xml:space="preserve"> </v>
      </c>
      <c r="D37" s="260" t="str">
        <f>IF(E29=0," ",IF(AND(J36&gt;J37,E20=0)," ", " X "))</f>
        <v xml:space="preserve"> </v>
      </c>
      <c r="E37" s="261" t="str">
        <f>IF(E29=0," ",IF(AND(J36&gt;J37,E20=0)," ",E29))</f>
        <v xml:space="preserve"> </v>
      </c>
      <c r="F37" s="255" t="s">
        <v>591</v>
      </c>
      <c r="G37" s="256"/>
      <c r="H37" s="256"/>
      <c r="I37" s="256"/>
      <c r="J37" s="257">
        <f>J14*J13*(2-SIN(E21*PI()/180))</f>
        <v>82.172019787090747</v>
      </c>
      <c r="K37" s="235"/>
      <c r="L37" s="187"/>
      <c r="M37" s="220"/>
      <c r="O37" s="290" t="s">
        <v>620</v>
      </c>
      <c r="P37" s="734">
        <f>2.5*P32</f>
        <v>19.75</v>
      </c>
      <c r="Q37" s="290" t="s">
        <v>614</v>
      </c>
      <c r="R37" s="290"/>
      <c r="S37" s="290" t="str">
        <f t="shared" si="0"/>
        <v>Değer 2*d den büyük!</v>
      </c>
      <c r="AA37">
        <f>914.1-882.1</f>
        <v>32</v>
      </c>
    </row>
    <row r="38" spans="1:27" ht="21" customHeight="1" thickBot="1" x14ac:dyDescent="0.25">
      <c r="A38" s="252"/>
      <c r="B38" s="187"/>
      <c r="C38" s="187"/>
      <c r="D38" s="187"/>
      <c r="E38" s="187"/>
      <c r="F38" s="262"/>
      <c r="G38" s="229"/>
      <c r="H38" s="229"/>
      <c r="I38" s="229"/>
      <c r="J38" s="229"/>
      <c r="K38" s="191"/>
      <c r="L38" s="187"/>
      <c r="M38" s="220"/>
      <c r="O38" s="290" t="s">
        <v>621</v>
      </c>
      <c r="P38" s="734">
        <f>2.5*P29+P33</f>
        <v>26</v>
      </c>
      <c r="Q38" s="290" t="s">
        <v>614</v>
      </c>
      <c r="R38" s="290"/>
      <c r="S38" s="290" t="str">
        <f t="shared" si="0"/>
        <v>Değer 2*d den büyük!</v>
      </c>
      <c r="AA38">
        <f>13428.5/882.1</f>
        <v>15.223330688130597</v>
      </c>
    </row>
    <row r="39" spans="1:27" ht="15.75" thickBot="1" x14ac:dyDescent="0.25">
      <c r="A39" s="263"/>
      <c r="B39" s="180"/>
      <c r="C39" s="264" t="s">
        <v>592</v>
      </c>
      <c r="D39" s="265"/>
      <c r="E39" s="266"/>
      <c r="F39" s="267" t="s">
        <v>593</v>
      </c>
      <c r="G39" s="268"/>
      <c r="H39" s="180"/>
      <c r="I39" s="180"/>
      <c r="J39" s="269"/>
      <c r="K39" s="270" t="s">
        <v>594</v>
      </c>
      <c r="L39" s="180"/>
      <c r="M39" s="271" t="s">
        <v>595</v>
      </c>
      <c r="O39" s="290" t="s">
        <v>619</v>
      </c>
      <c r="P39" s="734">
        <f>IF(P37&lt;P38,P37,P38)</f>
        <v>19.75</v>
      </c>
      <c r="Q39" s="290" t="s">
        <v>614</v>
      </c>
      <c r="R39" s="290"/>
      <c r="S39" s="290" t="str">
        <f t="shared" si="0"/>
        <v>Değer 2*d den büyük!</v>
      </c>
    </row>
    <row r="40" spans="1:27" ht="16.5" customHeight="1" thickBot="1" x14ac:dyDescent="0.25">
      <c r="A40" s="186"/>
      <c r="B40" s="187"/>
      <c r="C40" s="272" t="s">
        <v>596</v>
      </c>
      <c r="D40" s="273"/>
      <c r="E40" s="273"/>
      <c r="F40" s="274"/>
      <c r="G40" s="191"/>
      <c r="H40" s="191"/>
      <c r="I40" s="191"/>
      <c r="J40" s="220"/>
      <c r="K40" s="191"/>
      <c r="L40" s="187"/>
      <c r="M40" s="274" t="s">
        <v>597</v>
      </c>
      <c r="O40" s="290" t="s">
        <v>623</v>
      </c>
      <c r="P40" s="734">
        <f>P31*P34</f>
        <v>779.18499999999995</v>
      </c>
      <c r="Q40" s="290" t="s">
        <v>617</v>
      </c>
      <c r="R40" s="290"/>
      <c r="S40" s="290" t="str">
        <f t="shared" si="0"/>
        <v>Değer 2*d den büyük!</v>
      </c>
    </row>
    <row r="41" spans="1:27" ht="16.5" customHeight="1" thickBot="1" x14ac:dyDescent="0.25">
      <c r="A41" s="275" t="s">
        <v>598</v>
      </c>
      <c r="B41" s="276"/>
      <c r="C41" s="277" t="s">
        <v>599</v>
      </c>
      <c r="D41" s="278"/>
      <c r="E41" s="278"/>
      <c r="F41" s="279"/>
      <c r="G41" s="280" t="s">
        <v>600</v>
      </c>
      <c r="H41" s="276"/>
      <c r="I41" s="276"/>
      <c r="J41" s="281"/>
      <c r="K41" s="278" t="s">
        <v>601</v>
      </c>
      <c r="L41" s="276"/>
      <c r="M41" s="282"/>
      <c r="O41" s="290" t="s">
        <v>1440</v>
      </c>
      <c r="P41" s="734">
        <f>IF((P32-P34-P35)*P31&gt;0,(P32-P34-P35)*P31,0)</f>
        <v>28.985000000000078</v>
      </c>
      <c r="Q41" s="290" t="s">
        <v>617</v>
      </c>
      <c r="R41" s="290"/>
      <c r="S41" s="290" t="e">
        <f t="shared" si="0"/>
        <v>#VALUE!</v>
      </c>
    </row>
    <row r="42" spans="1:27" ht="15" x14ac:dyDescent="0.2">
      <c r="A42" s="283"/>
      <c r="B42" s="187"/>
      <c r="C42" s="187"/>
      <c r="D42" s="187"/>
      <c r="E42" s="187"/>
      <c r="F42" s="191"/>
      <c r="G42" s="191"/>
      <c r="H42" s="191"/>
      <c r="I42" s="191"/>
      <c r="J42" s="191"/>
      <c r="K42" s="191"/>
      <c r="L42" s="187"/>
      <c r="M42" s="187"/>
      <c r="O42" s="290" t="s">
        <v>618</v>
      </c>
      <c r="P42" s="734">
        <f>2*(P29-P36-P30)*P39</f>
        <v>98.790306122448968</v>
      </c>
      <c r="Q42" s="290" t="s">
        <v>617</v>
      </c>
      <c r="R42" s="290"/>
      <c r="S42" s="290" t="e">
        <f t="shared" si="0"/>
        <v>#VALUE!</v>
      </c>
    </row>
    <row r="43" spans="1:27" s="510" customFormat="1" ht="15" x14ac:dyDescent="0.2">
      <c r="A43" s="283"/>
      <c r="B43" s="187"/>
      <c r="C43" s="187"/>
      <c r="D43" s="187"/>
      <c r="E43" s="187"/>
      <c r="F43" s="191"/>
      <c r="G43" s="191"/>
      <c r="H43" s="191"/>
      <c r="I43" s="191"/>
      <c r="J43" s="191"/>
      <c r="K43" s="191"/>
      <c r="L43" s="187"/>
      <c r="M43" s="187"/>
      <c r="O43" s="290" t="s">
        <v>624</v>
      </c>
      <c r="P43" s="520">
        <f>P42*R25/R24</f>
        <v>53.785833333333322</v>
      </c>
      <c r="Q43" t="s">
        <v>617</v>
      </c>
      <c r="R43" s="290"/>
      <c r="S43" s="734" t="e">
        <f t="shared" si="0"/>
        <v>#VALUE!</v>
      </c>
    </row>
    <row r="44" spans="1:27" ht="15" x14ac:dyDescent="0.2">
      <c r="A44" s="6"/>
      <c r="F44" s="7"/>
      <c r="G44" s="7"/>
      <c r="H44" s="7"/>
      <c r="I44" s="7"/>
      <c r="J44" s="7"/>
      <c r="K44" s="7"/>
      <c r="O44" s="290" t="s">
        <v>622</v>
      </c>
      <c r="P44" s="734">
        <f>P40-P41-P43</f>
        <v>696.41416666666646</v>
      </c>
      <c r="Q44" s="290" t="s">
        <v>617</v>
      </c>
      <c r="R44" s="290"/>
      <c r="S44" s="290" t="str">
        <f t="shared" si="0"/>
        <v>Değer 2*d den büyük!</v>
      </c>
    </row>
    <row r="45" spans="1:27" ht="15" x14ac:dyDescent="0.2">
      <c r="A45" s="6"/>
      <c r="F45" s="7"/>
      <c r="G45" s="7"/>
      <c r="H45" s="7"/>
      <c r="I45" s="7"/>
      <c r="J45" s="7"/>
      <c r="K45" s="7"/>
      <c r="O45" s="290" t="s">
        <v>1443</v>
      </c>
      <c r="P45" s="290">
        <f>P44/P33</f>
        <v>63.310378787878768</v>
      </c>
      <c r="Q45" s="290" t="s">
        <v>1444</v>
      </c>
      <c r="R45" s="290"/>
      <c r="S45" s="290" t="str">
        <f t="shared" si="0"/>
        <v>Değer 2*d den büyük!</v>
      </c>
    </row>
    <row r="46" spans="1:27" ht="15" x14ac:dyDescent="0.2">
      <c r="A46" s="6"/>
      <c r="F46" s="7"/>
      <c r="G46" s="7"/>
      <c r="H46" s="7"/>
      <c r="I46" s="7"/>
      <c r="J46" s="7"/>
      <c r="K46" s="7"/>
      <c r="O46" s="290" t="s">
        <v>1478</v>
      </c>
      <c r="P46" s="290" t="s">
        <v>1442</v>
      </c>
      <c r="Q46" s="734">
        <f>P40-P42-P41</f>
        <v>651.40969387755081</v>
      </c>
      <c r="R46" s="290" t="s">
        <v>617</v>
      </c>
      <c r="S46" s="290" t="str">
        <f t="shared" si="0"/>
        <v>Değer 2*d den büyük!</v>
      </c>
    </row>
    <row r="47" spans="1:27" ht="15" x14ac:dyDescent="0.2">
      <c r="A47" s="7"/>
      <c r="B47" s="7"/>
      <c r="C47" s="7"/>
      <c r="D47" s="7"/>
      <c r="E47" s="7"/>
      <c r="F47" s="7"/>
      <c r="G47" s="7"/>
      <c r="H47" s="7"/>
      <c r="I47" s="7"/>
      <c r="J47" s="7"/>
      <c r="K47" s="7"/>
      <c r="O47" s="290" t="s">
        <v>1441</v>
      </c>
      <c r="P47" s="734">
        <f>Q46/(2*P31-Q25)</f>
        <v>7.2138393563405403</v>
      </c>
      <c r="Q47" s="290" t="s">
        <v>614</v>
      </c>
      <c r="R47" s="290" t="s">
        <v>1446</v>
      </c>
      <c r="S47" s="290" t="str">
        <f t="shared" si="0"/>
        <v>Değer uygun</v>
      </c>
    </row>
    <row r="48" spans="1:27" ht="15" x14ac:dyDescent="0.2">
      <c r="F48" s="7"/>
      <c r="G48" s="7"/>
      <c r="H48" s="7"/>
      <c r="I48" s="7"/>
      <c r="J48" s="7"/>
      <c r="K48" s="7"/>
      <c r="O48" s="290" t="s">
        <v>1477</v>
      </c>
      <c r="P48" s="734">
        <f>Q46*R24/R26</f>
        <v>825.73059787295176</v>
      </c>
      <c r="Q48" s="290"/>
      <c r="R48" s="734" t="s">
        <v>1476</v>
      </c>
      <c r="S48" s="290" t="str">
        <f t="shared" si="0"/>
        <v>Değer 2*d den büyük!</v>
      </c>
    </row>
    <row r="49" spans="6:19" ht="15" x14ac:dyDescent="0.2">
      <c r="F49" s="7"/>
      <c r="G49" s="7"/>
      <c r="H49" s="7"/>
      <c r="I49" s="7"/>
      <c r="J49" s="7"/>
      <c r="K49" s="7"/>
      <c r="O49" s="290" t="s">
        <v>1479</v>
      </c>
      <c r="P49" s="734">
        <v>204.6</v>
      </c>
      <c r="Q49" s="290" t="s">
        <v>614</v>
      </c>
      <c r="R49" s="290" t="s">
        <v>1481</v>
      </c>
      <c r="S49" s="805" t="str">
        <f t="shared" si="0"/>
        <v>Değer uygun</v>
      </c>
    </row>
    <row r="50" spans="6:19" ht="16.5" customHeight="1" x14ac:dyDescent="0.2">
      <c r="O50" s="290" t="s">
        <v>1480</v>
      </c>
      <c r="P50" s="734">
        <f>(P48)/(P49-Q25)</f>
        <v>9.1443034094457563</v>
      </c>
      <c r="Q50" s="290" t="s">
        <v>614</v>
      </c>
      <c r="R50" s="290" t="s">
        <v>1482</v>
      </c>
      <c r="S50" s="805" t="str">
        <f t="shared" si="0"/>
        <v>Değer uygun</v>
      </c>
    </row>
    <row r="54" spans="6:19" ht="16.5" customHeight="1" x14ac:dyDescent="0.2">
      <c r="O54" s="1046" t="s">
        <v>1467</v>
      </c>
      <c r="P54" s="1046"/>
      <c r="Q54" s="510">
        <f>75/10*Q24/P32/2</f>
        <v>216.93037974683543</v>
      </c>
      <c r="R54" t="s">
        <v>1470</v>
      </c>
      <c r="S54">
        <f>Q25</f>
        <v>114.3</v>
      </c>
    </row>
    <row r="55" spans="6:19" ht="16.5" customHeight="1" x14ac:dyDescent="0.2">
      <c r="O55" s="1046" t="s">
        <v>1468</v>
      </c>
      <c r="P55" s="1046"/>
      <c r="Q55">
        <f>R24</f>
        <v>450</v>
      </c>
      <c r="R55" t="s">
        <v>1471</v>
      </c>
      <c r="S55">
        <f>Q24</f>
        <v>457</v>
      </c>
    </row>
    <row r="56" spans="6:19" ht="16.5" customHeight="1" x14ac:dyDescent="0.2">
      <c r="O56" s="1046" t="s">
        <v>1469</v>
      </c>
      <c r="P56" s="1046"/>
      <c r="Q56" s="798">
        <f>Q54/Q55</f>
        <v>0.48206751054852315</v>
      </c>
      <c r="S56" s="798">
        <f>S54/S55</f>
        <v>0.250109409190372</v>
      </c>
    </row>
  </sheetData>
  <dataConsolidate/>
  <mergeCells count="5">
    <mergeCell ref="O28:R28"/>
    <mergeCell ref="O27:P27"/>
    <mergeCell ref="O54:P54"/>
    <mergeCell ref="O55:P55"/>
    <mergeCell ref="O56:P56"/>
  </mergeCells>
  <conditionalFormatting sqref="P33">
    <cfRule type="cellIs" dxfId="6" priority="4" operator="greaterThan">
      <formula>$P$47</formula>
    </cfRule>
    <cfRule type="cellIs" dxfId="5" priority="3" operator="lessThan">
      <formula>$P$47</formula>
    </cfRule>
  </conditionalFormatting>
  <conditionalFormatting sqref="P45">
    <cfRule type="cellIs" dxfId="4" priority="1" stopIfTrue="1" operator="lessThanOrEqual">
      <formula>$P$31*2</formula>
    </cfRule>
    <cfRule type="cellIs" dxfId="3" priority="5" operator="lessThan">
      <formula>$P$31-2*$P$29</formula>
    </cfRule>
    <cfRule type="cellIs" dxfId="2" priority="6" operator="greaterThan">
      <formula>$P$31-2*$P$29</formula>
    </cfRule>
    <cfRule type="expression" dxfId="1" priority="7">
      <formula>"(p42&lt;$P$30-2*$P$29)"</formula>
    </cfRule>
  </conditionalFormatting>
  <conditionalFormatting sqref="P49">
    <cfRule type="cellIs" dxfId="0" priority="2" stopIfTrue="1" operator="greaterThan">
      <formula>$P$31*2</formula>
    </cfRule>
  </conditionalFormatting>
  <dataValidations count="1">
    <dataValidation type="list" allowBlank="1" showInputMessage="1" showErrorMessage="1" sqref="Q27" xr:uid="{00000000-0002-0000-0300-000000000000}">
      <formula1>$S$15:$S$18</formula1>
    </dataValidation>
  </dataValidations>
  <pageMargins left="0.7" right="0.7" top="0.75" bottom="0.75" header="0.3" footer="0.3"/>
  <drawing r:id="rId1"/>
  <tableParts count="2">
    <tablePart r:id="rId2"/>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1000000}">
          <x14:formula1>
            <xm:f>'Boru Kontrol Tablosu ASME'!$B$21:$B$53</xm:f>
          </x14:formula1>
          <xm:sqref>I2:I3 P24:P26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ublished="0"/>
  <dimension ref="A2:AS103"/>
  <sheetViews>
    <sheetView view="pageBreakPreview" zoomScale="85" zoomScaleNormal="85" zoomScaleSheetLayoutView="85" workbookViewId="0">
      <selection activeCell="B20" sqref="B20:P53"/>
    </sheetView>
  </sheetViews>
  <sheetFormatPr defaultColWidth="8.875" defaultRowHeight="15" x14ac:dyDescent="0.2"/>
  <cols>
    <col min="1" max="1" width="8.875" style="510"/>
    <col min="2" max="2" width="6.859375" style="510" customWidth="1"/>
    <col min="3" max="3" width="7.26171875" style="510" customWidth="1"/>
    <col min="4" max="4" width="8.875" style="510" customWidth="1"/>
    <col min="5" max="5" width="11.43359375" style="510" bestFit="1" customWidth="1"/>
    <col min="6" max="6" width="14.125" style="510" bestFit="1" customWidth="1"/>
    <col min="7" max="7" width="10.89453125" style="510" customWidth="1"/>
    <col min="8" max="8" width="14.66015625" style="510" bestFit="1" customWidth="1"/>
    <col min="9" max="9" width="14.390625" style="510" bestFit="1" customWidth="1"/>
    <col min="10" max="10" width="11.56640625" style="510" bestFit="1" customWidth="1"/>
    <col min="11" max="11" width="14.390625" style="510" bestFit="1" customWidth="1"/>
    <col min="12" max="12" width="11.56640625" style="510" bestFit="1" customWidth="1"/>
    <col min="13" max="13" width="13.98828125" style="510" customWidth="1"/>
    <col min="14" max="14" width="11.56640625" style="510" bestFit="1" customWidth="1"/>
    <col min="15" max="15" width="14.390625" style="510" bestFit="1" customWidth="1"/>
    <col min="16" max="16" width="11.56640625" style="510" bestFit="1" customWidth="1"/>
    <col min="17" max="17" width="12.10546875" style="510" customWidth="1"/>
    <col min="18" max="18" width="11.296875" style="510" customWidth="1"/>
    <col min="19" max="19" width="12.9140625" style="510" customWidth="1"/>
    <col min="20" max="20" width="13.046875" style="510" customWidth="1"/>
    <col min="21" max="21" width="8.875" style="510" customWidth="1"/>
    <col min="22" max="22" width="9.14453125" style="510" customWidth="1"/>
    <col min="23" max="23" width="9.28125" style="510" customWidth="1"/>
    <col min="24" max="25" width="9.55078125" style="510" customWidth="1"/>
    <col min="26" max="26" width="10.89453125" style="510" customWidth="1"/>
    <col min="27" max="27" width="11.1640625" style="510" customWidth="1"/>
    <col min="28" max="28" width="8.609375" style="510" customWidth="1"/>
    <col min="29" max="29" width="11.02734375" style="510" customWidth="1"/>
    <col min="30" max="30" width="7.93359375" style="510" customWidth="1"/>
    <col min="31" max="31" width="11.1640625" style="510" customWidth="1"/>
    <col min="32" max="32" width="7.93359375" style="510" customWidth="1"/>
    <col min="33" max="35" width="11.43359375" style="510" customWidth="1"/>
    <col min="36" max="36" width="8.0703125" style="510" bestFit="1" customWidth="1"/>
    <col min="37" max="37" width="9.55078125" style="510" bestFit="1" customWidth="1"/>
    <col min="38" max="38" width="12.64453125" style="510" bestFit="1" customWidth="1"/>
    <col min="39" max="39" width="10.4921875" style="510" bestFit="1" customWidth="1"/>
    <col min="40" max="40" width="9.28125" style="510" bestFit="1" customWidth="1"/>
    <col min="41" max="41" width="10.4921875" style="510" bestFit="1" customWidth="1"/>
    <col min="42" max="42" width="12.64453125" style="510" bestFit="1" customWidth="1"/>
    <col min="43" max="43" width="10.4921875" style="510" bestFit="1" customWidth="1"/>
    <col min="44" max="44" width="12.375" style="510" customWidth="1"/>
    <col min="45" max="45" width="10.4921875" style="510" customWidth="1"/>
    <col min="46" max="16384" width="8.875" style="510"/>
  </cols>
  <sheetData>
    <row r="2" spans="2:45" x14ac:dyDescent="0.2">
      <c r="B2" s="119" t="s">
        <v>284</v>
      </c>
    </row>
    <row r="3" spans="2:45" x14ac:dyDescent="0.2">
      <c r="B3" s="119" t="s">
        <v>285</v>
      </c>
    </row>
    <row r="4" spans="2:45" x14ac:dyDescent="0.2">
      <c r="B4" s="119" t="s">
        <v>286</v>
      </c>
    </row>
    <row r="5" spans="2:45" x14ac:dyDescent="0.2">
      <c r="B5" s="119" t="s">
        <v>287</v>
      </c>
    </row>
    <row r="6" spans="2:45" x14ac:dyDescent="0.2">
      <c r="B6" s="119" t="s">
        <v>288</v>
      </c>
    </row>
    <row r="7" spans="2:45" x14ac:dyDescent="0.2">
      <c r="B7" s="119"/>
    </row>
    <row r="8" spans="2:45" x14ac:dyDescent="0.2">
      <c r="B8" s="119"/>
    </row>
    <row r="11" spans="2:45" x14ac:dyDescent="0.2">
      <c r="B11" s="510" t="e">
        <f>VLOOKUP('Et Kalınlığı Hesaplama'!E5,Tablo244[ÇAP mm],6,FALSE)</f>
        <v>#REF!</v>
      </c>
    </row>
    <row r="15" spans="2:45" ht="15.75" thickBot="1" x14ac:dyDescent="0.25"/>
    <row r="16" spans="2:45" ht="15.75" thickBot="1" x14ac:dyDescent="0.25">
      <c r="G16" s="1048" t="s">
        <v>76</v>
      </c>
      <c r="H16" s="1049"/>
      <c r="I16" s="1049"/>
      <c r="J16" s="1049"/>
      <c r="K16" s="1049"/>
      <c r="L16" s="1049"/>
      <c r="M16" s="1049"/>
      <c r="N16" s="1050"/>
      <c r="O16" s="1048" t="s">
        <v>518</v>
      </c>
      <c r="P16" s="1050"/>
      <c r="Z16" s="1048" t="s">
        <v>52</v>
      </c>
      <c r="AA16" s="1049"/>
      <c r="AB16" s="1049"/>
      <c r="AC16" s="1049"/>
      <c r="AD16" s="1049"/>
      <c r="AE16" s="1049"/>
      <c r="AF16" s="1049"/>
      <c r="AG16" s="1049"/>
      <c r="AH16" s="1049"/>
      <c r="AI16" s="1049"/>
      <c r="AJ16" s="1048" t="s">
        <v>64</v>
      </c>
      <c r="AK16" s="1049"/>
      <c r="AL16" s="1049"/>
      <c r="AM16" s="1049"/>
      <c r="AN16" s="1049"/>
      <c r="AO16" s="1049"/>
      <c r="AP16" s="1049"/>
      <c r="AQ16" s="1049"/>
      <c r="AR16" s="1049"/>
      <c r="AS16" s="1050"/>
    </row>
    <row r="17" spans="1:45" ht="15.75" thickBot="1" x14ac:dyDescent="0.25">
      <c r="G17" s="1051" t="s">
        <v>77</v>
      </c>
      <c r="H17" s="1052"/>
      <c r="I17" s="1052"/>
      <c r="J17" s="1052"/>
      <c r="K17" s="1052"/>
      <c r="L17" s="1052"/>
      <c r="M17" s="1052" t="s">
        <v>78</v>
      </c>
      <c r="N17" s="1053"/>
      <c r="O17" s="1052" t="s">
        <v>78</v>
      </c>
      <c r="P17" s="1053"/>
      <c r="Q17" s="1054" t="s">
        <v>53</v>
      </c>
      <c r="R17" s="1055"/>
      <c r="S17" s="1055"/>
      <c r="T17" s="1055"/>
      <c r="U17" s="1056" t="s">
        <v>540</v>
      </c>
      <c r="V17" s="1057"/>
      <c r="W17" s="1057"/>
      <c r="X17" s="1057" t="s">
        <v>78</v>
      </c>
      <c r="Y17" s="1058"/>
      <c r="Z17" s="1059" t="s">
        <v>77</v>
      </c>
      <c r="AA17" s="1060"/>
      <c r="AB17" s="1060"/>
      <c r="AC17" s="1060"/>
      <c r="AD17" s="1060"/>
      <c r="AE17" s="1060"/>
      <c r="AF17" s="1061" t="s">
        <v>78</v>
      </c>
      <c r="AG17" s="1055"/>
      <c r="AH17" s="1055"/>
      <c r="AI17" s="1055"/>
      <c r="AJ17" s="1062" t="s">
        <v>77</v>
      </c>
      <c r="AK17" s="1063"/>
      <c r="AL17" s="1063"/>
      <c r="AM17" s="1063"/>
      <c r="AN17" s="1063"/>
      <c r="AO17" s="1063"/>
      <c r="AP17" s="1064" t="s">
        <v>78</v>
      </c>
      <c r="AQ17" s="1065"/>
      <c r="AR17" s="1065"/>
      <c r="AS17" s="1066"/>
    </row>
    <row r="18" spans="1:45" x14ac:dyDescent="0.2">
      <c r="G18" s="1067" t="s">
        <v>49</v>
      </c>
      <c r="H18" s="1068"/>
      <c r="I18" s="1068" t="s">
        <v>50</v>
      </c>
      <c r="J18" s="1068"/>
      <c r="K18" s="1068" t="s">
        <v>51</v>
      </c>
      <c r="L18" s="1068"/>
      <c r="M18" s="1068" t="s">
        <v>51</v>
      </c>
      <c r="N18" s="1069"/>
      <c r="O18" s="1068" t="s">
        <v>51</v>
      </c>
      <c r="P18" s="1070"/>
      <c r="Q18" s="176"/>
      <c r="R18" s="177"/>
      <c r="S18" s="177"/>
      <c r="T18" s="178"/>
      <c r="U18" s="171" t="s">
        <v>49</v>
      </c>
      <c r="V18" s="781" t="s">
        <v>58</v>
      </c>
      <c r="W18" s="781" t="s">
        <v>57</v>
      </c>
      <c r="X18" s="781" t="s">
        <v>57</v>
      </c>
      <c r="Y18" s="172" t="s">
        <v>57</v>
      </c>
      <c r="Z18" s="1071" t="s">
        <v>49</v>
      </c>
      <c r="AA18" s="1072"/>
      <c r="AB18" s="1072" t="s">
        <v>58</v>
      </c>
      <c r="AC18" s="1072"/>
      <c r="AD18" s="1072" t="s">
        <v>57</v>
      </c>
      <c r="AE18" s="1072"/>
      <c r="AF18" s="1072" t="s">
        <v>57</v>
      </c>
      <c r="AG18" s="1072"/>
      <c r="AH18" s="1072" t="s">
        <v>57</v>
      </c>
      <c r="AI18" s="1076"/>
      <c r="AJ18" s="1077" t="s">
        <v>49</v>
      </c>
      <c r="AK18" s="1073"/>
      <c r="AL18" s="1073" t="s">
        <v>58</v>
      </c>
      <c r="AM18" s="1073"/>
      <c r="AN18" s="1073" t="s">
        <v>57</v>
      </c>
      <c r="AO18" s="1073"/>
      <c r="AP18" s="1073" t="s">
        <v>57</v>
      </c>
      <c r="AQ18" s="1073"/>
      <c r="AR18" s="1074" t="s">
        <v>539</v>
      </c>
      <c r="AS18" s="1075"/>
    </row>
    <row r="19" spans="1:45" ht="15.75" thickBot="1" x14ac:dyDescent="0.25">
      <c r="B19" s="510">
        <v>1</v>
      </c>
      <c r="C19" s="510">
        <v>2</v>
      </c>
      <c r="D19" s="510">
        <v>3</v>
      </c>
      <c r="E19" s="510">
        <v>4</v>
      </c>
      <c r="F19" s="510">
        <v>5</v>
      </c>
      <c r="G19" s="510">
        <v>6</v>
      </c>
      <c r="H19" s="510">
        <v>7</v>
      </c>
      <c r="I19" s="510">
        <v>8</v>
      </c>
      <c r="J19" s="510">
        <v>9</v>
      </c>
      <c r="K19" s="510">
        <v>10</v>
      </c>
      <c r="L19" s="510">
        <v>11</v>
      </c>
      <c r="M19" s="510">
        <v>12</v>
      </c>
      <c r="N19" s="510">
        <v>13</v>
      </c>
      <c r="O19" s="510">
        <v>14</v>
      </c>
      <c r="P19" s="510">
        <v>15</v>
      </c>
      <c r="Q19" s="6">
        <v>16</v>
      </c>
      <c r="R19" s="7">
        <v>17</v>
      </c>
      <c r="S19" s="7">
        <v>18</v>
      </c>
      <c r="T19" s="169">
        <v>19</v>
      </c>
      <c r="U19" s="6">
        <v>20</v>
      </c>
      <c r="V19" s="7">
        <v>21</v>
      </c>
      <c r="W19" s="7">
        <v>22</v>
      </c>
      <c r="X19" s="7">
        <v>23</v>
      </c>
      <c r="Y19" s="169">
        <v>24</v>
      </c>
      <c r="Z19" s="510">
        <v>25</v>
      </c>
      <c r="AA19" s="510">
        <v>26</v>
      </c>
      <c r="AB19" s="510">
        <v>27</v>
      </c>
      <c r="AC19" s="510">
        <v>28</v>
      </c>
      <c r="AD19" s="510">
        <v>29</v>
      </c>
      <c r="AE19" s="510">
        <v>30</v>
      </c>
      <c r="AF19" s="510">
        <v>31</v>
      </c>
      <c r="AG19" s="510">
        <v>32</v>
      </c>
      <c r="AH19" s="510">
        <v>33</v>
      </c>
      <c r="AI19" s="510">
        <v>34</v>
      </c>
      <c r="AJ19" s="510">
        <v>35</v>
      </c>
      <c r="AK19" s="510">
        <v>36</v>
      </c>
      <c r="AL19" s="510">
        <v>37</v>
      </c>
      <c r="AM19" s="510">
        <v>38</v>
      </c>
      <c r="AN19" s="510">
        <v>39</v>
      </c>
      <c r="AO19" s="510">
        <v>40</v>
      </c>
      <c r="AP19" s="510">
        <v>41</v>
      </c>
      <c r="AQ19" s="510">
        <v>42</v>
      </c>
      <c r="AR19" s="510">
        <v>43</v>
      </c>
      <c r="AS19" s="510">
        <v>44</v>
      </c>
    </row>
    <row r="20" spans="1:45" s="512" customFormat="1" ht="28.5" thickBot="1" x14ac:dyDescent="0.25">
      <c r="B20" s="24" t="s">
        <v>63</v>
      </c>
      <c r="C20" s="25" t="s">
        <v>0</v>
      </c>
      <c r="D20" s="25" t="s">
        <v>1</v>
      </c>
      <c r="E20" s="25" t="s">
        <v>68</v>
      </c>
      <c r="F20" s="25" t="s">
        <v>67</v>
      </c>
      <c r="G20" s="24" t="s">
        <v>2</v>
      </c>
      <c r="H20" s="25" t="s">
        <v>3</v>
      </c>
      <c r="I20" s="25" t="s">
        <v>42</v>
      </c>
      <c r="J20" s="25" t="s">
        <v>59</v>
      </c>
      <c r="K20" s="25" t="s">
        <v>60</v>
      </c>
      <c r="L20" s="25" t="s">
        <v>61</v>
      </c>
      <c r="M20" s="25" t="s">
        <v>43</v>
      </c>
      <c r="N20" s="26" t="s">
        <v>62</v>
      </c>
      <c r="O20" s="25" t="s">
        <v>521</v>
      </c>
      <c r="P20" s="25" t="s">
        <v>519</v>
      </c>
      <c r="Q20" s="27" t="s">
        <v>45</v>
      </c>
      <c r="R20" s="28" t="s">
        <v>46</v>
      </c>
      <c r="S20" s="28" t="s">
        <v>47</v>
      </c>
      <c r="T20" s="29" t="s">
        <v>48</v>
      </c>
      <c r="U20" s="27" t="s">
        <v>54</v>
      </c>
      <c r="V20" s="28" t="s">
        <v>55</v>
      </c>
      <c r="W20" s="28" t="s">
        <v>56</v>
      </c>
      <c r="X20" s="28" t="s">
        <v>75</v>
      </c>
      <c r="Y20" s="29" t="s">
        <v>526</v>
      </c>
      <c r="Z20" s="25" t="s">
        <v>528</v>
      </c>
      <c r="AA20" s="25" t="s">
        <v>527</v>
      </c>
      <c r="AB20" s="25" t="s">
        <v>529</v>
      </c>
      <c r="AC20" s="25" t="s">
        <v>530</v>
      </c>
      <c r="AD20" s="25" t="s">
        <v>531</v>
      </c>
      <c r="AE20" s="25" t="s">
        <v>532</v>
      </c>
      <c r="AF20" s="25" t="s">
        <v>533</v>
      </c>
      <c r="AG20" s="26" t="s">
        <v>534</v>
      </c>
      <c r="AH20" s="24" t="s">
        <v>535</v>
      </c>
      <c r="AI20" s="25" t="s">
        <v>536</v>
      </c>
      <c r="AJ20" s="24" t="s">
        <v>65</v>
      </c>
      <c r="AK20" s="25" t="s">
        <v>66</v>
      </c>
      <c r="AL20" s="25" t="s">
        <v>69</v>
      </c>
      <c r="AM20" s="25" t="s">
        <v>72</v>
      </c>
      <c r="AN20" s="25" t="s">
        <v>73</v>
      </c>
      <c r="AO20" s="25" t="s">
        <v>70</v>
      </c>
      <c r="AP20" s="25" t="s">
        <v>71</v>
      </c>
      <c r="AQ20" s="26" t="s">
        <v>74</v>
      </c>
      <c r="AR20" s="25" t="s">
        <v>537</v>
      </c>
      <c r="AS20" s="26" t="s">
        <v>538</v>
      </c>
    </row>
    <row r="21" spans="1:45" ht="15.75" thickBot="1" x14ac:dyDescent="0.25">
      <c r="B21" s="39" t="s">
        <v>4</v>
      </c>
      <c r="C21" s="40">
        <v>21.3</v>
      </c>
      <c r="D21" s="40" t="s">
        <v>84</v>
      </c>
      <c r="E21" s="41">
        <v>35500</v>
      </c>
      <c r="F21" s="42">
        <v>415</v>
      </c>
      <c r="G21" s="49"/>
      <c r="H21" s="50"/>
      <c r="I21" s="514"/>
      <c r="J21" s="514"/>
      <c r="K21" s="514"/>
      <c r="L21" s="50"/>
      <c r="M21" s="514">
        <v>3.7</v>
      </c>
      <c r="N21" s="52">
        <f>2*Tablo244[[#This Row],[SMYS Psi]]*Tablo244[[#This Row],[Et Kalınlığı 4]]/Tablo244[[#This Row],[ÇAP mm]]/14.50377</f>
        <v>850.35362070229553</v>
      </c>
      <c r="O21" s="50">
        <v>3.7</v>
      </c>
      <c r="P21" s="50">
        <f>2*Tablo244[[#This Row],[SMYS Psi]]*Tablo244[[#This Row],[Et Kalınlığı 5]]/Tablo244[[#This Row],[ÇAP mm]]/14.50377</f>
        <v>850.35362070229553</v>
      </c>
      <c r="Q21" s="17">
        <f>Tablo244[[#This Row],[ÇAP mm]]+0.4</f>
        <v>21.7</v>
      </c>
      <c r="R21" s="780">
        <f>Tablo244[[#This Row],[ÇAP mm]]-0.8</f>
        <v>20.5</v>
      </c>
      <c r="S21" s="780">
        <f>Tablo244[[#This Row],[ÇAP mm]]+0.4</f>
        <v>21.7</v>
      </c>
      <c r="T21" s="18">
        <f>Tablo244[[#This Row],[ÇAP mm]]-0.8</f>
        <v>20.5</v>
      </c>
      <c r="U21" s="173"/>
      <c r="V21" s="60"/>
      <c r="W21" s="60"/>
      <c r="X21" s="61">
        <f>Tablo244[[#This Row],[ÇAP mm]]/Tablo244[[#This Row],[Et Kalınlığı 4]]</f>
        <v>5.756756756756757</v>
      </c>
      <c r="Y21" s="174">
        <f>Tablo244[[#This Row],[ÇAP mm]]/Tablo244[[#This Row],[Et Kalınlığı 5]]</f>
        <v>5.756756756756757</v>
      </c>
      <c r="Z21" s="7"/>
      <c r="AA21" s="7"/>
      <c r="AB21" s="7"/>
      <c r="AC21" s="7"/>
      <c r="AD21" s="7"/>
      <c r="AE21" s="7"/>
      <c r="AF21" s="8">
        <f>0.9/2</f>
        <v>0.45</v>
      </c>
      <c r="AG21" s="64">
        <f>1.2</f>
        <v>1.2</v>
      </c>
      <c r="AH21" s="8">
        <f>0.9/2</f>
        <v>0.45</v>
      </c>
      <c r="AI21" s="8">
        <v>1.2</v>
      </c>
      <c r="AJ21" s="11"/>
      <c r="AK21" s="5"/>
      <c r="AL21" s="7"/>
      <c r="AM21" s="7"/>
      <c r="AN21" s="7"/>
      <c r="AO21" s="7"/>
      <c r="AP21" s="5">
        <f>IF(40*Tablo244[[#This Row],[Et Kalınlığı 4]]&lt;485,Tablo244[[#This Row],[Et Kalınlığı 4]]*40,485)</f>
        <v>148</v>
      </c>
      <c r="AQ21" s="12">
        <f>1940*POWER(ROUND(Tablo151[[#This Row],[Axc mm24]],-1),0.2)/POWER(Tablo244[[#This Row],[Tensile Mpa]],0.9)</f>
        <v>23.26894508671835</v>
      </c>
      <c r="AR21" s="5">
        <f>IF(40*Tablo244[[#This Row],[Et Kalınlığı 5]]&lt;485,Tablo244[[#This Row],[Et Kalınlığı 4]]*40,485)</f>
        <v>148</v>
      </c>
      <c r="AS21" s="64">
        <f>1940*POWER(ROUND(Tablo151[[#This Row],[Axc mm25]],-1),0.2)/POWER(Tablo244[[#This Row],[Tensile Mpa]],0.9)</f>
        <v>23.26894508671835</v>
      </c>
    </row>
    <row r="22" spans="1:45" ht="15.75" thickBot="1" x14ac:dyDescent="0.25">
      <c r="B22" s="43" t="s">
        <v>5</v>
      </c>
      <c r="C22" s="780">
        <v>26.7</v>
      </c>
      <c r="D22" s="40" t="s">
        <v>84</v>
      </c>
      <c r="E22" s="44">
        <v>35500</v>
      </c>
      <c r="F22" s="45">
        <v>415</v>
      </c>
      <c r="G22" s="49"/>
      <c r="H22" s="50"/>
      <c r="I22" s="514"/>
      <c r="J22" s="514"/>
      <c r="K22" s="514"/>
      <c r="L22" s="50"/>
      <c r="M22" s="514">
        <v>3.9</v>
      </c>
      <c r="N22" s="52">
        <f>2*Tablo244[[#This Row],[SMYS Psi]]*Tablo244[[#This Row],[Et Kalınlığı 4]]/Tablo244[[#This Row],[ÇAP mm]]/14.50377</f>
        <v>715.04074574086133</v>
      </c>
      <c r="O22" s="50">
        <v>3.9</v>
      </c>
      <c r="P22" s="50">
        <f>2*Tablo244[[#This Row],[SMYS Psi]]*Tablo244[[#This Row],[Et Kalınlığı 5]]/Tablo244[[#This Row],[ÇAP mm]]/14.50377</f>
        <v>715.04074574086133</v>
      </c>
      <c r="Q22" s="17">
        <f>Tablo244[[#This Row],[ÇAP mm]]+0.4</f>
        <v>27.099999999999998</v>
      </c>
      <c r="R22" s="780">
        <f>Tablo244[[#This Row],[ÇAP mm]]-0.8</f>
        <v>25.9</v>
      </c>
      <c r="S22" s="780">
        <f>Tablo244[[#This Row],[ÇAP mm]]+0.4</f>
        <v>27.099999999999998</v>
      </c>
      <c r="T22" s="18">
        <f>Tablo244[[#This Row],[ÇAP mm]]-0.8</f>
        <v>25.9</v>
      </c>
      <c r="U22" s="173"/>
      <c r="V22" s="60"/>
      <c r="W22" s="60"/>
      <c r="X22" s="61">
        <f>Tablo244[[#This Row],[ÇAP mm]]/Tablo244[[#This Row],[Et Kalınlığı 4]]</f>
        <v>6.8461538461538458</v>
      </c>
      <c r="Y22" s="174">
        <f>Tablo244[[#This Row],[ÇAP mm]]/Tablo244[[#This Row],[Et Kalınlığı 5]]</f>
        <v>6.8461538461538458</v>
      </c>
      <c r="Z22" s="7"/>
      <c r="AA22" s="7"/>
      <c r="AB22" s="7"/>
      <c r="AC22" s="7"/>
      <c r="AD22" s="7"/>
      <c r="AE22" s="7"/>
      <c r="AF22" s="8">
        <f>0.9/2</f>
        <v>0.45</v>
      </c>
      <c r="AG22" s="64">
        <f>1.2</f>
        <v>1.2</v>
      </c>
      <c r="AH22" s="8">
        <f>0.9/2</f>
        <v>0.45</v>
      </c>
      <c r="AI22" s="8">
        <v>1.2</v>
      </c>
      <c r="AJ22" s="11"/>
      <c r="AK22" s="5"/>
      <c r="AL22" s="7"/>
      <c r="AM22" s="7"/>
      <c r="AN22" s="7"/>
      <c r="AO22" s="7"/>
      <c r="AP22" s="5">
        <f>IF(40*Tablo244[[#This Row],[Et Kalınlığı 4]]&lt;485,Tablo244[[#This Row],[Et Kalınlığı 4]]*40,485)</f>
        <v>156</v>
      </c>
      <c r="AQ22" s="12">
        <f>1940*POWER(ROUND(Tablo151[[#This Row],[Axc mm24]],-1),0.2)/POWER(Tablo244[[#This Row],[Tensile Mpa]],0.9)</f>
        <v>23.571240520529436</v>
      </c>
      <c r="AR22" s="5">
        <f>IF(40*Tablo244[[#This Row],[Et Kalınlığı 5]]&lt;485,Tablo244[[#This Row],[Et Kalınlığı 4]]*40,485)</f>
        <v>156</v>
      </c>
      <c r="AS22" s="64">
        <f>1940*POWER(ROUND(Tablo151[[#This Row],[Axc mm25]],-1),0.2)/POWER(Tablo244[[#This Row],[Tensile Mpa]],0.9)</f>
        <v>23.571240520529436</v>
      </c>
    </row>
    <row r="23" spans="1:45" ht="15.75" thickBot="1" x14ac:dyDescent="0.25">
      <c r="B23" s="43" t="s">
        <v>6</v>
      </c>
      <c r="C23" s="780">
        <v>33.4</v>
      </c>
      <c r="D23" s="40" t="s">
        <v>84</v>
      </c>
      <c r="E23" s="44">
        <v>35500</v>
      </c>
      <c r="F23" s="45">
        <v>415</v>
      </c>
      <c r="G23" s="49"/>
      <c r="H23" s="50"/>
      <c r="I23" s="514"/>
      <c r="J23" s="514"/>
      <c r="K23" s="514"/>
      <c r="L23" s="50"/>
      <c r="M23" s="514">
        <v>4.5999999999999996</v>
      </c>
      <c r="N23" s="52">
        <f>2*Tablo244[[#This Row],[SMYS Psi]]*Tablo244[[#This Row],[Et Kalınlığı 4]]/Tablo244[[#This Row],[ÇAP mm]]/14.50377</f>
        <v>674.2000951319867</v>
      </c>
      <c r="O23" s="50">
        <v>4.5999999999999996</v>
      </c>
      <c r="P23" s="50">
        <f>2*Tablo244[[#This Row],[SMYS Psi]]*Tablo244[[#This Row],[Et Kalınlığı 5]]/Tablo244[[#This Row],[ÇAP mm]]/14.50377</f>
        <v>674.2000951319867</v>
      </c>
      <c r="Q23" s="17">
        <f>Tablo244[[#This Row],[ÇAP mm]]+0.4</f>
        <v>33.799999999999997</v>
      </c>
      <c r="R23" s="780">
        <f>Tablo244[[#This Row],[ÇAP mm]]-0.8</f>
        <v>32.6</v>
      </c>
      <c r="S23" s="780">
        <f>Tablo244[[#This Row],[ÇAP mm]]+0.4</f>
        <v>33.799999999999997</v>
      </c>
      <c r="T23" s="18">
        <f>Tablo244[[#This Row],[ÇAP mm]]-0.8</f>
        <v>32.6</v>
      </c>
      <c r="U23" s="173"/>
      <c r="V23" s="60"/>
      <c r="W23" s="60"/>
      <c r="X23" s="61">
        <f>Tablo244[[#This Row],[ÇAP mm]]/Tablo244[[#This Row],[Et Kalınlığı 4]]</f>
        <v>7.2608695652173916</v>
      </c>
      <c r="Y23" s="174">
        <f>Tablo244[[#This Row],[ÇAP mm]]/Tablo244[[#This Row],[Et Kalınlığı 5]]</f>
        <v>7.2608695652173916</v>
      </c>
      <c r="Z23" s="7"/>
      <c r="AA23" s="7"/>
      <c r="AB23" s="7"/>
      <c r="AC23" s="7"/>
      <c r="AD23" s="7"/>
      <c r="AE23" s="7"/>
      <c r="AF23" s="8">
        <f>0.9/2</f>
        <v>0.45</v>
      </c>
      <c r="AG23" s="64">
        <f>1.2</f>
        <v>1.2</v>
      </c>
      <c r="AH23" s="8">
        <f>0.9/2</f>
        <v>0.45</v>
      </c>
      <c r="AI23" s="8">
        <v>1.2</v>
      </c>
      <c r="AJ23" s="11"/>
      <c r="AK23" s="5"/>
      <c r="AL23" s="7"/>
      <c r="AM23" s="7"/>
      <c r="AN23" s="7"/>
      <c r="AO23" s="7"/>
      <c r="AP23" s="5">
        <f>IF(40*Tablo244[[#This Row],[Et Kalınlığı 4]]&lt;485,Tablo244[[#This Row],[Et Kalınlığı 4]]*40,485)</f>
        <v>184</v>
      </c>
      <c r="AQ23" s="12">
        <f>1940*POWER(ROUND(Tablo151[[#This Row],[Axc mm24]],-1),0.2)/POWER(Tablo244[[#This Row],[Tensile Mpa]],0.9)</f>
        <v>24.133090632962382</v>
      </c>
      <c r="AR23" s="5">
        <f>IF(40*Tablo244[[#This Row],[Et Kalınlığı 5]]&lt;485,Tablo244[[#This Row],[Et Kalınlığı 4]]*40,485)</f>
        <v>184</v>
      </c>
      <c r="AS23" s="64">
        <f>1940*POWER(ROUND(Tablo151[[#This Row],[Axc mm25]],-1),0.2)/POWER(Tablo244[[#This Row],[Tensile Mpa]],0.9)</f>
        <v>24.133090632962382</v>
      </c>
    </row>
    <row r="24" spans="1:45" ht="15.75" thickBot="1" x14ac:dyDescent="0.25">
      <c r="B24" s="43" t="s">
        <v>7</v>
      </c>
      <c r="C24" s="780">
        <v>42.2</v>
      </c>
      <c r="D24" s="40" t="s">
        <v>84</v>
      </c>
      <c r="E24" s="44">
        <v>35500</v>
      </c>
      <c r="F24" s="45">
        <v>415</v>
      </c>
      <c r="G24" s="49"/>
      <c r="H24" s="50"/>
      <c r="I24" s="514"/>
      <c r="J24" s="514"/>
      <c r="K24" s="514"/>
      <c r="L24" s="50"/>
      <c r="M24" s="514">
        <v>4.9000000000000004</v>
      </c>
      <c r="N24" s="52">
        <f>2*Tablo244[[#This Row],[SMYS Psi]]*Tablo244[[#This Row],[Et Kalınlığı 4]]/Tablo244[[#This Row],[ÇAP mm]]/14.50377</f>
        <v>568.40916736709744</v>
      </c>
      <c r="O24" s="50">
        <v>4.9000000000000004</v>
      </c>
      <c r="P24" s="50">
        <f>2*Tablo244[[#This Row],[SMYS Psi]]*Tablo244[[#This Row],[Et Kalınlığı 5]]/Tablo244[[#This Row],[ÇAP mm]]/14.50377</f>
        <v>568.40916736709744</v>
      </c>
      <c r="Q24" s="17">
        <f>Tablo244[[#This Row],[ÇAP mm]]+0.4</f>
        <v>42.6</v>
      </c>
      <c r="R24" s="780">
        <f>Tablo244[[#This Row],[ÇAP mm]]-0.8</f>
        <v>41.400000000000006</v>
      </c>
      <c r="S24" s="780">
        <f>Tablo244[[#This Row],[ÇAP mm]]+0.4</f>
        <v>42.6</v>
      </c>
      <c r="T24" s="18">
        <f>Tablo244[[#This Row],[ÇAP mm]]-0.8</f>
        <v>41.400000000000006</v>
      </c>
      <c r="U24" s="173"/>
      <c r="V24" s="60"/>
      <c r="W24" s="60"/>
      <c r="X24" s="61">
        <f>Tablo244[[#This Row],[ÇAP mm]]/Tablo244[[#This Row],[Et Kalınlığı 4]]</f>
        <v>8.612244897959183</v>
      </c>
      <c r="Y24" s="174">
        <f>Tablo244[[#This Row],[ÇAP mm]]/Tablo244[[#This Row],[Et Kalınlığı 5]]</f>
        <v>8.612244897959183</v>
      </c>
      <c r="Z24" s="7"/>
      <c r="AA24" s="7"/>
      <c r="AB24" s="7"/>
      <c r="AC24" s="7"/>
      <c r="AD24" s="7"/>
      <c r="AE24" s="7"/>
      <c r="AF24" s="8">
        <f>0.9/2</f>
        <v>0.45</v>
      </c>
      <c r="AG24" s="64">
        <f>1.2</f>
        <v>1.2</v>
      </c>
      <c r="AH24" s="8">
        <f>0.9/2</f>
        <v>0.45</v>
      </c>
      <c r="AI24" s="8">
        <v>1.2</v>
      </c>
      <c r="AJ24" s="11"/>
      <c r="AK24" s="5"/>
      <c r="AL24" s="7"/>
      <c r="AM24" s="7"/>
      <c r="AN24" s="7"/>
      <c r="AO24" s="7"/>
      <c r="AP24" s="5">
        <f>IF(40*Tablo244[[#This Row],[Et Kalınlığı 4]]&lt;485,Tablo244[[#This Row],[Et Kalınlığı 4]]*40,485)</f>
        <v>196</v>
      </c>
      <c r="AQ24" s="12">
        <f>1940*POWER(ROUND(Tablo151[[#This Row],[Axc mm24]],-1),0.2)/POWER(Tablo244[[#This Row],[Tensile Mpa]],0.9)</f>
        <v>24.647021391907689</v>
      </c>
      <c r="AR24" s="5">
        <f>IF(40*Tablo244[[#This Row],[Et Kalınlığı 5]]&lt;485,Tablo244[[#This Row],[Et Kalınlığı 4]]*40,485)</f>
        <v>196</v>
      </c>
      <c r="AS24" s="64">
        <f>1940*POWER(ROUND(Tablo151[[#This Row],[Axc mm25]],-1),0.2)/POWER(Tablo244[[#This Row],[Tensile Mpa]],0.9)</f>
        <v>24.647021391907689</v>
      </c>
    </row>
    <row r="25" spans="1:45" ht="15.75" thickBot="1" x14ac:dyDescent="0.25">
      <c r="B25" s="43" t="s">
        <v>8</v>
      </c>
      <c r="C25" s="780">
        <v>48.3</v>
      </c>
      <c r="D25" s="40" t="s">
        <v>84</v>
      </c>
      <c r="E25" s="44">
        <v>35500</v>
      </c>
      <c r="F25" s="45">
        <v>415</v>
      </c>
      <c r="G25" s="49"/>
      <c r="H25" s="50"/>
      <c r="I25" s="514"/>
      <c r="J25" s="514"/>
      <c r="K25" s="514"/>
      <c r="L25" s="50"/>
      <c r="M25" s="514">
        <v>5.0999999999999996</v>
      </c>
      <c r="N25" s="52">
        <f>2*Tablo244[[#This Row],[SMYS Psi]]*Tablo244[[#This Row],[Et Kalınlığı 4]]/Tablo244[[#This Row],[ÇAP mm]]/14.50377</f>
        <v>516.89280855514733</v>
      </c>
      <c r="O25" s="50">
        <v>5.0999999999999996</v>
      </c>
      <c r="P25" s="50">
        <f>2*Tablo244[[#This Row],[SMYS Psi]]*Tablo244[[#This Row],[Et Kalınlığı 5]]/Tablo244[[#This Row],[ÇAP mm]]/14.50377</f>
        <v>516.89280855514733</v>
      </c>
      <c r="Q25" s="17">
        <f>Tablo244[[#This Row],[ÇAP mm]]+0.4</f>
        <v>48.699999999999996</v>
      </c>
      <c r="R25" s="780">
        <f>Tablo244[[#This Row],[ÇAP mm]]-0.8</f>
        <v>47.5</v>
      </c>
      <c r="S25" s="780">
        <f>Tablo244[[#This Row],[ÇAP mm]]+0.4</f>
        <v>48.699999999999996</v>
      </c>
      <c r="T25" s="18">
        <f>Tablo244[[#This Row],[ÇAP mm]]-0.8</f>
        <v>47.5</v>
      </c>
      <c r="U25" s="173"/>
      <c r="V25" s="60"/>
      <c r="W25" s="60"/>
      <c r="X25" s="61">
        <f>Tablo244[[#This Row],[ÇAP mm]]/Tablo244[[#This Row],[Et Kalınlığı 4]]</f>
        <v>9.4705882352941178</v>
      </c>
      <c r="Y25" s="174">
        <f>Tablo244[[#This Row],[ÇAP mm]]/Tablo244[[#This Row],[Et Kalınlığı 5]]</f>
        <v>9.4705882352941178</v>
      </c>
      <c r="Z25" s="7"/>
      <c r="AA25" s="7"/>
      <c r="AB25" s="7"/>
      <c r="AC25" s="7"/>
      <c r="AD25" s="7"/>
      <c r="AE25" s="7"/>
      <c r="AF25" s="8">
        <f>0.9/2</f>
        <v>0.45</v>
      </c>
      <c r="AG25" s="64">
        <f>1.2</f>
        <v>1.2</v>
      </c>
      <c r="AH25" s="8">
        <f>0.9/2</f>
        <v>0.45</v>
      </c>
      <c r="AI25" s="8">
        <v>1.2</v>
      </c>
      <c r="AJ25" s="11"/>
      <c r="AK25" s="5"/>
      <c r="AL25" s="7"/>
      <c r="AM25" s="7"/>
      <c r="AN25" s="7"/>
      <c r="AO25" s="7"/>
      <c r="AP25" s="5">
        <f>IF(40*Tablo244[[#This Row],[Et Kalınlığı 4]]&lt;485,Tablo244[[#This Row],[Et Kalınlığı 4]]*40,485)</f>
        <v>204</v>
      </c>
      <c r="AQ25" s="12">
        <f>1940*POWER(ROUND(Tablo151[[#This Row],[Axc mm24]],-1),0.2)/POWER(Tablo244[[#This Row],[Tensile Mpa]],0.9)</f>
        <v>24.647021391907689</v>
      </c>
      <c r="AR25" s="5">
        <f>IF(40*Tablo244[[#This Row],[Et Kalınlığı 5]]&lt;485,Tablo244[[#This Row],[Et Kalınlığı 4]]*40,485)</f>
        <v>204</v>
      </c>
      <c r="AS25" s="64">
        <f>1940*POWER(ROUND(Tablo151[[#This Row],[Axc mm25]],-1),0.2)/POWER(Tablo244[[#This Row],[Tensile Mpa]],0.9)</f>
        <v>24.647021391907689</v>
      </c>
    </row>
    <row r="26" spans="1:45" ht="15.75" thickBot="1" x14ac:dyDescent="0.25">
      <c r="A26" s="290"/>
      <c r="B26" s="43" t="s">
        <v>9</v>
      </c>
      <c r="C26" s="780">
        <v>60.3</v>
      </c>
      <c r="D26" s="40" t="s">
        <v>84</v>
      </c>
      <c r="E26" s="44">
        <v>35500</v>
      </c>
      <c r="F26" s="45">
        <v>415</v>
      </c>
      <c r="G26" s="49"/>
      <c r="H26" s="50"/>
      <c r="I26" s="514"/>
      <c r="J26" s="514"/>
      <c r="K26" s="514"/>
      <c r="L26" s="50"/>
      <c r="M26" s="514">
        <v>5.5</v>
      </c>
      <c r="N26" s="52">
        <f>2*Tablo244[[#This Row],[SMYS Psi]]*Tablo244[[#This Row],[Et Kalınlığı 4]]/Tablo244[[#This Row],[ÇAP mm]]/14.50377</f>
        <v>446.50139691306498</v>
      </c>
      <c r="O26" s="50">
        <v>5.5</v>
      </c>
      <c r="P26" s="50">
        <f>2*Tablo244[[#This Row],[SMYS Psi]]*Tablo244[[#This Row],[Et Kalınlığı 5]]/Tablo244[[#This Row],[ÇAP mm]]/14.50377</f>
        <v>446.50139691306498</v>
      </c>
      <c r="Q26" s="17">
        <f>Tablo244[[#This Row],[ÇAP mm]]+1.6</f>
        <v>61.9</v>
      </c>
      <c r="R26" s="780">
        <f>Tablo244[[#This Row],[ÇAP mm]]-0.4</f>
        <v>59.9</v>
      </c>
      <c r="S26" s="3">
        <f>Tablo244[[#This Row],[ÇAP mm]]*1.0075</f>
        <v>60.752250000000004</v>
      </c>
      <c r="T26" s="19">
        <f>Tablo244[[#This Row],[ÇAP mm]]*0.9925</f>
        <v>59.847749999999998</v>
      </c>
      <c r="U26" s="173"/>
      <c r="V26" s="60"/>
      <c r="W26" s="60"/>
      <c r="X26" s="61">
        <f>Tablo244[[#This Row],[ÇAP mm]]/Tablo244[[#This Row],[Et Kalınlığı 4]]</f>
        <v>10.963636363636363</v>
      </c>
      <c r="Y26" s="174">
        <f>Tablo244[[#This Row],[ÇAP mm]]/Tablo244[[#This Row],[Et Kalınlığı 5]]</f>
        <v>10.963636363636363</v>
      </c>
      <c r="Z26" s="8"/>
      <c r="AA26" s="8"/>
      <c r="AB26" s="7"/>
      <c r="AC26" s="7"/>
      <c r="AD26" s="7"/>
      <c r="AE26" s="7"/>
      <c r="AF26" s="8">
        <f>IF(Tablo244[[#This Row],[ÇAP mm]]/Tablo244[[#This Row],[Et Kalınlığı 4]]&lt;75,Tablo244[[#This Row],[ÇAP mm]]*0.015/2,"Anlaşmaya bağlıdır.")</f>
        <v>0.45224999999999999</v>
      </c>
      <c r="AG26" s="64">
        <f>IF(Tablo244[[#This Row],[ÇAP mm]]/Tablo244[[#This Row],[Et Kalınlığı 4]]&lt;75,Tablo244[[#This Row],[ÇAP mm]]*0.02,"Anlaşmaya bağlıdır.")</f>
        <v>1.206</v>
      </c>
      <c r="AH26" s="8">
        <f>IF(Tablo244[[#This Row],[ÇAP mm]]/Tablo244[[#This Row],[Et Kalınlığı 4]]&lt;75,Tablo244[[#This Row],[ÇAP mm]]*0.015/2,"Anlaşmaya bağlıdır.")</f>
        <v>0.45224999999999999</v>
      </c>
      <c r="AI26" s="8">
        <f>IF(Tablo244[[#This Row],[ÇAP mm]]/Tablo244[[#This Row],[Et Kalınlığı 5]]&lt;75,Tablo244[[#This Row],[ÇAP mm]]*0.02,"Anlaşmaya bağlıdır.")</f>
        <v>1.206</v>
      </c>
      <c r="AJ26" s="11"/>
      <c r="AK26" s="5"/>
      <c r="AL26" s="7"/>
      <c r="AM26" s="7"/>
      <c r="AN26" s="7"/>
      <c r="AO26" s="7"/>
      <c r="AP26" s="5">
        <f>IF(40*Tablo244[[#This Row],[Et Kalınlığı 4]]&lt;485,Tablo244[[#This Row],[Et Kalınlığı 4]]*40,485)</f>
        <v>220</v>
      </c>
      <c r="AQ26" s="12">
        <f>1940*POWER(ROUND(Tablo151[[#This Row],[Axc mm24]],-1),0.2)/POWER(Tablo244[[#This Row],[Tensile Mpa]],0.9)</f>
        <v>25.121350274477248</v>
      </c>
      <c r="AR26" s="5">
        <f>IF(40*Tablo244[[#This Row],[Et Kalınlığı 5]]&lt;485,Tablo244[[#This Row],[Et Kalınlığı 4]]*40,485)</f>
        <v>220</v>
      </c>
      <c r="AS26" s="64">
        <f>1940*POWER(ROUND(Tablo151[[#This Row],[Axc mm25]],-1),0.2)/POWER(Tablo244[[#This Row],[Tensile Mpa]],0.9)</f>
        <v>25.121350274477248</v>
      </c>
    </row>
    <row r="27" spans="1:45" ht="15.75" thickBot="1" x14ac:dyDescent="0.25">
      <c r="B27" s="43" t="s">
        <v>10</v>
      </c>
      <c r="C27" s="780">
        <v>73</v>
      </c>
      <c r="D27" s="40" t="s">
        <v>84</v>
      </c>
      <c r="E27" s="44">
        <v>35500</v>
      </c>
      <c r="F27" s="45">
        <v>415</v>
      </c>
      <c r="G27" s="49"/>
      <c r="H27" s="50"/>
      <c r="I27" s="514"/>
      <c r="J27" s="514"/>
      <c r="K27" s="514"/>
      <c r="L27" s="50"/>
      <c r="M27" s="514">
        <v>5.2</v>
      </c>
      <c r="N27" s="52">
        <f>2*Tablo244[[#This Row],[SMYS Psi]]*Tablo244[[#This Row],[Et Kalınlığı 4]]/Tablo244[[#This Row],[ÇAP mm]]/14.50377</f>
        <v>348.7048020325297</v>
      </c>
      <c r="O27" s="50">
        <v>5.2</v>
      </c>
      <c r="P27" s="50">
        <f>2*Tablo244[[#This Row],[SMYS Psi]]*Tablo244[[#This Row],[Et Kalınlığı 5]]/Tablo244[[#This Row],[ÇAP mm]]/14.50377</f>
        <v>348.7048020325297</v>
      </c>
      <c r="Q27" s="17">
        <f>Tablo244[[#This Row],[ÇAP mm]]+1.6</f>
        <v>74.599999999999994</v>
      </c>
      <c r="R27" s="780">
        <f>Tablo244[[#This Row],[ÇAP mm]]-0.4</f>
        <v>72.599999999999994</v>
      </c>
      <c r="S27" s="3">
        <f>Tablo244[[#This Row],[ÇAP mm]]*1.0075</f>
        <v>73.547499999999999</v>
      </c>
      <c r="T27" s="19">
        <f>Tablo244[[#This Row],[ÇAP mm]]*0.9925</f>
        <v>72.452500000000001</v>
      </c>
      <c r="U27" s="173"/>
      <c r="V27" s="60"/>
      <c r="W27" s="60"/>
      <c r="X27" s="61">
        <f>Tablo244[[#This Row],[ÇAP mm]]/Tablo244[[#This Row],[Et Kalınlığı 4]]</f>
        <v>14.038461538461538</v>
      </c>
      <c r="Y27" s="174">
        <f>Tablo244[[#This Row],[ÇAP mm]]/Tablo244[[#This Row],[Et Kalınlığı 5]]</f>
        <v>14.038461538461538</v>
      </c>
      <c r="Z27" s="8"/>
      <c r="AA27" s="8"/>
      <c r="AB27" s="7"/>
      <c r="AC27" s="7"/>
      <c r="AD27" s="7"/>
      <c r="AE27" s="7"/>
      <c r="AF27" s="8">
        <f>IF(Tablo244[[#This Row],[ÇAP mm]]/Tablo244[[#This Row],[Et Kalınlığı 4]]&lt;75,Tablo244[[#This Row],[ÇAP mm]]*0.015/2,"Anlaşmaya bağlıdır.")</f>
        <v>0.54749999999999999</v>
      </c>
      <c r="AG27" s="64">
        <f>IF(Tablo244[[#This Row],[ÇAP mm]]/Tablo244[[#This Row],[Et Kalınlığı 4]]&lt;75,Tablo244[[#This Row],[ÇAP mm]]*0.02,"Anlaşmaya bağlıdır.")</f>
        <v>1.46</v>
      </c>
      <c r="AH27" s="8">
        <f>IF(Tablo244[[#This Row],[ÇAP mm]]/Tablo244[[#This Row],[Et Kalınlığı 4]]&lt;75,Tablo244[[#This Row],[ÇAP mm]]*0.015/2,"Anlaşmaya bağlıdır.")</f>
        <v>0.54749999999999999</v>
      </c>
      <c r="AI27" s="8">
        <f>IF(Tablo244[[#This Row],[ÇAP mm]]/Tablo244[[#This Row],[Et Kalınlığı 5]]&lt;75,Tablo244[[#This Row],[ÇAP mm]]*0.02,"Anlaşmaya bağlıdır.")</f>
        <v>1.46</v>
      </c>
      <c r="AJ27" s="11"/>
      <c r="AK27" s="5"/>
      <c r="AL27" s="7"/>
      <c r="AM27" s="7"/>
      <c r="AN27" s="7"/>
      <c r="AO27" s="7"/>
      <c r="AP27" s="5">
        <f>IF(40*Tablo244[[#This Row],[Et Kalınlığı 4]]&lt;485,Tablo244[[#This Row],[Et Kalınlığı 4]]*40,485)</f>
        <v>208</v>
      </c>
      <c r="AQ27" s="12">
        <f>1940*POWER(ROUND(Tablo151[[#This Row],[Axc mm24]],-1),0.2)/POWER(Tablo244[[#This Row],[Tensile Mpa]],0.9)</f>
        <v>24.888705096930806</v>
      </c>
      <c r="AR27" s="5">
        <f>IF(40*Tablo244[[#This Row],[Et Kalınlığı 5]]&lt;485,Tablo244[[#This Row],[Et Kalınlığı 4]]*40,485)</f>
        <v>208</v>
      </c>
      <c r="AS27" s="64">
        <f>1940*POWER(ROUND(Tablo151[[#This Row],[Axc mm25]],-1),0.2)/POWER(Tablo244[[#This Row],[Tensile Mpa]],0.9)</f>
        <v>24.888705096930806</v>
      </c>
    </row>
    <row r="28" spans="1:45" ht="15.75" thickBot="1" x14ac:dyDescent="0.25">
      <c r="B28" s="43" t="s">
        <v>11</v>
      </c>
      <c r="C28" s="780">
        <v>88.9</v>
      </c>
      <c r="D28" s="40" t="s">
        <v>84</v>
      </c>
      <c r="E28" s="44">
        <v>35500</v>
      </c>
      <c r="F28" s="45">
        <v>415</v>
      </c>
      <c r="G28" s="49"/>
      <c r="H28" s="50"/>
      <c r="I28" s="514"/>
      <c r="J28" s="514"/>
      <c r="K28" s="514"/>
      <c r="L28" s="50"/>
      <c r="M28" s="514">
        <v>5.5</v>
      </c>
      <c r="N28" s="52">
        <f>2*Tablo244[[#This Row],[SMYS Psi]]*Tablo244[[#This Row],[Et Kalınlığı 4]]/Tablo244[[#This Row],[ÇAP mm]]/14.50377</f>
        <v>302.85752793990798</v>
      </c>
      <c r="O28" s="50">
        <v>5.5</v>
      </c>
      <c r="P28" s="50">
        <f>2*Tablo244[[#This Row],[SMYS Psi]]*Tablo244[[#This Row],[Et Kalınlığı 5]]/Tablo244[[#This Row],[ÇAP mm]]/14.50377</f>
        <v>302.85752793990798</v>
      </c>
      <c r="Q28" s="17">
        <f>Tablo244[[#This Row],[ÇAP mm]]+1.6</f>
        <v>90.5</v>
      </c>
      <c r="R28" s="780">
        <f>Tablo244[[#This Row],[ÇAP mm]]-0.4</f>
        <v>88.5</v>
      </c>
      <c r="S28" s="3">
        <f>Tablo244[[#This Row],[ÇAP mm]]*1.0075</f>
        <v>89.566750000000013</v>
      </c>
      <c r="T28" s="19">
        <f>Tablo244[[#This Row],[ÇAP mm]]*0.9925</f>
        <v>88.233250000000012</v>
      </c>
      <c r="U28" s="173"/>
      <c r="V28" s="60"/>
      <c r="W28" s="60"/>
      <c r="X28" s="61">
        <f>Tablo244[[#This Row],[ÇAP mm]]/Tablo244[[#This Row],[Et Kalınlığı 4]]</f>
        <v>16.163636363636364</v>
      </c>
      <c r="Y28" s="174">
        <f>Tablo244[[#This Row],[ÇAP mm]]/Tablo244[[#This Row],[Et Kalınlığı 5]]</f>
        <v>16.163636363636364</v>
      </c>
      <c r="Z28" s="8"/>
      <c r="AA28" s="8"/>
      <c r="AB28" s="7"/>
      <c r="AC28" s="7"/>
      <c r="AD28" s="7"/>
      <c r="AE28" s="7"/>
      <c r="AF28" s="8">
        <f>IF(Tablo244[[#This Row],[ÇAP mm]]/Tablo244[[#This Row],[Et Kalınlığı 4]]&lt;75,Tablo244[[#This Row],[ÇAP mm]]*0.015/2,"Anlaşmaya bağlıdır.")</f>
        <v>0.66675000000000006</v>
      </c>
      <c r="AG28" s="64">
        <f>IF(Tablo244[[#This Row],[ÇAP mm]]/Tablo244[[#This Row],[Et Kalınlığı 4]]&lt;75,Tablo244[[#This Row],[ÇAP mm]]*0.02,"Anlaşmaya bağlıdır.")</f>
        <v>1.7780000000000002</v>
      </c>
      <c r="AH28" s="8">
        <f>IF(Tablo244[[#This Row],[ÇAP mm]]/Tablo244[[#This Row],[Et Kalınlığı 4]]&lt;75,Tablo244[[#This Row],[ÇAP mm]]*0.015/2,"Anlaşmaya bağlıdır.")</f>
        <v>0.66675000000000006</v>
      </c>
      <c r="AI28" s="8">
        <f>IF(Tablo244[[#This Row],[ÇAP mm]]/Tablo244[[#This Row],[Et Kalınlığı 5]]&lt;75,Tablo244[[#This Row],[ÇAP mm]]*0.02,"Anlaşmaya bağlıdır.")</f>
        <v>1.7780000000000002</v>
      </c>
      <c r="AJ28" s="11"/>
      <c r="AK28" s="5"/>
      <c r="AL28" s="7"/>
      <c r="AM28" s="7"/>
      <c r="AN28" s="7"/>
      <c r="AO28" s="7"/>
      <c r="AP28" s="5">
        <f>IF(40*Tablo244[[#This Row],[Et Kalınlığı 4]]&lt;485,Tablo244[[#This Row],[Et Kalınlığı 4]]*40,485)</f>
        <v>220</v>
      </c>
      <c r="AQ28" s="12">
        <f>1940*POWER(ROUND(Tablo151[[#This Row],[Axc mm24]],-1),0.2)/POWER(Tablo244[[#This Row],[Tensile Mpa]],0.9)</f>
        <v>25.121350274477248</v>
      </c>
      <c r="AR28" s="5">
        <f>IF(40*Tablo244[[#This Row],[Et Kalınlığı 5]]&lt;485,Tablo244[[#This Row],[Et Kalınlığı 4]]*40,485)</f>
        <v>220</v>
      </c>
      <c r="AS28" s="64">
        <f>1940*POWER(ROUND(Tablo151[[#This Row],[Axc mm25]],-1),0.2)/POWER(Tablo244[[#This Row],[Tensile Mpa]],0.9)</f>
        <v>25.121350274477248</v>
      </c>
    </row>
    <row r="29" spans="1:45" ht="15.75" thickBot="1" x14ac:dyDescent="0.25">
      <c r="B29" s="43" t="s">
        <v>12</v>
      </c>
      <c r="C29" s="780">
        <v>114.3</v>
      </c>
      <c r="D29" s="40" t="s">
        <v>84</v>
      </c>
      <c r="E29" s="44">
        <v>35500</v>
      </c>
      <c r="F29" s="45">
        <v>415</v>
      </c>
      <c r="G29" s="49"/>
      <c r="H29" s="50"/>
      <c r="I29" s="514"/>
      <c r="J29" s="514"/>
      <c r="K29" s="514"/>
      <c r="L29" s="50"/>
      <c r="M29" s="514">
        <v>6</v>
      </c>
      <c r="N29" s="52">
        <f>2*Tablo244[[#This Row],[SMYS Psi]]*Tablo244[[#This Row],[Et Kalınlığı 4]]/Tablo244[[#This Row],[ÇAP mm]]/14.50377</f>
        <v>256.97002370658862</v>
      </c>
      <c r="O29" s="50">
        <v>6</v>
      </c>
      <c r="P29" s="50">
        <f>2*Tablo244[[#This Row],[SMYS Psi]]*Tablo244[[#This Row],[Et Kalınlığı 5]]/Tablo244[[#This Row],[ÇAP mm]]/14.50377</f>
        <v>256.97002370658862</v>
      </c>
      <c r="Q29" s="17">
        <f>Tablo244[[#This Row],[ÇAP mm]]+1.6</f>
        <v>115.89999999999999</v>
      </c>
      <c r="R29" s="780">
        <f>Tablo244[[#This Row],[ÇAP mm]]-0.4</f>
        <v>113.89999999999999</v>
      </c>
      <c r="S29" s="3">
        <f>Tablo244[[#This Row],[ÇAP mm]]*1.0075</f>
        <v>115.15725</v>
      </c>
      <c r="T29" s="19">
        <f>Tablo244[[#This Row],[ÇAP mm]]*0.9925</f>
        <v>113.44275</v>
      </c>
      <c r="U29" s="173"/>
      <c r="V29" s="60"/>
      <c r="W29" s="60"/>
      <c r="X29" s="61">
        <f>Tablo244[[#This Row],[ÇAP mm]]/Tablo244[[#This Row],[Et Kalınlığı 4]]</f>
        <v>19.05</v>
      </c>
      <c r="Y29" s="174">
        <f>Tablo244[[#This Row],[ÇAP mm]]/Tablo244[[#This Row],[Et Kalınlığı 5]]</f>
        <v>19.05</v>
      </c>
      <c r="Z29" s="8"/>
      <c r="AA29" s="8"/>
      <c r="AB29" s="7"/>
      <c r="AC29" s="7"/>
      <c r="AD29" s="7"/>
      <c r="AE29" s="7"/>
      <c r="AF29" s="8">
        <f>IF(Tablo244[[#This Row],[ÇAP mm]]/Tablo244[[#This Row],[Et Kalınlığı 4]]&lt;75,Tablo244[[#This Row],[ÇAP mm]]*0.015/2,"Anlaşmaya bağlıdır.")</f>
        <v>0.85724999999999996</v>
      </c>
      <c r="AG29" s="64">
        <f>IF(Tablo244[[#This Row],[ÇAP mm]]/Tablo244[[#This Row],[Et Kalınlığı 4]]&lt;75,Tablo244[[#This Row],[ÇAP mm]]*0.02,"Anlaşmaya bağlıdır.")</f>
        <v>2.286</v>
      </c>
      <c r="AH29" s="8">
        <f>IF(Tablo244[[#This Row],[ÇAP mm]]/Tablo244[[#This Row],[Et Kalınlığı 4]]&lt;75,Tablo244[[#This Row],[ÇAP mm]]*0.015/2,"Anlaşmaya bağlıdır.")</f>
        <v>0.85724999999999996</v>
      </c>
      <c r="AI29" s="8">
        <f>IF(Tablo244[[#This Row],[ÇAP mm]]/Tablo244[[#This Row],[Et Kalınlığı 5]]&lt;75,Tablo244[[#This Row],[ÇAP mm]]*0.02,"Anlaşmaya bağlıdır.")</f>
        <v>2.286</v>
      </c>
      <c r="AJ29" s="11"/>
      <c r="AK29" s="5"/>
      <c r="AL29" s="7"/>
      <c r="AM29" s="7"/>
      <c r="AN29" s="7"/>
      <c r="AO29" s="7"/>
      <c r="AP29" s="5">
        <f>IF(40*Tablo244[[#This Row],[Et Kalınlığı 4]]&lt;485,Tablo244[[#This Row],[Et Kalınlığı 4]]*40,485)</f>
        <v>240</v>
      </c>
      <c r="AQ29" s="12">
        <f>1940*POWER(ROUND(Tablo151[[#This Row],[Axc mm24]],-1),0.2)/POWER(Tablo244[[#This Row],[Tensile Mpa]],0.9)</f>
        <v>25.562344956625527</v>
      </c>
      <c r="AR29" s="5">
        <f>IF(40*Tablo244[[#This Row],[Et Kalınlığı 5]]&lt;485,Tablo244[[#This Row],[Et Kalınlığı 4]]*40,485)</f>
        <v>240</v>
      </c>
      <c r="AS29" s="64">
        <f>1940*POWER(ROUND(Tablo151[[#This Row],[Axc mm25]],-1),0.2)/POWER(Tablo244[[#This Row],[Tensile Mpa]],0.9)</f>
        <v>25.562344956625527</v>
      </c>
    </row>
    <row r="30" spans="1:45" x14ac:dyDescent="0.2">
      <c r="B30" s="43" t="s">
        <v>13</v>
      </c>
      <c r="C30" s="780">
        <v>141.30000000000001</v>
      </c>
      <c r="D30" s="40" t="s">
        <v>84</v>
      </c>
      <c r="E30" s="44">
        <v>35500</v>
      </c>
      <c r="F30" s="45">
        <v>415</v>
      </c>
      <c r="G30" s="49"/>
      <c r="H30" s="50"/>
      <c r="I30" s="514"/>
      <c r="J30" s="514"/>
      <c r="K30" s="514"/>
      <c r="L30" s="50"/>
      <c r="M30" s="514">
        <v>6.6</v>
      </c>
      <c r="N30" s="52">
        <f>2*Tablo244[[#This Row],[SMYS Psi]]*Tablo244[[#This Row],[Et Kalınlığı 4]]/Tablo244[[#This Row],[ÇAP mm]]/14.50377</f>
        <v>228.65421854656319</v>
      </c>
      <c r="O30" s="50">
        <v>7.1</v>
      </c>
      <c r="P30" s="50">
        <f>2*Tablo244[[#This Row],[SMYS Psi]]*Tablo244[[#This Row],[Et Kalınlığı 5]]/Tablo244[[#This Row],[ÇAP mm]]/14.50377</f>
        <v>245.97650783039376</v>
      </c>
      <c r="Q30" s="17">
        <f>Tablo244[[#This Row],[ÇAP mm]]+1.6</f>
        <v>142.9</v>
      </c>
      <c r="R30" s="780">
        <f>Tablo244[[#This Row],[ÇAP mm]]-0.4</f>
        <v>140.9</v>
      </c>
      <c r="S30" s="3">
        <f>Tablo244[[#This Row],[ÇAP mm]]*1.0075</f>
        <v>142.35975000000002</v>
      </c>
      <c r="T30" s="19">
        <f>Tablo244[[#This Row],[ÇAP mm]]*0.9925</f>
        <v>140.24025000000003</v>
      </c>
      <c r="U30" s="173"/>
      <c r="V30" s="60"/>
      <c r="W30" s="60"/>
      <c r="X30" s="61">
        <f>Tablo244[[#This Row],[ÇAP mm]]/Tablo244[[#This Row],[Et Kalınlığı 4]]</f>
        <v>21.409090909090914</v>
      </c>
      <c r="Y30" s="174">
        <f>Tablo244[[#This Row],[ÇAP mm]]/Tablo244[[#This Row],[Et Kalınlığı 5]]</f>
        <v>19.901408450704228</v>
      </c>
      <c r="Z30" s="8"/>
      <c r="AA30" s="8"/>
      <c r="AB30" s="7"/>
      <c r="AC30" s="7"/>
      <c r="AD30" s="7"/>
      <c r="AE30" s="7"/>
      <c r="AF30" s="8">
        <f>IF(Tablo244[[#This Row],[ÇAP mm]]/Tablo244[[#This Row],[Et Kalınlığı 4]]&lt;75,Tablo244[[#This Row],[ÇAP mm]]*0.015/2,"Anlaşmaya bağlıdır.")</f>
        <v>1.05975</v>
      </c>
      <c r="AG30" s="64">
        <f>IF(Tablo244[[#This Row],[ÇAP mm]]/Tablo244[[#This Row],[Et Kalınlığı 4]]&lt;75,Tablo244[[#This Row],[ÇAP mm]]*0.02,"Anlaşmaya bağlıdır.")</f>
        <v>2.8260000000000001</v>
      </c>
      <c r="AH30" s="8">
        <f>IF(Tablo244[[#This Row],[ÇAP mm]]/Tablo244[[#This Row],[Et Kalınlığı 5]]&lt;75,Tablo244[[#This Row],[ÇAP mm]]*0.015/2,"Anlaşmaya bağlıdır.")</f>
        <v>1.05975</v>
      </c>
      <c r="AI30" s="8">
        <f>IF(Tablo244[[#This Row],[ÇAP mm]]/Tablo244[[#This Row],[Et Kalınlığı 5]]&lt;75,Tablo244[[#This Row],[ÇAP mm]]*0.02,"Anlaşmaya bağlıdır.")</f>
        <v>2.8260000000000001</v>
      </c>
      <c r="AJ30" s="11"/>
      <c r="AK30" s="5"/>
      <c r="AL30" s="7"/>
      <c r="AM30" s="7"/>
      <c r="AN30" s="7"/>
      <c r="AO30" s="7"/>
      <c r="AP30" s="5">
        <f>IF(40*Tablo244[[#This Row],[Et Kalınlığı 4]]&lt;485,Tablo244[[#This Row],[Et Kalınlığı 4]]*40,485)</f>
        <v>264</v>
      </c>
      <c r="AQ30" s="12">
        <f>1940*POWER(ROUND(Tablo151[[#This Row],[Axc mm24]],-1),0.2)/POWER(Tablo244[[#This Row],[Tensile Mpa]],0.9)</f>
        <v>25.974853840841082</v>
      </c>
      <c r="AR30" s="5">
        <f>IF(40*Tablo244[[#This Row],[Et Kalınlığı 5]]&lt;485,Tablo244[[#This Row],[Et Kalınlığı 4]]*40,485)</f>
        <v>264</v>
      </c>
      <c r="AS30" s="64">
        <f>1940*POWER(ROUND(Tablo151[[#This Row],[Axc mm25]],-1),0.2)/POWER(Tablo244[[#This Row],[Tensile Mpa]],0.9)</f>
        <v>25.974853840841082</v>
      </c>
    </row>
    <row r="31" spans="1:45" x14ac:dyDescent="0.2">
      <c r="B31" s="43" t="s">
        <v>14</v>
      </c>
      <c r="C31" s="780">
        <v>168.3</v>
      </c>
      <c r="D31" s="780" t="s">
        <v>15</v>
      </c>
      <c r="E31" s="44">
        <v>42100</v>
      </c>
      <c r="F31" s="45">
        <v>415</v>
      </c>
      <c r="G31" s="49">
        <v>5.2</v>
      </c>
      <c r="H31" s="50">
        <f>2*Tablo244[[#This Row],[SMYS Psi]]*Tablo244[[#This Row],[Et Kalınlığı ]]/Tablo244[[#This Row],[ÇAP mm]]/14.50377</f>
        <v>179.37025065678714</v>
      </c>
      <c r="I31" s="514">
        <v>5.2</v>
      </c>
      <c r="J31" s="50">
        <f>2*Tablo244[[#This Row],[SMYS Psi]]*Tablo244[[#This Row],[Et Kalınlığı 2]]/Tablo244[[#This Row],[ÇAP mm]]/14.50377</f>
        <v>179.37025065678714</v>
      </c>
      <c r="K31" s="514">
        <v>5.2</v>
      </c>
      <c r="L31" s="50">
        <f>2*Tablo244[[#This Row],[SMYS Psi]]*Tablo244[[#This Row],[Et Kalınlığı 3]]/Tablo244[[#This Row],[ÇAP mm]]/14.50377</f>
        <v>179.37025065678714</v>
      </c>
      <c r="M31" s="514">
        <v>6.4</v>
      </c>
      <c r="N31" s="52">
        <f>2*Tablo244[[#This Row],[SMYS Psi]]*Tablo244[[#This Row],[Et Kalınlığı 4]]/Tablo244[[#This Row],[ÇAP mm]]/14.50377</f>
        <v>220.76338542373801</v>
      </c>
      <c r="O31" s="50">
        <v>6.4</v>
      </c>
      <c r="P31" s="50">
        <f>2*Tablo244[[#This Row],[SMYS Psi]]*Tablo244[[#This Row],[Et Kalınlığı 5]]/Tablo244[[#This Row],[ÇAP mm]]/14.50377</f>
        <v>220.76338542373801</v>
      </c>
      <c r="Q31" s="17">
        <f>IF(Tablo244[[#This Row],[ÇAP mm]]*0.005-1.6&lt;0,Tablo244[[#This Row],[ÇAP mm]]*1.005,Tablo244[[#This Row],[ÇAP mm]]+1.6)</f>
        <v>169.14149999999998</v>
      </c>
      <c r="R31" s="3">
        <f>IF(Tablo244[[#This Row],[ÇAP mm]]*0.005-1.6&lt;0,Tablo244[[#This Row],[ÇAP mm]]*0.995,Tablo244[[#This Row],[ÇAP mm]]-1.6)</f>
        <v>167.45850000000002</v>
      </c>
      <c r="S31" s="3">
        <f>IF(Tablo244[[#This Row],[ÇAP mm]]*0.0075-3.2&lt;0,Tablo244[[#This Row],[ÇAP mm]]*1.0075,Tablo244[[#This Row],[ÇAP mm]]+3.2)</f>
        <v>169.56225000000003</v>
      </c>
      <c r="T31" s="19">
        <f>IF(Tablo244[[#This Row],[ÇAP mm]]*0.005-3.2&lt;0,Tablo244[[#This Row],[ÇAP mm]]*0.9925,Tablo244[[#This Row],[ÇAP mm]]-3.2)</f>
        <v>167.03775000000002</v>
      </c>
      <c r="U31" s="173">
        <f>Tablo244[[#This Row],[ÇAP mm]]/Tablo244[[#This Row],[Et Kalınlığı ]]</f>
        <v>32.365384615384613</v>
      </c>
      <c r="V31" s="60">
        <f>Tablo244[[#This Row],[ÇAP mm]]/Tablo244[[#This Row],[Et Kalınlığı 2]]</f>
        <v>32.365384615384613</v>
      </c>
      <c r="W31" s="60">
        <f>Tablo244[[#This Row],[ÇAP mm]]/Tablo244[[#This Row],[Et Kalınlığı 3]]</f>
        <v>32.365384615384613</v>
      </c>
      <c r="X31" s="61">
        <f>Tablo244[[#This Row],[ÇAP mm]]/Tablo244[[#This Row],[Et Kalınlığı 4]]</f>
        <v>26.296875</v>
      </c>
      <c r="Y31" s="174">
        <f>Tablo244[[#This Row],[ÇAP mm]]/Tablo244[[#This Row],[Et Kalınlığı 5]]</f>
        <v>26.296875</v>
      </c>
      <c r="Z31" s="8">
        <f>IF(Tablo244[[#This Row],[ÇAP mm]]/Tablo244[[#This Row],[Et Kalınlığı ]]&lt;75,Tablo244[[#This Row],[ÇAP mm]]*0.015/2,"Anlaşmaya bağlıdır.")</f>
        <v>1.2622500000000001</v>
      </c>
      <c r="AA31" s="8">
        <f>IF(Tablo244[[#This Row],[ÇAP mm]]/Tablo244[[#This Row],[Et Kalınlığı ]]&lt;75,Tablo244[[#This Row],[ÇAP mm]]*0.02,"Anlaşmaya bağlıdır.")</f>
        <v>3.3660000000000001</v>
      </c>
      <c r="AB31" s="8">
        <f>IF(Tablo244[[#This Row],[ÇAP mm]]/Tablo244[[#This Row],[Et Kalınlığı ]]&lt;75,Tablo244[[#This Row],[ÇAP mm]]*0.015/2,"Anlaşmaya bağlıdır.")</f>
        <v>1.2622500000000001</v>
      </c>
      <c r="AC31" s="8">
        <f>IF(Tablo244[[#This Row],[ÇAP mm]]/Tablo244[[#This Row],[Et Kalınlığı 2]]&lt;75,Tablo244[[#This Row],[ÇAP mm]]*0.02,"Anlaşmaya bağlıdır.")</f>
        <v>3.3660000000000001</v>
      </c>
      <c r="AD31" s="8">
        <f>IF(Tablo244[[#This Row],[ÇAP mm]]/Tablo244[[#This Row],[Et Kalınlığı ]]&lt;75,Tablo244[[#This Row],[ÇAP mm]]*0.015/2,"Anlaşmaya bağlıdır.")</f>
        <v>1.2622500000000001</v>
      </c>
      <c r="AE31" s="8">
        <f>IF(Tablo244[[#This Row],[ÇAP mm]]/Tablo244[[#This Row],[Et Kalınlığı 3]]&lt;75,Tablo244[[#This Row],[ÇAP mm]]*0.02,"Anlaşmaya bağlıdır.")</f>
        <v>3.3660000000000001</v>
      </c>
      <c r="AF31" s="8">
        <f>IF(Tablo244[[#This Row],[ÇAP mm]]/Tablo244[[#This Row],[Et Kalınlığı 4]]&lt;75,Tablo244[[#This Row],[ÇAP mm]]*0.015/2,"Anlaşmaya bağlıdır.")</f>
        <v>1.2622500000000001</v>
      </c>
      <c r="AG31" s="64">
        <f>IF(Tablo244[[#This Row],[ÇAP mm]]/Tablo244[[#This Row],[Et Kalınlığı 4]]&lt;75,Tablo244[[#This Row],[ÇAP mm]]*0.02,"Anlaşmaya bağlıdır.")</f>
        <v>3.3660000000000001</v>
      </c>
      <c r="AH31" s="8">
        <f>IF(Tablo244[[#This Row],[ÇAP mm]]/Tablo244[[#This Row],[Et Kalınlığı 5]]&lt;75,Tablo244[[#This Row],[ÇAP mm]]*0.015/2,"Anlaşmaya bağlıdır.")</f>
        <v>1.2622500000000001</v>
      </c>
      <c r="AI31" s="8">
        <f>IF(Tablo244[[#This Row],[ÇAP mm]]/Tablo244[[#This Row],[Et Kalınlığı 5]]&lt;75,Tablo244[[#This Row],[ÇAP mm]]*0.02,"Anlaşmaya bağlıdır.")</f>
        <v>3.3660000000000001</v>
      </c>
      <c r="AJ31" s="11">
        <f>IF(40*Tablo244[[#This Row],[Et Kalınlığı ]]&lt;485,Tablo244[[#This Row],[Et Kalınlığı ]]*40,485)</f>
        <v>208</v>
      </c>
      <c r="AK31" s="5">
        <f>1940*POWER(ROUND(AJ31,-1),0.2)/POWER(Tablo244[[#This Row],[Tensile Mpa]],0.9)</f>
        <v>24.888705096930806</v>
      </c>
      <c r="AL31" s="5">
        <f>IF(40*Tablo244[[#This Row],[Et Kalınlığı 2]]&lt;485,Tablo244[[#This Row],[Et Kalınlığı ]]*40,485)</f>
        <v>208</v>
      </c>
      <c r="AM31" s="5">
        <f>1940*POWER(ROUND(Tablo151[[#This Row],[Axc mm22]],-1),0.2)/POWER(Tablo244[[#This Row],[Tensile Mpa]],0.9)</f>
        <v>24.888705096930806</v>
      </c>
      <c r="AN31" s="5">
        <f>IF(40*Tablo244[[#This Row],[Et Kalınlığı 3]]&lt;485,Tablo244[[#This Row],[Et Kalınlığı ]]*40,485)</f>
        <v>208</v>
      </c>
      <c r="AO31" s="5">
        <f>1940*POWER(ROUND(Tablo151[[#This Row],[Axc mm23]],-1),0.2)/POWER(Tablo244[[#This Row],[Tensile Mpa]],0.9)</f>
        <v>24.888705096930806</v>
      </c>
      <c r="AP31" s="5">
        <f>IF(40*Tablo244[[#This Row],[Et Kalınlığı 4]]&lt;485,Tablo244[[#This Row],[Et Kalınlığı 4]]*40,485)</f>
        <v>256</v>
      </c>
      <c r="AQ31" s="12">
        <f>1940*POWER(ROUND(Tablo151[[#This Row],[Axc mm24]],-1),0.2)/POWER(Tablo244[[#This Row],[Tensile Mpa]],0.9)</f>
        <v>25.974853840841082</v>
      </c>
      <c r="AR31" s="5">
        <f>IF(40*Tablo244[[#This Row],[Et Kalınlığı 5]]&lt;485,Tablo244[[#This Row],[Et Kalınlığı 4]]*40,485)</f>
        <v>256</v>
      </c>
      <c r="AS31" s="64">
        <f>1940*POWER(ROUND(Tablo151[[#This Row],[Axc mm25]],-1),0.2)/POWER(Tablo244[[#This Row],[Tensile Mpa]],0.9)</f>
        <v>25.974853840841082</v>
      </c>
    </row>
    <row r="32" spans="1:45" x14ac:dyDescent="0.2">
      <c r="B32" s="43" t="s">
        <v>16</v>
      </c>
      <c r="C32" s="780">
        <v>219.1</v>
      </c>
      <c r="D32" s="780" t="s">
        <v>15</v>
      </c>
      <c r="E32" s="44">
        <v>42100</v>
      </c>
      <c r="F32" s="45">
        <v>415</v>
      </c>
      <c r="G32" s="49">
        <v>5.2</v>
      </c>
      <c r="H32" s="50">
        <f>2*Tablo244[[#This Row],[SMYS Psi]]*Tablo244[[#This Row],[Et Kalınlığı ]]/Tablo244[[#This Row],[ÇAP mm]]/14.50377</f>
        <v>137.78189495909302</v>
      </c>
      <c r="I32" s="514">
        <v>5.2</v>
      </c>
      <c r="J32" s="50">
        <f>2*Tablo244[[#This Row],[SMYS Psi]]*Tablo244[[#This Row],[Et Kalınlığı 2]]/Tablo244[[#This Row],[ÇAP mm]]/14.50377</f>
        <v>137.78189495909302</v>
      </c>
      <c r="K32" s="514">
        <v>6.4</v>
      </c>
      <c r="L32" s="50">
        <f>2*Tablo244[[#This Row],[SMYS Psi]]*Tablo244[[#This Row],[Et Kalınlığı 3]]/Tablo244[[#This Row],[ÇAP mm]]/14.50377</f>
        <v>169.57771687272987</v>
      </c>
      <c r="M32" s="514">
        <v>7.9</v>
      </c>
      <c r="N32" s="52">
        <f>2*Tablo244[[#This Row],[SMYS Psi]]*Tablo244[[#This Row],[Et Kalınlığı 4]]/Tablo244[[#This Row],[ÇAP mm]]/14.50377</f>
        <v>209.32249426477594</v>
      </c>
      <c r="O32" s="50">
        <v>7.9</v>
      </c>
      <c r="P32" s="50">
        <f>2*Tablo244[[#This Row],[SMYS Psi]]*Tablo244[[#This Row],[Et Kalınlığı 5]]/Tablo244[[#This Row],[ÇAP mm]]/14.50377</f>
        <v>209.32249426477594</v>
      </c>
      <c r="Q32" s="17">
        <f>IF(Tablo244[[#This Row],[ÇAP mm]]*0.005-1.6&lt;0,Tablo244[[#This Row],[ÇAP mm]]*1.005,Tablo244[[#This Row],[ÇAP mm]]+1.6)</f>
        <v>220.19549999999998</v>
      </c>
      <c r="R32" s="3">
        <f>IF(Tablo244[[#This Row],[ÇAP mm]]*0.005-1.6&lt;0,Tablo244[[#This Row],[ÇAP mm]]*0.995,Tablo244[[#This Row],[ÇAP mm]]-1.6)</f>
        <v>218.00450000000001</v>
      </c>
      <c r="S32" s="3">
        <f>IF(Tablo244[[#This Row],[ÇAP mm]]*0.0075-3.2&lt;0,Tablo244[[#This Row],[ÇAP mm]]*1.0075,Tablo244[[#This Row],[ÇAP mm]]+3.2)</f>
        <v>220.74325000000002</v>
      </c>
      <c r="T32" s="19">
        <f>IF(Tablo244[[#This Row],[ÇAP mm]]*0.005-3.2&lt;0,Tablo244[[#This Row],[ÇAP mm]]*0.9925,Tablo244[[#This Row],[ÇAP mm]]-3.2)</f>
        <v>217.45675</v>
      </c>
      <c r="U32" s="173">
        <f>Tablo244[[#This Row],[ÇAP mm]]/Tablo244[[#This Row],[Et Kalınlığı ]]</f>
        <v>42.13461538461538</v>
      </c>
      <c r="V32" s="60">
        <f>Tablo244[[#This Row],[ÇAP mm]]/Tablo244[[#This Row],[Et Kalınlığı 2]]</f>
        <v>42.13461538461538</v>
      </c>
      <c r="W32" s="60">
        <f>Tablo244[[#This Row],[ÇAP mm]]/Tablo244[[#This Row],[Et Kalınlığı 3]]</f>
        <v>34.234375</v>
      </c>
      <c r="X32" s="61">
        <f>Tablo244[[#This Row],[ÇAP mm]]/Tablo244[[#This Row],[Et Kalınlığı 4]]</f>
        <v>27.73417721518987</v>
      </c>
      <c r="Y32" s="174">
        <f>Tablo244[[#This Row],[ÇAP mm]]/Tablo244[[#This Row],[Et Kalınlığı 5]]</f>
        <v>27.73417721518987</v>
      </c>
      <c r="Z32" s="8">
        <f>Tablo244[[#This Row],[ÇAP mm]]*0.015/2</f>
        <v>1.6432499999999999</v>
      </c>
      <c r="AA32" s="8">
        <f>Tablo244[[#This Row],[ÇAP mm]]*0.02</f>
        <v>4.3819999999999997</v>
      </c>
      <c r="AB32" s="8">
        <f>Tablo244[[#This Row],[ÇAP mm]]*0.015/2</f>
        <v>1.6432499999999999</v>
      </c>
      <c r="AC32" s="8">
        <f>Tablo244[[#This Row],[ÇAP mm]]*0.02</f>
        <v>4.3819999999999997</v>
      </c>
      <c r="AD32" s="8">
        <f>Tablo244[[#This Row],[ÇAP mm]]*0.015/2</f>
        <v>1.6432499999999999</v>
      </c>
      <c r="AE32" s="8">
        <f>Tablo244[[#This Row],[ÇAP mm]]*0.02</f>
        <v>4.3819999999999997</v>
      </c>
      <c r="AF32" s="8">
        <f>IF(Tablo244[[#This Row],[ÇAP mm]]/Tablo244[[#This Row],[Et Kalınlığı 4]]&lt;75,Tablo244[[#This Row],[ÇAP mm]]*0.015/2,"Anlaşmaya bağlıdır.")</f>
        <v>1.6432499999999999</v>
      </c>
      <c r="AG32" s="64">
        <f>Tablo244[[#This Row],[ÇAP mm]]*0.02</f>
        <v>4.3819999999999997</v>
      </c>
      <c r="AH32" s="8">
        <f>IF(Tablo244[[#This Row],[ÇAP mm]]/Tablo244[[#This Row],[Et Kalınlığı 5]]&lt;75,Tablo244[[#This Row],[ÇAP mm]]*0.015/2,"Anlaşmaya bağlıdır.")</f>
        <v>1.6432499999999999</v>
      </c>
      <c r="AI32" s="8">
        <f>Tablo244[[#This Row],[ÇAP mm]]*0.02</f>
        <v>4.3819999999999997</v>
      </c>
      <c r="AJ32" s="11">
        <f>IF(40*Tablo244[[#This Row],[Et Kalınlığı ]]&lt;485,Tablo244[[#This Row],[Et Kalınlığı ]]*40,485)</f>
        <v>208</v>
      </c>
      <c r="AK32" s="5">
        <f>1940*POWER(ROUND(AJ32,-1),0.2)/POWER(Tablo244[[#This Row],[Tensile Mpa]],0.9)</f>
        <v>24.888705096930806</v>
      </c>
      <c r="AL32" s="5">
        <f>IF(40*Tablo244[[#This Row],[Et Kalınlığı 2]]&lt;485,Tablo244[[#This Row],[Et Kalınlığı ]]*40,485)</f>
        <v>208</v>
      </c>
      <c r="AM32" s="5">
        <f>1940*POWER(ROUND(Tablo151[[#This Row],[Axc mm22]],-1),0.2)/POWER(Tablo244[[#This Row],[Tensile Mpa]],0.9)</f>
        <v>24.888705096930806</v>
      </c>
      <c r="AN32" s="5">
        <f>IF(40*Tablo244[[#This Row],[Et Kalınlığı 3]]&lt;485,Tablo244[[#This Row],[Et Kalınlığı ]]*40,485)</f>
        <v>208</v>
      </c>
      <c r="AO32" s="5">
        <f>1940*POWER(ROUND(Tablo151[[#This Row],[Axc mm23]],-1),0.2)/POWER(Tablo244[[#This Row],[Tensile Mpa]],0.9)</f>
        <v>24.888705096930806</v>
      </c>
      <c r="AP32" s="5">
        <f>IF(40*Tablo244[[#This Row],[Et Kalınlığı 4]]&lt;485,Tablo244[[#This Row],[Et Kalınlığı 4]]*40,485)</f>
        <v>316</v>
      </c>
      <c r="AQ32" s="12">
        <f>1940*POWER(ROUND(Tablo151[[#This Row],[Axc mm24]],-1),0.2)/POWER(Tablo244[[#This Row],[Tensile Mpa]],0.9)</f>
        <v>27.076245211171621</v>
      </c>
      <c r="AR32" s="5">
        <f>IF(40*Tablo244[[#This Row],[Et Kalınlığı 5]]&lt;485,Tablo244[[#This Row],[Et Kalınlığı 4]]*40,485)</f>
        <v>316</v>
      </c>
      <c r="AS32" s="64">
        <f>1940*POWER(ROUND(Tablo151[[#This Row],[Axc mm25]],-1),0.2)/POWER(Tablo244[[#This Row],[Tensile Mpa]],0.9)</f>
        <v>27.076245211171621</v>
      </c>
    </row>
    <row r="33" spans="2:45" x14ac:dyDescent="0.2">
      <c r="B33" s="43" t="s">
        <v>17</v>
      </c>
      <c r="C33" s="780">
        <v>273.10000000000002</v>
      </c>
      <c r="D33" s="780" t="s">
        <v>18</v>
      </c>
      <c r="E33" s="44">
        <v>46400</v>
      </c>
      <c r="F33" s="45">
        <v>435</v>
      </c>
      <c r="G33" s="49">
        <v>5.2</v>
      </c>
      <c r="H33" s="50">
        <f>2*Tablo244[[#This Row],[SMYS Psi]]*Tablo244[[#This Row],[Et Kalınlığı ]]/Tablo244[[#This Row],[ÇAP mm]]/14.50377</f>
        <v>121.82844909975549</v>
      </c>
      <c r="I33" s="514">
        <v>5.6</v>
      </c>
      <c r="J33" s="50">
        <f>2*Tablo244[[#This Row],[SMYS Psi]]*Tablo244[[#This Row],[Et Kalınlığı 2]]/Tablo244[[#This Row],[ÇAP mm]]/14.50377</f>
        <v>131.1998682612751</v>
      </c>
      <c r="K33" s="514">
        <v>7.1</v>
      </c>
      <c r="L33" s="50">
        <f>2*Tablo244[[#This Row],[SMYS Psi]]*Tablo244[[#This Row],[Et Kalınlığı 3]]/Tablo244[[#This Row],[ÇAP mm]]/14.50377</f>
        <v>166.34269011697381</v>
      </c>
      <c r="M33" s="514">
        <v>8.6999999999999993</v>
      </c>
      <c r="N33" s="52">
        <f>2*Tablo244[[#This Row],[SMYS Psi]]*Tablo244[[#This Row],[Et Kalınlığı 4]]/Tablo244[[#This Row],[ÇAP mm]]/14.50377</f>
        <v>203.8283667630524</v>
      </c>
      <c r="O33" s="50">
        <v>8.6999999999999993</v>
      </c>
      <c r="P33" s="50">
        <f>2*Tablo244[[#This Row],[SMYS Psi]]*Tablo244[[#This Row],[Et Kalınlığı 5]]/Tablo244[[#This Row],[ÇAP mm]]/14.50377</f>
        <v>203.8283667630524</v>
      </c>
      <c r="Q33" s="17">
        <f>IF(Tablo244[[#This Row],[ÇAP mm]]*0.005-1.6&lt;0,Tablo244[[#This Row],[ÇAP mm]]*1.005,Tablo244[[#This Row],[ÇAP mm]]+1.6)</f>
        <v>274.46550000000002</v>
      </c>
      <c r="R33" s="3">
        <f>IF(Tablo244[[#This Row],[ÇAP mm]]*0.005-1.6&lt;0,Tablo244[[#This Row],[ÇAP mm]]*0.995,Tablo244[[#This Row],[ÇAP mm]]-1.6)</f>
        <v>271.73450000000003</v>
      </c>
      <c r="S33" s="3">
        <f>IF(Tablo244[[#This Row],[ÇAP mm]]*0.0075-3.2&lt;0,Tablo244[[#This Row],[ÇAP mm]]*1.0075,Tablo244[[#This Row],[ÇAP mm]]+3.2)</f>
        <v>275.14825000000002</v>
      </c>
      <c r="T33" s="19">
        <f>IF(Tablo244[[#This Row],[ÇAP mm]]*0.005-3.2&lt;0,Tablo244[[#This Row],[ÇAP mm]]*0.9925,Tablo244[[#This Row],[ÇAP mm]]-3.2)</f>
        <v>271.05175000000003</v>
      </c>
      <c r="U33" s="173">
        <f>Tablo244[[#This Row],[ÇAP mm]]/Tablo244[[#This Row],[Et Kalınlığı ]]</f>
        <v>52.519230769230774</v>
      </c>
      <c r="V33" s="60">
        <f>Tablo244[[#This Row],[ÇAP mm]]/Tablo244[[#This Row],[Et Kalınlığı 2]]</f>
        <v>48.767857142857153</v>
      </c>
      <c r="W33" s="60">
        <f>Tablo244[[#This Row],[ÇAP mm]]/Tablo244[[#This Row],[Et Kalınlığı 3]]</f>
        <v>38.464788732394368</v>
      </c>
      <c r="X33" s="61">
        <f>Tablo244[[#This Row],[ÇAP mm]]/Tablo244[[#This Row],[Et Kalınlığı 4]]</f>
        <v>31.390804597701155</v>
      </c>
      <c r="Y33" s="174">
        <f>Tablo244[[#This Row],[ÇAP mm]]/Tablo244[[#This Row],[Et Kalınlığı 5]]</f>
        <v>31.390804597701155</v>
      </c>
      <c r="Z33" s="8">
        <f>Tablo244[[#This Row],[ÇAP mm]]*0.015/2</f>
        <v>2.0482499999999999</v>
      </c>
      <c r="AA33" s="8">
        <f>Tablo244[[#This Row],[ÇAP mm]]*0.02</f>
        <v>5.4620000000000006</v>
      </c>
      <c r="AB33" s="8">
        <f>Tablo244[[#This Row],[ÇAP mm]]*0.015/2</f>
        <v>2.0482499999999999</v>
      </c>
      <c r="AC33" s="8">
        <f>Tablo244[[#This Row],[ÇAP mm]]*0.02</f>
        <v>5.4620000000000006</v>
      </c>
      <c r="AD33" s="8">
        <f>Tablo244[[#This Row],[ÇAP mm]]*0.015/2</f>
        <v>2.0482499999999999</v>
      </c>
      <c r="AE33" s="8">
        <f>Tablo244[[#This Row],[ÇAP mm]]*0.02</f>
        <v>5.4620000000000006</v>
      </c>
      <c r="AF33" s="8">
        <f>IF(Tablo244[[#This Row],[ÇAP mm]]/Tablo244[[#This Row],[Et Kalınlığı 4]]&lt;75,Tablo244[[#This Row],[ÇAP mm]]*0.015/2,"Anlaşmaya bağlıdır.")</f>
        <v>2.0482499999999999</v>
      </c>
      <c r="AG33" s="64">
        <f>Tablo244[[#This Row],[ÇAP mm]]*0.02</f>
        <v>5.4620000000000006</v>
      </c>
      <c r="AH33" s="8">
        <f>IF(Tablo244[[#This Row],[ÇAP mm]]/Tablo244[[#This Row],[Et Kalınlığı 5]]&lt;75,Tablo244[[#This Row],[ÇAP mm]]*0.015/2,"Anlaşmaya bağlıdır.")</f>
        <v>2.0482499999999999</v>
      </c>
      <c r="AI33" s="8">
        <f>Tablo244[[#This Row],[ÇAP mm]]*0.02</f>
        <v>5.4620000000000006</v>
      </c>
      <c r="AJ33" s="11">
        <f>IF(40*Tablo244[[#This Row],[Et Kalınlığı ]]&lt;485,Tablo244[[#This Row],[Et Kalınlığı ]]*40,485)</f>
        <v>208</v>
      </c>
      <c r="AK33" s="5">
        <f>1940*POWER(ROUND(AJ33,-1),0.2)/POWER(Tablo244[[#This Row],[Tensile Mpa]],0.9)</f>
        <v>23.856419206054618</v>
      </c>
      <c r="AL33" s="5">
        <f>IF(40*Tablo244[[#This Row],[Et Kalınlığı 2]]&lt;485,Tablo244[[#This Row],[Et Kalınlığı ]]*40,485)</f>
        <v>208</v>
      </c>
      <c r="AM33" s="5">
        <f>1940*POWER(ROUND(Tablo151[[#This Row],[Axc mm22]],-1),0.2)/POWER(Tablo244[[#This Row],[Tensile Mpa]],0.9)</f>
        <v>23.856419206054618</v>
      </c>
      <c r="AN33" s="5">
        <f>IF(40*Tablo244[[#This Row],[Et Kalınlığı 3]]&lt;485,Tablo244[[#This Row],[Et Kalınlığı ]]*40,485)</f>
        <v>208</v>
      </c>
      <c r="AO33" s="5">
        <f>1940*POWER(ROUND(Tablo151[[#This Row],[Axc mm23]],-1),0.2)/POWER(Tablo244[[#This Row],[Tensile Mpa]],0.9)</f>
        <v>23.856419206054618</v>
      </c>
      <c r="AP33" s="5">
        <f>IF(40*Tablo244[[#This Row],[Et Kalınlığı 4]]&lt;485,Tablo244[[#This Row],[Et Kalınlığı 4]]*40,485)</f>
        <v>348</v>
      </c>
      <c r="AQ33" s="12">
        <f>1940*POWER(ROUND(Tablo151[[#This Row],[Axc mm24]],-1),0.2)/POWER(Tablo244[[#This Row],[Tensile Mpa]],0.9)</f>
        <v>26.422566983048181</v>
      </c>
      <c r="AR33" s="5">
        <f>IF(40*Tablo244[[#This Row],[Et Kalınlığı 5]]&lt;485,Tablo244[[#This Row],[Et Kalınlığı 4]]*40,485)</f>
        <v>348</v>
      </c>
      <c r="AS33" s="64">
        <f>1940*POWER(ROUND(Tablo151[[#This Row],[Axc mm25]],-1),0.2)/POWER(Tablo244[[#This Row],[Tensile Mpa]],0.9)</f>
        <v>26.422566983048181</v>
      </c>
    </row>
    <row r="34" spans="2:45" x14ac:dyDescent="0.2">
      <c r="B34" s="43" t="s">
        <v>19</v>
      </c>
      <c r="C34" s="780">
        <v>323.89999999999998</v>
      </c>
      <c r="D34" s="780" t="s">
        <v>20</v>
      </c>
      <c r="E34" s="44">
        <v>52200</v>
      </c>
      <c r="F34" s="45">
        <v>460</v>
      </c>
      <c r="G34" s="49">
        <v>5.2</v>
      </c>
      <c r="H34" s="50">
        <f>2*Tablo244[[#This Row],[SMYS Psi]]*Tablo244[[#This Row],[Et Kalınlığı ]]/Tablo244[[#This Row],[ÇAP mm]]/14.50377</f>
        <v>115.56118595333784</v>
      </c>
      <c r="I34" s="514">
        <v>6.4</v>
      </c>
      <c r="J34" s="50">
        <f>2*Tablo244[[#This Row],[SMYS Psi]]*Tablo244[[#This Row],[Et Kalınlığı 2]]/Tablo244[[#This Row],[ÇAP mm]]/14.50377</f>
        <v>142.22915194256967</v>
      </c>
      <c r="K34" s="514">
        <v>7.1</v>
      </c>
      <c r="L34" s="50">
        <f>2*Tablo244[[#This Row],[SMYS Psi]]*Tablo244[[#This Row],[Et Kalınlığı 3]]/Tablo244[[#This Row],[ÇAP mm]]/14.50377</f>
        <v>157.78546543628821</v>
      </c>
      <c r="M34" s="514">
        <v>8.4</v>
      </c>
      <c r="N34" s="52">
        <f>2*Tablo244[[#This Row],[SMYS Psi]]*Tablo244[[#This Row],[Et Kalınlığı 4]]/Tablo244[[#This Row],[ÇAP mm]]/14.50377</f>
        <v>186.67576192462269</v>
      </c>
      <c r="O34" s="50">
        <v>9.5</v>
      </c>
      <c r="P34" s="50">
        <f>2*Tablo244[[#This Row],[SMYS Psi]]*Tablo244[[#This Row],[Et Kalınlığı 5]]/Tablo244[[#This Row],[ÇAP mm]]/14.50377</f>
        <v>211.12139741475184</v>
      </c>
      <c r="Q34" s="17">
        <f>IF(Tablo244[[#This Row],[ÇAP mm]]*0.005-1.6&lt;0,Tablo244[[#This Row],[ÇAP mm]]*1.005,Tablo244[[#This Row],[ÇAP mm]]+1.6)</f>
        <v>325.5</v>
      </c>
      <c r="R34" s="3">
        <f>IF(Tablo244[[#This Row],[ÇAP mm]]*0.005-1.6&lt;0,Tablo244[[#This Row],[ÇAP mm]]*0.995,Tablo244[[#This Row],[ÇAP mm]]-1.6)</f>
        <v>322.29999999999995</v>
      </c>
      <c r="S34" s="3">
        <f>IF(Tablo244[[#This Row],[ÇAP mm]]*0.0075-3.2&lt;0,Tablo244[[#This Row],[ÇAP mm]]*1.0075,Tablo244[[#This Row],[ÇAP mm]]+3.2)</f>
        <v>326.32925</v>
      </c>
      <c r="T34" s="19">
        <f>IF(Tablo244[[#This Row],[ÇAP mm]]*0.005-3.2&lt;0,Tablo244[[#This Row],[ÇAP mm]]*0.9925,Tablo244[[#This Row],[ÇAP mm]]-3.2)</f>
        <v>321.47075000000001</v>
      </c>
      <c r="U34" s="173">
        <f>Tablo244[[#This Row],[ÇAP mm]]/Tablo244[[#This Row],[Et Kalınlığı ]]</f>
        <v>62.288461538461533</v>
      </c>
      <c r="V34" s="60">
        <f>Tablo244[[#This Row],[ÇAP mm]]/Tablo244[[#This Row],[Et Kalınlığı 2]]</f>
        <v>50.609374999999993</v>
      </c>
      <c r="W34" s="60">
        <f>Tablo244[[#This Row],[ÇAP mm]]/Tablo244[[#This Row],[Et Kalınlığı 3]]</f>
        <v>45.619718309859152</v>
      </c>
      <c r="X34" s="61">
        <f>Tablo244[[#This Row],[ÇAP mm]]/Tablo244[[#This Row],[Et Kalınlığı 4]]</f>
        <v>38.559523809523803</v>
      </c>
      <c r="Y34" s="174">
        <f>Tablo244[[#This Row],[ÇAP mm]]/Tablo244[[#This Row],[Et Kalınlığı 5]]</f>
        <v>34.094736842105263</v>
      </c>
      <c r="Z34" s="8">
        <f>Tablo244[[#This Row],[ÇAP mm]]*0.015/2</f>
        <v>2.4292499999999997</v>
      </c>
      <c r="AA34" s="8">
        <f>Tablo244[[#This Row],[ÇAP mm]]*0.02</f>
        <v>6.4779999999999998</v>
      </c>
      <c r="AB34" s="8">
        <f>Tablo244[[#This Row],[ÇAP mm]]*0.015/2</f>
        <v>2.4292499999999997</v>
      </c>
      <c r="AC34" s="8">
        <f>Tablo244[[#This Row],[ÇAP mm]]*0.02</f>
        <v>6.4779999999999998</v>
      </c>
      <c r="AD34" s="8">
        <f>Tablo244[[#This Row],[ÇAP mm]]*0.015/2</f>
        <v>2.4292499999999997</v>
      </c>
      <c r="AE34" s="8">
        <f>Tablo244[[#This Row],[ÇAP mm]]*0.02</f>
        <v>6.4779999999999998</v>
      </c>
      <c r="AF34" s="8">
        <f>IF(Tablo244[[#This Row],[ÇAP mm]]/Tablo244[[#This Row],[Et Kalınlığı 4]]&lt;75,Tablo244[[#This Row],[ÇAP mm]]*0.015/2,"Anlaşmaya bağlıdır.")</f>
        <v>2.4292499999999997</v>
      </c>
      <c r="AG34" s="64">
        <f>Tablo244[[#This Row],[ÇAP mm]]*0.02</f>
        <v>6.4779999999999998</v>
      </c>
      <c r="AH34" s="8">
        <f>IF(Tablo244[[#This Row],[ÇAP mm]]/Tablo244[[#This Row],[Et Kalınlığı 5]]&lt;75,Tablo244[[#This Row],[ÇAP mm]]*0.015/2,"Anlaşmaya bağlıdır.")</f>
        <v>2.4292499999999997</v>
      </c>
      <c r="AI34" s="8">
        <f>Tablo244[[#This Row],[ÇAP mm]]*0.02</f>
        <v>6.4779999999999998</v>
      </c>
      <c r="AJ34" s="11">
        <f>IF(40*Tablo244[[#This Row],[Et Kalınlığı ]]&lt;485,Tablo244[[#This Row],[Et Kalınlığı ]]*40,485)</f>
        <v>208</v>
      </c>
      <c r="AK34" s="5">
        <f>1940*POWER(ROUND(AJ34,-1),0.2)/POWER(Tablo244[[#This Row],[Tensile Mpa]],0.9)</f>
        <v>22.686293185077698</v>
      </c>
      <c r="AL34" s="5">
        <f>IF(40*Tablo244[[#This Row],[Et Kalınlığı 2]]&lt;485,Tablo244[[#This Row],[Et Kalınlığı ]]*40,485)</f>
        <v>208</v>
      </c>
      <c r="AM34" s="5">
        <f>1940*POWER(ROUND(Tablo151[[#This Row],[Axc mm22]],-1),0.2)/POWER(Tablo244[[#This Row],[Tensile Mpa]],0.9)</f>
        <v>22.686293185077698</v>
      </c>
      <c r="AN34" s="5">
        <f>IF(40*Tablo244[[#This Row],[Et Kalınlığı 3]]&lt;485,Tablo244[[#This Row],[Et Kalınlığı ]]*40,485)</f>
        <v>208</v>
      </c>
      <c r="AO34" s="5">
        <f>1940*POWER(ROUND(Tablo151[[#This Row],[Axc mm23]],-1),0.2)/POWER(Tablo244[[#This Row],[Tensile Mpa]],0.9)</f>
        <v>22.686293185077698</v>
      </c>
      <c r="AP34" s="5">
        <f>IF(40*Tablo244[[#This Row],[Et Kalınlığı 4]]&lt;485,Tablo244[[#This Row],[Et Kalınlığı 4]]*40,485)</f>
        <v>336</v>
      </c>
      <c r="AQ34" s="12">
        <f>1940*POWER(ROUND(Tablo151[[#This Row],[Axc mm24]],-1),0.2)/POWER(Tablo244[[#This Row],[Tensile Mpa]],0.9)</f>
        <v>24.981324733197201</v>
      </c>
      <c r="AR34" s="5">
        <f>IF(40*Tablo244[[#This Row],[Et Kalınlığı 5]]&lt;485,Tablo244[[#This Row],[Et Kalınlığı 4]]*40,485)</f>
        <v>336</v>
      </c>
      <c r="AS34" s="64">
        <f>1940*POWER(ROUND(Tablo151[[#This Row],[Axc mm25]],-1),0.2)/POWER(Tablo244[[#This Row],[Tensile Mpa]],0.9)</f>
        <v>24.981324733197201</v>
      </c>
    </row>
    <row r="35" spans="2:45" x14ac:dyDescent="0.2">
      <c r="B35" s="43" t="s">
        <v>21</v>
      </c>
      <c r="C35" s="780">
        <v>355.6</v>
      </c>
      <c r="D35" s="780" t="s">
        <v>20</v>
      </c>
      <c r="E35" s="44">
        <v>52200</v>
      </c>
      <c r="F35" s="45">
        <v>460</v>
      </c>
      <c r="G35" s="49">
        <v>5.2</v>
      </c>
      <c r="H35" s="50">
        <f>2*Tablo244[[#This Row],[SMYS Psi]]*Tablo244[[#This Row],[Et Kalınlığı ]]/Tablo244[[#This Row],[ÇAP mm]]/14.50377</f>
        <v>105.25947168246941</v>
      </c>
      <c r="I35" s="514">
        <v>6.4</v>
      </c>
      <c r="J35" s="50">
        <f>2*Tablo244[[#This Row],[SMYS Psi]]*Tablo244[[#This Row],[Et Kalınlığı 2]]/Tablo244[[#This Row],[ÇAP mm]]/14.50377</f>
        <v>129.5501189938085</v>
      </c>
      <c r="K35" s="514">
        <v>7.9</v>
      </c>
      <c r="L35" s="50">
        <f>2*Tablo244[[#This Row],[SMYS Psi]]*Tablo244[[#This Row],[Et Kalınlığı 3]]/Tablo244[[#This Row],[ÇAP mm]]/14.50377</f>
        <v>159.91342813298238</v>
      </c>
      <c r="M35" s="514">
        <v>9.5</v>
      </c>
      <c r="N35" s="52">
        <f>2*Tablo244[[#This Row],[SMYS Psi]]*Tablo244[[#This Row],[Et Kalınlığı 4]]/Tablo244[[#This Row],[ÇAP mm]]/14.50377</f>
        <v>192.3009578814345</v>
      </c>
      <c r="O35" s="50">
        <v>10.3</v>
      </c>
      <c r="P35" s="50">
        <f>2*Tablo244[[#This Row],[SMYS Psi]]*Tablo244[[#This Row],[Et Kalınlığı 5]]/Tablo244[[#This Row],[ÇAP mm]]/14.50377</f>
        <v>208.4947227556606</v>
      </c>
      <c r="Q35" s="17">
        <f>IF(Tablo244[[#This Row],[ÇAP mm]]*0.005-1.6&lt;0,Tablo244[[#This Row],[ÇAP mm]]*1.005,Tablo244[[#This Row],[ÇAP mm]]+1.6)</f>
        <v>357.20000000000005</v>
      </c>
      <c r="R35" s="3">
        <f>IF(Tablo244[[#This Row],[ÇAP mm]]*0.005-1.6&lt;0,Tablo244[[#This Row],[ÇAP mm]]*0.995,Tablo244[[#This Row],[ÇAP mm]]-1.6)</f>
        <v>354</v>
      </c>
      <c r="S35" s="3">
        <f>IF(Tablo244[[#This Row],[ÇAP mm]]*0.0075-3.2&lt;0,Tablo244[[#This Row],[ÇAP mm]]*1.0075,Tablo244[[#This Row],[ÇAP mm]]+3.2)</f>
        <v>358.26700000000005</v>
      </c>
      <c r="T35" s="19">
        <f>IF(Tablo244[[#This Row],[ÇAP mm]]*0.005-3.2&lt;0,Tablo244[[#This Row],[ÇAP mm]]*0.9925,Tablo244[[#This Row],[ÇAP mm]]-3.2)</f>
        <v>352.93300000000005</v>
      </c>
      <c r="U35" s="173">
        <f>Tablo244[[#This Row],[ÇAP mm]]/Tablo244[[#This Row],[Et Kalınlığı ]]</f>
        <v>68.384615384615387</v>
      </c>
      <c r="V35" s="60">
        <f>Tablo244[[#This Row],[ÇAP mm]]/Tablo244[[#This Row],[Et Kalınlığı 2]]</f>
        <v>55.5625</v>
      </c>
      <c r="W35" s="60">
        <f>Tablo244[[#This Row],[ÇAP mm]]/Tablo244[[#This Row],[Et Kalınlığı 3]]</f>
        <v>45.0126582278481</v>
      </c>
      <c r="X35" s="61">
        <f>Tablo244[[#This Row],[ÇAP mm]]/Tablo244[[#This Row],[Et Kalınlığı 4]]</f>
        <v>37.431578947368422</v>
      </c>
      <c r="Y35" s="174">
        <f>Tablo244[[#This Row],[ÇAP mm]]/Tablo244[[#This Row],[Et Kalınlığı 5]]</f>
        <v>34.524271844660191</v>
      </c>
      <c r="Z35" s="8">
        <f>Tablo244[[#This Row],[ÇAP mm]]*0.015/2</f>
        <v>2.6670000000000003</v>
      </c>
      <c r="AA35" s="8">
        <f>Tablo244[[#This Row],[ÇAP mm]]*0.02</f>
        <v>7.112000000000001</v>
      </c>
      <c r="AB35" s="8">
        <f>Tablo244[[#This Row],[ÇAP mm]]*0.015/2</f>
        <v>2.6670000000000003</v>
      </c>
      <c r="AC35" s="8">
        <f>Tablo244[[#This Row],[ÇAP mm]]*0.02</f>
        <v>7.112000000000001</v>
      </c>
      <c r="AD35" s="8">
        <f>Tablo244[[#This Row],[ÇAP mm]]*0.015/2</f>
        <v>2.6670000000000003</v>
      </c>
      <c r="AE35" s="8">
        <f>Tablo244[[#This Row],[ÇAP mm]]*0.02</f>
        <v>7.112000000000001</v>
      </c>
      <c r="AF35" s="8">
        <f>IF(Tablo244[[#This Row],[ÇAP mm]]/Tablo244[[#This Row],[Et Kalınlığı 4]]&lt;75,Tablo244[[#This Row],[ÇAP mm]]*0.015/2,"Anlaşmaya bağlıdır.")</f>
        <v>2.6670000000000003</v>
      </c>
      <c r="AG35" s="64">
        <f>Tablo244[[#This Row],[ÇAP mm]]*0.02</f>
        <v>7.112000000000001</v>
      </c>
      <c r="AH35" s="8">
        <f>IF(Tablo244[[#This Row],[ÇAP mm]]/Tablo244[[#This Row],[Et Kalınlığı 5]]&lt;75,Tablo244[[#This Row],[ÇAP mm]]*0.015/2,"Anlaşmaya bağlıdır.")</f>
        <v>2.6670000000000003</v>
      </c>
      <c r="AI35" s="8">
        <f>Tablo244[[#This Row],[ÇAP mm]]*0.02</f>
        <v>7.112000000000001</v>
      </c>
      <c r="AJ35" s="11">
        <f>IF(40*Tablo244[[#This Row],[Et Kalınlığı ]]&lt;485,Tablo244[[#This Row],[Et Kalınlığı ]]*40,485)</f>
        <v>208</v>
      </c>
      <c r="AK35" s="5">
        <f>1940*POWER(ROUND(AJ35,-1),0.2)/POWER(Tablo244[[#This Row],[Tensile Mpa]],0.9)</f>
        <v>22.686293185077698</v>
      </c>
      <c r="AL35" s="5">
        <f>IF(40*Tablo244[[#This Row],[Et Kalınlığı 2]]&lt;485,Tablo244[[#This Row],[Et Kalınlığı ]]*40,485)</f>
        <v>208</v>
      </c>
      <c r="AM35" s="5">
        <f>1940*POWER(ROUND(Tablo151[[#This Row],[Axc mm22]],-1),0.2)/POWER(Tablo244[[#This Row],[Tensile Mpa]],0.9)</f>
        <v>22.686293185077698</v>
      </c>
      <c r="AN35" s="5">
        <f>IF(40*Tablo244[[#This Row],[Et Kalınlığı 3]]&lt;485,Tablo244[[#This Row],[Et Kalınlığı ]]*40,485)</f>
        <v>208</v>
      </c>
      <c r="AO35" s="5">
        <f>1940*POWER(ROUND(Tablo151[[#This Row],[Axc mm23]],-1),0.2)/POWER(Tablo244[[#This Row],[Tensile Mpa]],0.9)</f>
        <v>22.686293185077698</v>
      </c>
      <c r="AP35" s="5">
        <f>IF(40*Tablo244[[#This Row],[Et Kalınlığı 4]]&lt;485,Tablo244[[#This Row],[Et Kalınlığı 4]]*40,485)</f>
        <v>380</v>
      </c>
      <c r="AQ35" s="12">
        <f>1940*POWER(ROUND(Tablo151[[#This Row],[Axc mm24]],-1),0.2)/POWER(Tablo244[[#This Row],[Tensile Mpa]],0.9)</f>
        <v>25.543264513362288</v>
      </c>
      <c r="AR35" s="5">
        <f>IF(40*Tablo244[[#This Row],[Et Kalınlığı 5]]&lt;485,Tablo244[[#This Row],[Et Kalınlığı 4]]*40,485)</f>
        <v>380</v>
      </c>
      <c r="AS35" s="64">
        <f>1940*POWER(ROUND(Tablo151[[#This Row],[Axc mm25]],-1),0.2)/POWER(Tablo244[[#This Row],[Tensile Mpa]],0.9)</f>
        <v>25.543264513362288</v>
      </c>
    </row>
    <row r="36" spans="2:45" x14ac:dyDescent="0.2">
      <c r="B36" s="43" t="s">
        <v>22</v>
      </c>
      <c r="C36" s="780">
        <v>406.4</v>
      </c>
      <c r="D36" s="780" t="s">
        <v>23</v>
      </c>
      <c r="E36" s="44">
        <v>60200</v>
      </c>
      <c r="F36" s="45">
        <v>520</v>
      </c>
      <c r="G36" s="49">
        <v>5.2</v>
      </c>
      <c r="H36" s="50">
        <f>2*Tablo244[[#This Row],[SMYS Psi]]*Tablo244[[#This Row],[Et Kalınlığı ]]/Tablo244[[#This Row],[ÇAP mm]]/14.50377</f>
        <v>106.2172925454804</v>
      </c>
      <c r="I36" s="514">
        <v>6.4</v>
      </c>
      <c r="J36" s="50">
        <f>2*Tablo244[[#This Row],[SMYS Psi]]*Tablo244[[#This Row],[Et Kalınlığı 2]]/Tablo244[[#This Row],[ÇAP mm]]/14.50377</f>
        <v>130.72897544059128</v>
      </c>
      <c r="K36" s="514">
        <v>7.9</v>
      </c>
      <c r="L36" s="50">
        <f>2*Tablo244[[#This Row],[SMYS Psi]]*Tablo244[[#This Row],[Et Kalınlığı 3]]/Tablo244[[#This Row],[ÇAP mm]]/14.50377</f>
        <v>161.36857905947983</v>
      </c>
      <c r="M36" s="514">
        <v>9.5</v>
      </c>
      <c r="N36" s="52">
        <f>2*Tablo244[[#This Row],[SMYS Psi]]*Tablo244[[#This Row],[Et Kalınlığı 4]]/Tablo244[[#This Row],[ÇAP mm]]/14.50377</f>
        <v>194.05082291962765</v>
      </c>
      <c r="O36" s="50">
        <v>10.3</v>
      </c>
      <c r="P36" s="50">
        <f>2*Tablo244[[#This Row],[SMYS Psi]]*Tablo244[[#This Row],[Et Kalınlığı 5]]/Tablo244[[#This Row],[ÇAP mm]]/14.50377</f>
        <v>210.39194484970159</v>
      </c>
      <c r="Q36" s="17">
        <f>IF(Tablo244[[#This Row],[ÇAP mm]]*0.005-1.6&lt;0,Tablo244[[#This Row],[ÇAP mm]]*1.005,Tablo244[[#This Row],[ÇAP mm]]+1.6)</f>
        <v>408</v>
      </c>
      <c r="R36" s="3">
        <f>IF(Tablo244[[#This Row],[ÇAP mm]]*0.005-1.6&lt;0,Tablo244[[#This Row],[ÇAP mm]]*0.995,Tablo244[[#This Row],[ÇAP mm]]-1.6)</f>
        <v>404.79999999999995</v>
      </c>
      <c r="S36" s="3">
        <f>IF(Tablo244[[#This Row],[ÇAP mm]]*0.0075-3.2&lt;0,Tablo244[[#This Row],[ÇAP mm]]*1.0075,Tablo244[[#This Row],[ÇAP mm]]+3.2)</f>
        <v>409.44799999999998</v>
      </c>
      <c r="T36" s="19">
        <f>IF(Tablo244[[#This Row],[ÇAP mm]]*0.005-3.2&lt;0,Tablo244[[#This Row],[ÇAP mm]]*0.9925,Tablo244[[#This Row],[ÇAP mm]]-3.2)</f>
        <v>403.35199999999998</v>
      </c>
      <c r="U36" s="173">
        <f>Tablo244[[#This Row],[ÇAP mm]]/Tablo244[[#This Row],[Et Kalınlığı ]]</f>
        <v>78.153846153846146</v>
      </c>
      <c r="V36" s="60">
        <f>Tablo244[[#This Row],[ÇAP mm]]/Tablo244[[#This Row],[Et Kalınlığı 2]]</f>
        <v>63.499999999999993</v>
      </c>
      <c r="W36" s="60">
        <f>Tablo244[[#This Row],[ÇAP mm]]/Tablo244[[#This Row],[Et Kalınlığı 3]]</f>
        <v>51.443037974683541</v>
      </c>
      <c r="X36" s="61">
        <f>Tablo244[[#This Row],[ÇAP mm]]/Tablo244[[#This Row],[Et Kalınlığı 4]]</f>
        <v>42.778947368421051</v>
      </c>
      <c r="Y36" s="174">
        <f>Tablo244[[#This Row],[ÇAP mm]]/Tablo244[[#This Row],[Et Kalınlığı 5]]</f>
        <v>39.456310679611647</v>
      </c>
      <c r="Z36" s="8">
        <f>Tablo244[[#This Row],[ÇAP mm]]*0.015/2</f>
        <v>3.0479999999999996</v>
      </c>
      <c r="AA36" s="8">
        <f>Tablo244[[#This Row],[ÇAP mm]]*0.02</f>
        <v>8.1280000000000001</v>
      </c>
      <c r="AB36" s="8">
        <f>Tablo244[[#This Row],[ÇAP mm]]*0.015/2</f>
        <v>3.0479999999999996</v>
      </c>
      <c r="AC36" s="8">
        <f>Tablo244[[#This Row],[ÇAP mm]]*0.02</f>
        <v>8.1280000000000001</v>
      </c>
      <c r="AD36" s="8">
        <f>Tablo244[[#This Row],[ÇAP mm]]*0.015/2</f>
        <v>3.0479999999999996</v>
      </c>
      <c r="AE36" s="8">
        <f>Tablo244[[#This Row],[ÇAP mm]]*0.02</f>
        <v>8.1280000000000001</v>
      </c>
      <c r="AF36" s="8">
        <f>IF(Tablo244[[#This Row],[ÇAP mm]]/Tablo244[[#This Row],[Et Kalınlığı 4]]&lt;75,Tablo244[[#This Row],[ÇAP mm]]*0.015/2,"Anlaşmaya bağlıdır.")</f>
        <v>3.0479999999999996</v>
      </c>
      <c r="AG36" s="64">
        <f>Tablo244[[#This Row],[ÇAP mm]]*0.02</f>
        <v>8.1280000000000001</v>
      </c>
      <c r="AH36" s="8">
        <f>IF(Tablo244[[#This Row],[ÇAP mm]]/Tablo244[[#This Row],[Et Kalınlığı 5]]&lt;75,Tablo244[[#This Row],[ÇAP mm]]*0.015/2,"Anlaşmaya bağlıdır.")</f>
        <v>3.0479999999999996</v>
      </c>
      <c r="AI36" s="8">
        <f>Tablo244[[#This Row],[ÇAP mm]]*0.02</f>
        <v>8.1280000000000001</v>
      </c>
      <c r="AJ36" s="11">
        <f>IF(40*Tablo244[[#This Row],[Et Kalınlığı ]]&lt;485,Tablo244[[#This Row],[Et Kalınlığı ]]*40,485)</f>
        <v>208</v>
      </c>
      <c r="AK36" s="5">
        <f>1940*POWER(ROUND(AJ36,-1),0.2)/POWER(Tablo244[[#This Row],[Tensile Mpa]],0.9)</f>
        <v>20.316204681560613</v>
      </c>
      <c r="AL36" s="5">
        <f>IF(40*Tablo244[[#This Row],[Et Kalınlığı 2]]&lt;485,Tablo244[[#This Row],[Et Kalınlığı ]]*40,485)</f>
        <v>208</v>
      </c>
      <c r="AM36" s="5">
        <f>1940*POWER(ROUND(Tablo151[[#This Row],[Axc mm22]],-1),0.2)/POWER(Tablo244[[#This Row],[Tensile Mpa]],0.9)</f>
        <v>20.316204681560613</v>
      </c>
      <c r="AN36" s="5">
        <f>IF(40*Tablo244[[#This Row],[Et Kalınlığı 3]]&lt;485,Tablo244[[#This Row],[Et Kalınlığı ]]*40,485)</f>
        <v>208</v>
      </c>
      <c r="AO36" s="5">
        <f>1940*POWER(ROUND(Tablo151[[#This Row],[Axc mm23]],-1),0.2)/POWER(Tablo244[[#This Row],[Tensile Mpa]],0.9)</f>
        <v>20.316204681560613</v>
      </c>
      <c r="AP36" s="5">
        <f>IF(40*Tablo244[[#This Row],[Et Kalınlığı 4]]&lt;485,Tablo244[[#This Row],[Et Kalınlığı 4]]*40,485)</f>
        <v>380</v>
      </c>
      <c r="AQ36" s="12">
        <f>1940*POWER(ROUND(Tablo151[[#This Row],[Axc mm24]],-1),0.2)/POWER(Tablo244[[#This Row],[Tensile Mpa]],0.9)</f>
        <v>22.874701735321626</v>
      </c>
      <c r="AR36" s="5">
        <f>IF(40*Tablo244[[#This Row],[Et Kalınlığı 5]]&lt;485,Tablo244[[#This Row],[Et Kalınlığı 4]]*40,485)</f>
        <v>380</v>
      </c>
      <c r="AS36" s="64">
        <f>1940*POWER(ROUND(Tablo151[[#This Row],[Axc mm25]],-1),0.2)/POWER(Tablo244[[#This Row],[Tensile Mpa]],0.9)</f>
        <v>22.874701735321626</v>
      </c>
    </row>
    <row r="37" spans="2:45" x14ac:dyDescent="0.2">
      <c r="B37" s="43" t="s">
        <v>24</v>
      </c>
      <c r="C37" s="780">
        <v>457</v>
      </c>
      <c r="D37" s="780" t="s">
        <v>25</v>
      </c>
      <c r="E37" s="44">
        <v>65300</v>
      </c>
      <c r="F37" s="45">
        <v>535</v>
      </c>
      <c r="G37" s="49">
        <v>5.6</v>
      </c>
      <c r="H37" s="50">
        <f>2*Tablo244[[#This Row],[SMYS Psi]]*Tablo244[[#This Row],[Et Kalınlığı ]]/Tablo244[[#This Row],[ÇAP mm]]/14.50377</f>
        <v>110.34028458870972</v>
      </c>
      <c r="I37" s="514">
        <v>6.4</v>
      </c>
      <c r="J37" s="50">
        <f>2*Tablo244[[#This Row],[SMYS Psi]]*Tablo244[[#This Row],[Et Kalınlığı 2]]/Tablo244[[#This Row],[ÇAP mm]]/14.50377</f>
        <v>126.10318238709682</v>
      </c>
      <c r="K37" s="514">
        <v>7.9</v>
      </c>
      <c r="L37" s="50">
        <f>2*Tablo244[[#This Row],[SMYS Psi]]*Tablo244[[#This Row],[Et Kalınlığı 3]]/Tablo244[[#This Row],[ÇAP mm]]/14.50377</f>
        <v>155.65861575907266</v>
      </c>
      <c r="M37" s="514">
        <v>9.5</v>
      </c>
      <c r="N37" s="52">
        <f>2*Tablo244[[#This Row],[SMYS Psi]]*Tablo244[[#This Row],[Et Kalınlığı 4]]/Tablo244[[#This Row],[ÇAP mm]]/14.50377</f>
        <v>187.18441135584686</v>
      </c>
      <c r="O37" s="50">
        <v>10.3</v>
      </c>
      <c r="P37" s="50">
        <f>2*Tablo244[[#This Row],[SMYS Psi]]*Tablo244[[#This Row],[Et Kalınlığı 5]]/Tablo244[[#This Row],[ÇAP mm]]/14.50377</f>
        <v>202.94730915423395</v>
      </c>
      <c r="Q37" s="17">
        <f>IF(Tablo244[[#This Row],[ÇAP mm]]*0.005-1.6&lt;0,Tablo244[[#This Row],[ÇAP mm]]*1.005,Tablo244[[#This Row],[ÇAP mm]]+1.6)</f>
        <v>458.6</v>
      </c>
      <c r="R37" s="3">
        <f>IF(Tablo244[[#This Row],[ÇAP mm]]*0.005-1.6&lt;0,Tablo244[[#This Row],[ÇAP mm]]*0.995,Tablo244[[#This Row],[ÇAP mm]]-1.6)</f>
        <v>455.4</v>
      </c>
      <c r="S37" s="3">
        <f>IF(Tablo244[[#This Row],[ÇAP mm]]*0.0075-3.2&lt;0,Tablo244[[#This Row],[ÇAP mm]]*1.0075,Tablo244[[#This Row],[ÇAP mm]]+3.2)</f>
        <v>460.2</v>
      </c>
      <c r="T37" s="19">
        <f>IF(Tablo244[[#This Row],[ÇAP mm]]*0.005-3.2&lt;0,Tablo244[[#This Row],[ÇAP mm]]*0.9925,Tablo244[[#This Row],[ÇAP mm]]-3.2)</f>
        <v>453.57250000000005</v>
      </c>
      <c r="U37" s="173">
        <f>Tablo244[[#This Row],[ÇAP mm]]/Tablo244[[#This Row],[Et Kalınlığı ]]</f>
        <v>81.607142857142861</v>
      </c>
      <c r="V37" s="60">
        <f>Tablo244[[#This Row],[ÇAP mm]]/Tablo244[[#This Row],[Et Kalınlığı 2]]</f>
        <v>71.40625</v>
      </c>
      <c r="W37" s="60">
        <f>Tablo244[[#This Row],[ÇAP mm]]/Tablo244[[#This Row],[Et Kalınlığı 3]]</f>
        <v>57.848101265822784</v>
      </c>
      <c r="X37" s="61">
        <f>Tablo244[[#This Row],[ÇAP mm]]/Tablo244[[#This Row],[Et Kalınlığı 4]]</f>
        <v>48.10526315789474</v>
      </c>
      <c r="Y37" s="174">
        <f>Tablo244[[#This Row],[ÇAP mm]]/Tablo244[[#This Row],[Et Kalınlığı 5]]</f>
        <v>44.368932038834949</v>
      </c>
      <c r="Z37" s="8">
        <f>Tablo244[[#This Row],[ÇAP mm]]*0.015/2</f>
        <v>3.4274999999999998</v>
      </c>
      <c r="AA37" s="8">
        <f>Tablo244[[#This Row],[ÇAP mm]]*0.02</f>
        <v>9.14</v>
      </c>
      <c r="AB37" s="8">
        <f>Tablo244[[#This Row],[ÇAP mm]]*0.015/2</f>
        <v>3.4274999999999998</v>
      </c>
      <c r="AC37" s="8">
        <f>Tablo244[[#This Row],[ÇAP mm]]*0.02</f>
        <v>9.14</v>
      </c>
      <c r="AD37" s="8">
        <f>Tablo244[[#This Row],[ÇAP mm]]*0.015/2</f>
        <v>3.4274999999999998</v>
      </c>
      <c r="AE37" s="8">
        <f>Tablo244[[#This Row],[ÇAP mm]]*0.02</f>
        <v>9.14</v>
      </c>
      <c r="AF37" s="8">
        <f>IF(Tablo244[[#This Row],[ÇAP mm]]/Tablo244[[#This Row],[Et Kalınlığı 4]]&lt;75,Tablo244[[#This Row],[ÇAP mm]]*0.015/2,"Anlaşmaya bağlıdır.")</f>
        <v>3.4274999999999998</v>
      </c>
      <c r="AG37" s="64">
        <f>Tablo244[[#This Row],[ÇAP mm]]*0.02</f>
        <v>9.14</v>
      </c>
      <c r="AH37" s="8">
        <f>IF(Tablo244[[#This Row],[ÇAP mm]]/Tablo244[[#This Row],[Et Kalınlığı 5]]&lt;75,Tablo244[[#This Row],[ÇAP mm]]*0.015/2,"Anlaşmaya bağlıdır.")</f>
        <v>3.4274999999999998</v>
      </c>
      <c r="AI37" s="8">
        <f>Tablo244[[#This Row],[ÇAP mm]]*0.02</f>
        <v>9.14</v>
      </c>
      <c r="AJ37" s="11">
        <f>IF(40*Tablo244[[#This Row],[Et Kalınlığı ]]&lt;485,Tablo244[[#This Row],[Et Kalınlığı ]]*40,485)</f>
        <v>224</v>
      </c>
      <c r="AK37" s="5">
        <f>1940*POWER(ROUND(AJ37,-1),0.2)/POWER(Tablo244[[#This Row],[Tensile Mpa]],0.9)</f>
        <v>19.987931953757798</v>
      </c>
      <c r="AL37" s="5">
        <f>IF(40*Tablo244[[#This Row],[Et Kalınlığı 2]]&lt;485,Tablo244[[#This Row],[Et Kalınlığı ]]*40,485)</f>
        <v>224</v>
      </c>
      <c r="AM37" s="5">
        <f>1940*POWER(ROUND(Tablo151[[#This Row],[Axc mm22]],-1),0.2)/POWER(Tablo244[[#This Row],[Tensile Mpa]],0.9)</f>
        <v>19.987931953757798</v>
      </c>
      <c r="AN37" s="5">
        <f>IF(40*Tablo244[[#This Row],[Et Kalınlığı 3]]&lt;485,Tablo244[[#This Row],[Et Kalınlığı ]]*40,485)</f>
        <v>224</v>
      </c>
      <c r="AO37" s="5">
        <f>1940*POWER(ROUND(Tablo151[[#This Row],[Axc mm23]],-1),0.2)/POWER(Tablo244[[#This Row],[Tensile Mpa]],0.9)</f>
        <v>19.987931953757798</v>
      </c>
      <c r="AP37" s="5">
        <f>IF(40*Tablo244[[#This Row],[Et Kalınlığı 4]]&lt;485,Tablo244[[#This Row],[Et Kalınlığı 4]]*40,485)</f>
        <v>380</v>
      </c>
      <c r="AQ37" s="12">
        <f>1940*POWER(ROUND(Tablo151[[#This Row],[Axc mm24]],-1),0.2)/POWER(Tablo244[[#This Row],[Tensile Mpa]],0.9)</f>
        <v>22.296672016370039</v>
      </c>
      <c r="AR37" s="5">
        <f>IF(40*Tablo244[[#This Row],[Et Kalınlığı 5]]&lt;485,Tablo244[[#This Row],[Et Kalınlığı 4]]*40,485)</f>
        <v>380</v>
      </c>
      <c r="AS37" s="64">
        <f>1940*POWER(ROUND(Tablo151[[#This Row],[Axc mm25]],-1),0.2)/POWER(Tablo244[[#This Row],[Tensile Mpa]],0.9)</f>
        <v>22.296672016370039</v>
      </c>
    </row>
    <row r="38" spans="2:45" x14ac:dyDescent="0.2">
      <c r="B38" s="43" t="s">
        <v>26</v>
      </c>
      <c r="C38" s="780">
        <v>508</v>
      </c>
      <c r="D38" s="780" t="s">
        <v>25</v>
      </c>
      <c r="E38" s="44">
        <v>65300</v>
      </c>
      <c r="F38" s="45">
        <v>535</v>
      </c>
      <c r="G38" s="49">
        <v>6.4</v>
      </c>
      <c r="H38" s="50">
        <f>2*Tablo244[[#This Row],[SMYS Psi]]*Tablo244[[#This Row],[Et Kalınlığı ]]/Tablo244[[#This Row],[ÇAP mm]]/14.50377</f>
        <v>113.4432172261875</v>
      </c>
      <c r="I38" s="514">
        <v>7.1</v>
      </c>
      <c r="J38" s="50">
        <f>2*Tablo244[[#This Row],[SMYS Psi]]*Tablo244[[#This Row],[Et Kalınlığı 2]]/Tablo244[[#This Row],[ÇAP mm]]/14.50377</f>
        <v>125.85106911030175</v>
      </c>
      <c r="K38" s="514">
        <v>8.6999999999999993</v>
      </c>
      <c r="L38" s="50">
        <f>2*Tablo244[[#This Row],[SMYS Psi]]*Tablo244[[#This Row],[Et Kalınlığı 3]]/Tablo244[[#This Row],[ÇAP mm]]/14.50377</f>
        <v>154.21187341684865</v>
      </c>
      <c r="M38" s="514">
        <v>10.3</v>
      </c>
      <c r="N38" s="52">
        <f>2*Tablo244[[#This Row],[SMYS Psi]]*Tablo244[[#This Row],[Et Kalınlığı 4]]/Tablo244[[#This Row],[ÇAP mm]]/14.50377</f>
        <v>182.57267772339549</v>
      </c>
      <c r="O38" s="50">
        <v>11.1</v>
      </c>
      <c r="P38" s="50">
        <f>2*Tablo244[[#This Row],[SMYS Psi]]*Tablo244[[#This Row],[Et Kalınlığı 5]]/Tablo244[[#This Row],[ÇAP mm]]/14.50377</f>
        <v>196.75307987666895</v>
      </c>
      <c r="Q38" s="17">
        <f>IF(Tablo244[[#This Row],[ÇAP mm]]*0.005-1.6&lt;0,Tablo244[[#This Row],[ÇAP mm]]*1.005,Tablo244[[#This Row],[ÇAP mm]]+1.6)</f>
        <v>509.6</v>
      </c>
      <c r="R38" s="3">
        <f>IF(Tablo244[[#This Row],[ÇAP mm]]*0.005-1.6&lt;0,Tablo244[[#This Row],[ÇAP mm]]*0.995,Tablo244[[#This Row],[ÇAP mm]]-1.6)</f>
        <v>506.4</v>
      </c>
      <c r="S38" s="3">
        <f>IF(Tablo244[[#This Row],[ÇAP mm]]*0.0075-3.2&lt;0,Tablo244[[#This Row],[ÇAP mm]]*1.0075,Tablo244[[#This Row],[ÇAP mm]]+3.2)</f>
        <v>511.2</v>
      </c>
      <c r="T38" s="19">
        <f>IF(Tablo244[[#This Row],[ÇAP mm]]*0.005-3.2&lt;0,Tablo244[[#This Row],[ÇAP mm]]*0.9925,Tablo244[[#This Row],[ÇAP mm]]-3.2)</f>
        <v>504.19</v>
      </c>
      <c r="U38" s="173">
        <f>Tablo244[[#This Row],[ÇAP mm]]/Tablo244[[#This Row],[Et Kalınlığı ]]</f>
        <v>79.375</v>
      </c>
      <c r="V38" s="60">
        <f>Tablo244[[#This Row],[ÇAP mm]]/Tablo244[[#This Row],[Et Kalınlığı 2]]</f>
        <v>71.549295774647888</v>
      </c>
      <c r="W38" s="60">
        <f>Tablo244[[#This Row],[ÇAP mm]]/Tablo244[[#This Row],[Et Kalınlığı 3]]</f>
        <v>58.390804597701155</v>
      </c>
      <c r="X38" s="61">
        <f>Tablo244[[#This Row],[ÇAP mm]]/Tablo244[[#This Row],[Et Kalınlığı 4]]</f>
        <v>49.320388349514559</v>
      </c>
      <c r="Y38" s="174">
        <f>Tablo244[[#This Row],[ÇAP mm]]/Tablo244[[#This Row],[Et Kalınlığı 5]]</f>
        <v>45.765765765765764</v>
      </c>
      <c r="Z38" s="8">
        <f>Tablo244[[#This Row],[ÇAP mm]]*0.015/2</f>
        <v>3.81</v>
      </c>
      <c r="AA38" s="8">
        <f>Tablo244[[#This Row],[ÇAP mm]]*0.02</f>
        <v>10.16</v>
      </c>
      <c r="AB38" s="8">
        <f>Tablo244[[#This Row],[ÇAP mm]]*0.015/2</f>
        <v>3.81</v>
      </c>
      <c r="AC38" s="8">
        <f>Tablo244[[#This Row],[ÇAP mm]]*0.02</f>
        <v>10.16</v>
      </c>
      <c r="AD38" s="8">
        <f>Tablo244[[#This Row],[ÇAP mm]]*0.015/2</f>
        <v>3.81</v>
      </c>
      <c r="AE38" s="8">
        <f>Tablo244[[#This Row],[ÇAP mm]]*0.02</f>
        <v>10.16</v>
      </c>
      <c r="AF38" s="8">
        <f>IF(Tablo244[[#This Row],[ÇAP mm]]/Tablo244[[#This Row],[Et Kalınlığı 4]]&lt;75,Tablo244[[#This Row],[ÇAP mm]]*0.015/2,"Anlaşmaya bağlıdır.")</f>
        <v>3.81</v>
      </c>
      <c r="AG38" s="64">
        <f>Tablo244[[#This Row],[ÇAP mm]]*0.02</f>
        <v>10.16</v>
      </c>
      <c r="AH38" s="8">
        <f>IF(Tablo244[[#This Row],[ÇAP mm]]/Tablo244[[#This Row],[Et Kalınlığı 5]]&lt;75,Tablo244[[#This Row],[ÇAP mm]]*0.015/2,"Anlaşmaya bağlıdır.")</f>
        <v>3.81</v>
      </c>
      <c r="AI38" s="8">
        <f>Tablo244[[#This Row],[ÇAP mm]]*0.02</f>
        <v>10.16</v>
      </c>
      <c r="AJ38" s="11">
        <f>IF(40*Tablo244[[#This Row],[Et Kalınlığı ]]&lt;485,Tablo244[[#This Row],[Et Kalınlığı ]]*40,485)</f>
        <v>256</v>
      </c>
      <c r="AK38" s="5">
        <f>1940*POWER(ROUND(AJ38,-1),0.2)/POWER(Tablo244[[#This Row],[Tensile Mpa]],0.9)</f>
        <v>20.667026469791924</v>
      </c>
      <c r="AL38" s="5">
        <f>IF(40*Tablo244[[#This Row],[Et Kalınlığı 2]]&lt;485,Tablo244[[#This Row],[Et Kalınlığı ]]*40,485)</f>
        <v>256</v>
      </c>
      <c r="AM38" s="5">
        <f>1940*POWER(ROUND(Tablo151[[#This Row],[Axc mm22]],-1),0.2)/POWER(Tablo244[[#This Row],[Tensile Mpa]],0.9)</f>
        <v>20.667026469791924</v>
      </c>
      <c r="AN38" s="5">
        <f>IF(40*Tablo244[[#This Row],[Et Kalınlığı 3]]&lt;485,Tablo244[[#This Row],[Et Kalınlığı ]]*40,485)</f>
        <v>256</v>
      </c>
      <c r="AO38" s="5">
        <f>1940*POWER(ROUND(Tablo151[[#This Row],[Axc mm23]],-1),0.2)/POWER(Tablo244[[#This Row],[Tensile Mpa]],0.9)</f>
        <v>20.667026469791924</v>
      </c>
      <c r="AP38" s="5">
        <f>IF(40*Tablo244[[#This Row],[Et Kalınlığı 4]]&lt;485,Tablo244[[#This Row],[Et Kalınlığı 4]]*40,485)</f>
        <v>412</v>
      </c>
      <c r="AQ38" s="12">
        <f>1940*POWER(ROUND(Tablo151[[#This Row],[Axc mm24]],-1),0.2)/POWER(Tablo244[[#This Row],[Tensile Mpa]],0.9)</f>
        <v>22.638106434627545</v>
      </c>
      <c r="AR38" s="5">
        <f>IF(40*Tablo244[[#This Row],[Et Kalınlığı 5]]&lt;485,Tablo244[[#This Row],[Et Kalınlığı 4]]*40,485)</f>
        <v>412</v>
      </c>
      <c r="AS38" s="64">
        <f>1940*POWER(ROUND(Tablo151[[#This Row],[Axc mm25]],-1),0.2)/POWER(Tablo244[[#This Row],[Tensile Mpa]],0.9)</f>
        <v>22.638106434627545</v>
      </c>
    </row>
    <row r="39" spans="2:45" x14ac:dyDescent="0.2">
      <c r="B39" s="43" t="s">
        <v>27</v>
      </c>
      <c r="C39" s="780">
        <v>559</v>
      </c>
      <c r="D39" s="780" t="s">
        <v>25</v>
      </c>
      <c r="E39" s="44">
        <v>65300</v>
      </c>
      <c r="F39" s="45">
        <v>535</v>
      </c>
      <c r="G39" s="49">
        <v>7.1</v>
      </c>
      <c r="H39" s="50">
        <f>2*Tablo244[[#This Row],[SMYS Psi]]*Tablo244[[#This Row],[Et Kalınlığı ]]/Tablo244[[#This Row],[ÇAP mm]]/14.50377</f>
        <v>114.36912899469283</v>
      </c>
      <c r="I39" s="514">
        <v>7.9</v>
      </c>
      <c r="J39" s="50">
        <f>2*Tablo244[[#This Row],[SMYS Psi]]*Tablo244[[#This Row],[Et Kalınlığı 2]]/Tablo244[[#This Row],[ÇAP mm]]/14.50377</f>
        <v>127.25579141663005</v>
      </c>
      <c r="K39" s="514">
        <v>9.5</v>
      </c>
      <c r="L39" s="50">
        <f>2*Tablo244[[#This Row],[SMYS Psi]]*Tablo244[[#This Row],[Et Kalınlığı 3]]/Tablo244[[#This Row],[ÇAP mm]]/14.50377</f>
        <v>153.02911626050448</v>
      </c>
      <c r="M39" s="514">
        <v>11.1</v>
      </c>
      <c r="N39" s="52">
        <f>2*Tablo244[[#This Row],[SMYS Psi]]*Tablo244[[#This Row],[Et Kalınlığı 4]]/Tablo244[[#This Row],[ÇAP mm]]/14.50377</f>
        <v>178.80244110437894</v>
      </c>
      <c r="O39" s="50">
        <v>11.9</v>
      </c>
      <c r="P39" s="50">
        <f>2*Tablo244[[#This Row],[SMYS Psi]]*Tablo244[[#This Row],[Et Kalınlığı 5]]/Tablo244[[#This Row],[ÇAP mm]]/14.50377</f>
        <v>191.68910352631616</v>
      </c>
      <c r="Q39" s="17">
        <f>IF(Tablo244[[#This Row],[ÇAP mm]]*0.005-1.6&lt;0,Tablo244[[#This Row],[ÇAP mm]]*1.005,Tablo244[[#This Row],[ÇAP mm]]+1.6)</f>
        <v>560.6</v>
      </c>
      <c r="R39" s="3">
        <f>IF(Tablo244[[#This Row],[ÇAP mm]]*0.005-1.6&lt;0,Tablo244[[#This Row],[ÇAP mm]]*0.995,Tablo244[[#This Row],[ÇAP mm]]-1.6)</f>
        <v>557.4</v>
      </c>
      <c r="S39" s="3">
        <f>IF(Tablo244[[#This Row],[ÇAP mm]]*0.0075-3.2&lt;0,Tablo244[[#This Row],[ÇAP mm]]*1.0075,Tablo244[[#This Row],[ÇAP mm]]+3.2)</f>
        <v>562.20000000000005</v>
      </c>
      <c r="T39" s="19">
        <f>IF(Tablo244[[#This Row],[ÇAP mm]]*0.005-3.2&lt;0,Tablo244[[#This Row],[ÇAP mm]]*0.9925,Tablo244[[#This Row],[ÇAP mm]]-3.2)</f>
        <v>554.8075</v>
      </c>
      <c r="U39" s="173">
        <f>Tablo244[[#This Row],[ÇAP mm]]/Tablo244[[#This Row],[Et Kalınlığı ]]</f>
        <v>78.732394366197184</v>
      </c>
      <c r="V39" s="60">
        <f>Tablo244[[#This Row],[ÇAP mm]]/Tablo244[[#This Row],[Et Kalınlığı 2]]</f>
        <v>70.759493670886073</v>
      </c>
      <c r="W39" s="60">
        <f>Tablo244[[#This Row],[ÇAP mm]]/Tablo244[[#This Row],[Et Kalınlığı 3]]</f>
        <v>58.842105263157897</v>
      </c>
      <c r="X39" s="61">
        <f>Tablo244[[#This Row],[ÇAP mm]]/Tablo244[[#This Row],[Et Kalınlığı 4]]</f>
        <v>50.36036036036036</v>
      </c>
      <c r="Y39" s="174">
        <f>Tablo244[[#This Row],[ÇAP mm]]/Tablo244[[#This Row],[Et Kalınlığı 5]]</f>
        <v>46.974789915966383</v>
      </c>
      <c r="Z39" s="8">
        <f>Tablo244[[#This Row],[ÇAP mm]]*0.015/2</f>
        <v>4.1924999999999999</v>
      </c>
      <c r="AA39" s="8">
        <f>Tablo244[[#This Row],[ÇAP mm]]*0.02</f>
        <v>11.18</v>
      </c>
      <c r="AB39" s="8">
        <f>Tablo244[[#This Row],[ÇAP mm]]*0.015/2</f>
        <v>4.1924999999999999</v>
      </c>
      <c r="AC39" s="8">
        <f>Tablo244[[#This Row],[ÇAP mm]]*0.02</f>
        <v>11.18</v>
      </c>
      <c r="AD39" s="8">
        <f>Tablo244[[#This Row],[ÇAP mm]]*0.015/2</f>
        <v>4.1924999999999999</v>
      </c>
      <c r="AE39" s="8">
        <f>Tablo244[[#This Row],[ÇAP mm]]*0.02</f>
        <v>11.18</v>
      </c>
      <c r="AF39" s="8">
        <f>IF(Tablo244[[#This Row],[ÇAP mm]]/Tablo244[[#This Row],[Et Kalınlığı 4]]&lt;75,Tablo244[[#This Row],[ÇAP mm]]*0.015/2,"Anlaşmaya bağlıdır.")</f>
        <v>4.1924999999999999</v>
      </c>
      <c r="AG39" s="64">
        <f>Tablo244[[#This Row],[ÇAP mm]]*0.02</f>
        <v>11.18</v>
      </c>
      <c r="AH39" s="8">
        <f>IF(Tablo244[[#This Row],[ÇAP mm]]/Tablo244[[#This Row],[Et Kalınlığı 5]]&lt;75,Tablo244[[#This Row],[ÇAP mm]]*0.015/2,"Anlaşmaya bağlıdır.")</f>
        <v>4.1924999999999999</v>
      </c>
      <c r="AI39" s="8">
        <f>Tablo244[[#This Row],[ÇAP mm]]*0.02</f>
        <v>11.18</v>
      </c>
      <c r="AJ39" s="11">
        <f>IF(40*Tablo244[[#This Row],[Et Kalınlığı ]]&lt;485,Tablo244[[#This Row],[Et Kalınlığı ]]*40,485)</f>
        <v>284</v>
      </c>
      <c r="AK39" s="5">
        <f>1940*POWER(ROUND(AJ39,-1),0.2)/POWER(Tablo244[[#This Row],[Tensile Mpa]],0.9)</f>
        <v>20.975626073902749</v>
      </c>
      <c r="AL39" s="5">
        <f>IF(40*Tablo244[[#This Row],[Et Kalınlığı 2]]&lt;485,Tablo244[[#This Row],[Et Kalınlığı ]]*40,485)</f>
        <v>284</v>
      </c>
      <c r="AM39" s="5">
        <f>1940*POWER(ROUND(Tablo151[[#This Row],[Axc mm22]],-1),0.2)/POWER(Tablo244[[#This Row],[Tensile Mpa]],0.9)</f>
        <v>20.975626073902749</v>
      </c>
      <c r="AN39" s="5">
        <f>IF(40*Tablo244[[#This Row],[Et Kalınlığı 3]]&lt;485,Tablo244[[#This Row],[Et Kalınlığı ]]*40,485)</f>
        <v>284</v>
      </c>
      <c r="AO39" s="5">
        <f>1940*POWER(ROUND(Tablo151[[#This Row],[Axc mm23]],-1),0.2)/POWER(Tablo244[[#This Row],[Tensile Mpa]],0.9)</f>
        <v>20.975626073902749</v>
      </c>
      <c r="AP39" s="5">
        <f>IF(40*Tablo244[[#This Row],[Et Kalınlığı 4]]&lt;485,Tablo244[[#This Row],[Et Kalınlığı 4]]*40,485)</f>
        <v>444</v>
      </c>
      <c r="AQ39" s="12">
        <f>1940*POWER(ROUND(Tablo151[[#This Row],[Axc mm24]],-1),0.2)/POWER(Tablo244[[#This Row],[Tensile Mpa]],0.9)</f>
        <v>22.960104555074253</v>
      </c>
      <c r="AR39" s="5">
        <f>IF(40*Tablo244[[#This Row],[Et Kalınlığı 5]]&lt;485,Tablo244[[#This Row],[Et Kalınlığı 4]]*40,485)</f>
        <v>444</v>
      </c>
      <c r="AS39" s="64">
        <f>1940*POWER(ROUND(Tablo151[[#This Row],[Axc mm25]],-1),0.2)/POWER(Tablo244[[#This Row],[Tensile Mpa]],0.9)</f>
        <v>22.960104555074253</v>
      </c>
    </row>
    <row r="40" spans="2:45" x14ac:dyDescent="0.2">
      <c r="B40" s="43" t="s">
        <v>28</v>
      </c>
      <c r="C40" s="780">
        <v>610</v>
      </c>
      <c r="D40" s="780" t="s">
        <v>25</v>
      </c>
      <c r="E40" s="44">
        <v>65300</v>
      </c>
      <c r="F40" s="45">
        <v>535</v>
      </c>
      <c r="G40" s="49">
        <v>7.1</v>
      </c>
      <c r="H40" s="50">
        <f>2*Tablo244[[#This Row],[SMYS Psi]]*Tablo244[[#This Row],[Et Kalınlığı ]]/Tablo244[[#This Row],[ÇAP mm]]/14.50377</f>
        <v>104.80711984923491</v>
      </c>
      <c r="I40" s="514">
        <v>8.6999999999999993</v>
      </c>
      <c r="J40" s="50">
        <f>2*Tablo244[[#This Row],[SMYS Psi]]*Tablo244[[#This Row],[Et Kalınlığı 2]]/Tablo244[[#This Row],[ÇAP mm]]/14.50377</f>
        <v>128.42562573075264</v>
      </c>
      <c r="K40" s="514">
        <v>10.3</v>
      </c>
      <c r="L40" s="50">
        <f>2*Tablo244[[#This Row],[SMYS Psi]]*Tablo244[[#This Row],[Et Kalınlığı 3]]/Tablo244[[#This Row],[ÇAP mm]]/14.50377</f>
        <v>152.04413161227038</v>
      </c>
      <c r="M40" s="514">
        <v>11.9</v>
      </c>
      <c r="N40" s="52">
        <f>2*Tablo244[[#This Row],[SMYS Psi]]*Tablo244[[#This Row],[Et Kalınlığı 4]]/Tablo244[[#This Row],[ÇAP mm]]/14.50377</f>
        <v>175.66263749378808</v>
      </c>
      <c r="O40" s="50">
        <v>12.7</v>
      </c>
      <c r="P40" s="50">
        <f>2*Tablo244[[#This Row],[SMYS Psi]]*Tablo244[[#This Row],[Et Kalınlığı 5]]/Tablo244[[#This Row],[ÇAP mm]]/14.50377</f>
        <v>187.47189043454694</v>
      </c>
      <c r="Q40" s="17">
        <f>IF(Tablo244[[#This Row],[ÇAP mm]]*0.005-1.6&lt;0,Tablo244[[#This Row],[ÇAP mm]]*1.005,Tablo244[[#This Row],[ÇAP mm]]+1.6)</f>
        <v>611.6</v>
      </c>
      <c r="R40" s="3">
        <f>IF(Tablo244[[#This Row],[ÇAP mm]]*0.005-1.6&lt;0,Tablo244[[#This Row],[ÇAP mm]]*0.995,Tablo244[[#This Row],[ÇAP mm]]-1.6)</f>
        <v>608.4</v>
      </c>
      <c r="S40" s="3">
        <f>IF(Tablo244[[#This Row],[ÇAP mm]]*0.0075-3.2&lt;0,Tablo244[[#This Row],[ÇAP mm]]*1.0075,Tablo244[[#This Row],[ÇAP mm]]+3.2)</f>
        <v>613.20000000000005</v>
      </c>
      <c r="T40" s="19">
        <f>IF(Tablo244[[#This Row],[ÇAP mm]]*0.005-3.2&lt;0,Tablo244[[#This Row],[ÇAP mm]]*0.9925,Tablo244[[#This Row],[ÇAP mm]]-3.2)</f>
        <v>605.42500000000007</v>
      </c>
      <c r="U40" s="173">
        <f>Tablo244[[#This Row],[ÇAP mm]]/Tablo244[[#This Row],[Et Kalınlığı ]]</f>
        <v>85.91549295774648</v>
      </c>
      <c r="V40" s="60">
        <f>Tablo244[[#This Row],[ÇAP mm]]/Tablo244[[#This Row],[Et Kalınlığı 2]]</f>
        <v>70.114942528735639</v>
      </c>
      <c r="W40" s="60">
        <f>Tablo244[[#This Row],[ÇAP mm]]/Tablo244[[#This Row],[Et Kalınlığı 3]]</f>
        <v>59.22330097087378</v>
      </c>
      <c r="X40" s="61">
        <f>Tablo244[[#This Row],[ÇAP mm]]/Tablo244[[#This Row],[Et Kalınlığı 4]]</f>
        <v>51.260504201680668</v>
      </c>
      <c r="Y40" s="174">
        <f>Tablo244[[#This Row],[ÇAP mm]]/Tablo244[[#This Row],[Et Kalınlığı 5]]</f>
        <v>48.031496062992126</v>
      </c>
      <c r="Z40" s="8">
        <f>Tablo244[[#This Row],[ÇAP mm]]*0.015/2</f>
        <v>4.5750000000000002</v>
      </c>
      <c r="AA40" s="8">
        <f>Tablo244[[#This Row],[ÇAP mm]]*0.02</f>
        <v>12.200000000000001</v>
      </c>
      <c r="AB40" s="8">
        <f>Tablo244[[#This Row],[ÇAP mm]]*0.015/2</f>
        <v>4.5750000000000002</v>
      </c>
      <c r="AC40" s="8">
        <f>Tablo244[[#This Row],[ÇAP mm]]*0.02</f>
        <v>12.200000000000001</v>
      </c>
      <c r="AD40" s="8">
        <f>Tablo244[[#This Row],[ÇAP mm]]*0.015/2</f>
        <v>4.5750000000000002</v>
      </c>
      <c r="AE40" s="8">
        <f>Tablo244[[#This Row],[ÇAP mm]]*0.02</f>
        <v>12.200000000000001</v>
      </c>
      <c r="AF40" s="8">
        <f>IF(Tablo244[[#This Row],[ÇAP mm]]/Tablo244[[#This Row],[Et Kalınlığı 4]]&lt;75,Tablo244[[#This Row],[ÇAP mm]]*0.015/2,"Anlaşmaya bağlıdır.")</f>
        <v>4.5750000000000002</v>
      </c>
      <c r="AG40" s="64">
        <f>Tablo244[[#This Row],[ÇAP mm]]*0.02</f>
        <v>12.200000000000001</v>
      </c>
      <c r="AH40" s="8">
        <f>IF(Tablo244[[#This Row],[ÇAP mm]]/Tablo244[[#This Row],[Et Kalınlığı 4]]&lt;75,Tablo244[[#This Row],[ÇAP mm]]*0.015/2,"Anlaşmaya bağlıdır.")</f>
        <v>4.5750000000000002</v>
      </c>
      <c r="AI40" s="8">
        <f>Tablo244[[#This Row],[ÇAP mm]]*0.02</f>
        <v>12.200000000000001</v>
      </c>
      <c r="AJ40" s="11">
        <f>IF(40*Tablo244[[#This Row],[Et Kalınlığı ]]&lt;485,Tablo244[[#This Row],[Et Kalınlığı ]]*40,485)</f>
        <v>284</v>
      </c>
      <c r="AK40" s="5">
        <f>1940*POWER(ROUND(AJ40,-1),0.2)/POWER(Tablo244[[#This Row],[Tensile Mpa]],0.9)</f>
        <v>20.975626073902749</v>
      </c>
      <c r="AL40" s="5">
        <f>IF(40*Tablo244[[#This Row],[Et Kalınlığı 2]]&lt;485,Tablo244[[#This Row],[Et Kalınlığı ]]*40,485)</f>
        <v>284</v>
      </c>
      <c r="AM40" s="5">
        <f>1940*POWER(ROUND(Tablo151[[#This Row],[Axc mm22]],-1),0.2)/POWER(Tablo244[[#This Row],[Tensile Mpa]],0.9)</f>
        <v>20.975626073902749</v>
      </c>
      <c r="AN40" s="5">
        <f>IF(40*Tablo244[[#This Row],[Et Kalınlığı 3]]&lt;485,Tablo244[[#This Row],[Et Kalınlığı ]]*40,485)</f>
        <v>284</v>
      </c>
      <c r="AO40" s="5">
        <f>1940*POWER(ROUND(Tablo151[[#This Row],[Axc mm23]],-1),0.2)/POWER(Tablo244[[#This Row],[Tensile Mpa]],0.9)</f>
        <v>20.975626073902749</v>
      </c>
      <c r="AP40" s="5">
        <f>IF(40*Tablo244[[#This Row],[Et Kalınlığı 4]]&lt;485,Tablo244[[#This Row],[Et Kalınlığı 4]]*40,485)</f>
        <v>476</v>
      </c>
      <c r="AQ40" s="12">
        <f>1940*POWER(ROUND(Tablo151[[#This Row],[Axc mm24]],-1),0.2)/POWER(Tablo244[[#This Row],[Tensile Mpa]],0.9)</f>
        <v>23.363159482445862</v>
      </c>
      <c r="AR40" s="5">
        <f>IF(40*Tablo244[[#This Row],[Et Kalınlığı 5]]&lt;485,Tablo244[[#This Row],[Et Kalınlığı 4]]*40,485)</f>
        <v>485</v>
      </c>
      <c r="AS40" s="64">
        <f>1940*POWER(ROUND(Tablo151[[#This Row],[Axc mm25]],-1),0.2)/POWER(Tablo244[[#This Row],[Tensile Mpa]],0.9)</f>
        <v>23.459704754158476</v>
      </c>
    </row>
    <row r="41" spans="2:45" x14ac:dyDescent="0.2">
      <c r="B41" s="43" t="s">
        <v>29</v>
      </c>
      <c r="C41" s="780">
        <v>762</v>
      </c>
      <c r="D41" s="780" t="s">
        <v>25</v>
      </c>
      <c r="E41" s="44">
        <v>65300</v>
      </c>
      <c r="F41" s="45">
        <v>535</v>
      </c>
      <c r="G41" s="49">
        <v>9.5</v>
      </c>
      <c r="H41" s="50">
        <f>2*Tablo244[[#This Row],[SMYS Psi]]*Tablo244[[#This Row],[Et Kalınlığı ]]/Tablo244[[#This Row],[ÇAP mm]]/14.50377</f>
        <v>112.26151704674804</v>
      </c>
      <c r="I41" s="514">
        <v>11.1</v>
      </c>
      <c r="J41" s="50">
        <f>2*Tablo244[[#This Row],[SMYS Psi]]*Tablo244[[#This Row],[Et Kalınlığı 2]]/Tablo244[[#This Row],[ÇAP mm]]/14.50377</f>
        <v>131.1687199177793</v>
      </c>
      <c r="K41" s="514">
        <v>12.7</v>
      </c>
      <c r="L41" s="50">
        <f>2*Tablo244[[#This Row],[SMYS Psi]]*Tablo244[[#This Row],[Et Kalınlığı 3]]/Tablo244[[#This Row],[ÇAP mm]]/14.50377</f>
        <v>150.07592278881054</v>
      </c>
      <c r="M41" s="514">
        <v>14.3</v>
      </c>
      <c r="N41" s="52">
        <f>2*Tablo244[[#This Row],[SMYS Psi]]*Tablo244[[#This Row],[Et Kalınlığı 4]]/Tablo244[[#This Row],[ÇAP mm]]/14.50377</f>
        <v>168.98312565984179</v>
      </c>
      <c r="O41" s="50">
        <v>15.9</v>
      </c>
      <c r="P41" s="50">
        <f>2*Tablo244[[#This Row],[SMYS Psi]]*Tablo244[[#This Row],[Et Kalınlığı 5]]/Tablo244[[#This Row],[ÇAP mm]]/14.50377</f>
        <v>187.89032853087306</v>
      </c>
      <c r="Q41" s="17">
        <f>Tablo244[[#This Row],[ÇAP mm]]+1.6</f>
        <v>763.6</v>
      </c>
      <c r="R41" s="3">
        <f>Tablo244[[#This Row],[ÇAP mm]]-1.6</f>
        <v>760.4</v>
      </c>
      <c r="S41" s="3">
        <f>IF(Tablo244[[#This Row],[ÇAP mm]]*0.005-4&lt;0,Tablo244[[#This Row],[ÇAP mm]]*1.005,Tablo244[[#This Row],[ÇAP mm]]+4)</f>
        <v>765.81</v>
      </c>
      <c r="T41" s="19">
        <f>IF(Tablo244[[#This Row],[ÇAP mm]]*0.005-4&lt;0,Tablo244[[#This Row],[ÇAP mm]]*0.995,Tablo244[[#This Row],[ÇAP mm]]+4)</f>
        <v>758.18999999999994</v>
      </c>
      <c r="U41" s="173">
        <f>Tablo244[[#This Row],[ÇAP mm]]/Tablo244[[#This Row],[Et Kalınlığı ]]</f>
        <v>80.21052631578948</v>
      </c>
      <c r="V41" s="60">
        <f>Tablo244[[#This Row],[ÇAP mm]]/Tablo244[[#This Row],[Et Kalınlığı 2]]</f>
        <v>68.648648648648646</v>
      </c>
      <c r="W41" s="60">
        <f>Tablo244[[#This Row],[ÇAP mm]]/Tablo244[[#This Row],[Et Kalınlığı 3]]</f>
        <v>60</v>
      </c>
      <c r="X41" s="61">
        <f>Tablo244[[#This Row],[ÇAP mm]]/Tablo244[[#This Row],[Et Kalınlığı 4]]</f>
        <v>53.286713286713287</v>
      </c>
      <c r="Y41" s="174">
        <f>Tablo244[[#This Row],[ÇAP mm]]/Tablo244[[#This Row],[Et Kalınlığı 5]]</f>
        <v>47.924528301886788</v>
      </c>
      <c r="Z41" s="7" t="str">
        <f>IF(Tablo244[[#This Row],[ÇAP mm]]/Tablo244[[#This Row],[Et Kalınlığı ]]&lt;75,Tablo244[[#This Row],[ÇAP mm]]*0.01/2,"Anlaşmaya bağlıdır.")</f>
        <v>Anlaşmaya bağlıdır.</v>
      </c>
      <c r="AA41" s="7" t="str">
        <f>IF(Tablo244[[#This Row],[ÇAP mm]]/Tablo244[[#This Row],[Et Kalınlığı ]]&lt;75,Tablo244[[#This Row],[ÇAP mm]]*0.015,"Anlaşmaya bağlıdır.")</f>
        <v>Anlaşmaya bağlıdır.</v>
      </c>
      <c r="AB41" s="8">
        <f>IF(Tablo244[[#This Row],[ÇAP mm]]/Tablo244[[#This Row],[Et Kalınlığı 2]]&lt;75,Tablo244[[#This Row],[ÇAP mm]]*0.01/2,"Anlaşmaya bağlıdır.")</f>
        <v>3.81</v>
      </c>
      <c r="AC41" s="8">
        <f>IF(Tablo244[[#This Row],[ÇAP mm]]/Tablo244[[#This Row],[Et Kalınlığı 2]]&lt;75,Tablo244[[#This Row],[ÇAP mm]]*0.015,"Anlaşmaya bağlıdır.")</f>
        <v>11.43</v>
      </c>
      <c r="AD41" s="8">
        <f>IF(Tablo244[[#This Row],[ÇAP mm]]/Tablo244[[#This Row],[Et Kalınlığı 3]]&lt;75,Tablo244[[#This Row],[ÇAP mm]]*0.01/2,"Anlaşmaya bağlıdır.")</f>
        <v>3.81</v>
      </c>
      <c r="AE41" s="8">
        <f>IF(Tablo244[[#This Row],[ÇAP mm]]/Tablo244[[#This Row],[Et Kalınlığı 3]]&lt;75,Tablo244[[#This Row],[ÇAP mm]]*0.015,"Anlaşmaya bağlıdır.")</f>
        <v>11.43</v>
      </c>
      <c r="AF41" s="8">
        <f>IF(Tablo244[[#This Row],[ÇAP mm]]/Tablo244[[#This Row],[Et Kalınlığı 4]]&lt;75,Tablo244[[#This Row],[ÇAP mm]]*0.015/2,"Anlaşmaya bağlıdır.")</f>
        <v>5.7149999999999999</v>
      </c>
      <c r="AG41" s="64">
        <f>IF(Tablo244[[#This Row],[ÇAP mm]]/Tablo244[[#This Row],[Et Kalınlığı 4]]&lt;75,Tablo244[[#This Row],[ÇAP mm]]*0.015,"Anlaşmaya bağlıdır.")</f>
        <v>11.43</v>
      </c>
      <c r="AH41" s="8">
        <f>IF(Tablo244[[#This Row],[ÇAP mm]]/Tablo244[[#This Row],[Et Kalınlığı 4]]&lt;75,Tablo244[[#This Row],[ÇAP mm]]*0.015/2,"Anlaşmaya bağlıdır.")</f>
        <v>5.7149999999999999</v>
      </c>
      <c r="AI41" s="8">
        <f>IF(Tablo244[[#This Row],[ÇAP mm]]/Tablo244[[#This Row],[Et Kalınlığı 5]]&lt;75,Tablo244[[#This Row],[ÇAP mm]]*0.015,"Anlaşmaya bağlıdır.")</f>
        <v>11.43</v>
      </c>
      <c r="AJ41" s="11">
        <f>IF(40*Tablo244[[#This Row],[Et Kalınlığı ]]&lt;485,Tablo244[[#This Row],[Et Kalınlığı ]]*40,485)</f>
        <v>380</v>
      </c>
      <c r="AK41" s="5">
        <f>1940*POWER(ROUND(AJ41,-1),0.2)/POWER(Tablo244[[#This Row],[Tensile Mpa]],0.9)</f>
        <v>22.296672016370039</v>
      </c>
      <c r="AL41" s="5">
        <f>IF(40*Tablo244[[#This Row],[Et Kalınlığı 2]]&lt;485,Tablo244[[#This Row],[Et Kalınlığı ]]*40,485)</f>
        <v>380</v>
      </c>
      <c r="AM41" s="5">
        <f>1940*POWER(ROUND(Tablo151[[#This Row],[Axc mm22]],-1),0.2)/POWER(Tablo244[[#This Row],[Tensile Mpa]],0.9)</f>
        <v>22.296672016370039</v>
      </c>
      <c r="AN41" s="5">
        <f>IF(40*Tablo244[[#This Row],[Et Kalınlığı 3]]&lt;485,Tablo244[[#This Row],[Et Kalınlığı ]]*40,485)</f>
        <v>485</v>
      </c>
      <c r="AO41" s="5">
        <f>1940*POWER(ROUND(Tablo151[[#This Row],[Axc mm23]],-1),0.2)/POWER(Tablo244[[#This Row],[Tensile Mpa]],0.9)</f>
        <v>23.459704754158476</v>
      </c>
      <c r="AP41" s="5">
        <f>IF(40*Tablo244[[#This Row],[Et Kalınlığı 4]]&lt;485,Tablo244[[#This Row],[Et Kalınlığı 4]]*40,485)</f>
        <v>485</v>
      </c>
      <c r="AQ41" s="12">
        <f>1940*POWER(ROUND(Tablo151[[#This Row],[Axc mm24]],-1),0.2)/POWER(Tablo244[[#This Row],[Tensile Mpa]],0.9)</f>
        <v>23.459704754158476</v>
      </c>
      <c r="AR41" s="5">
        <f>IF(40*Tablo244[[#This Row],[Et Kalınlığı 5]]&lt;485,Tablo244[[#This Row],[Et Kalınlığı 4]]*40,485)</f>
        <v>485</v>
      </c>
      <c r="AS41" s="64">
        <f>1940*POWER(ROUND(Tablo151[[#This Row],[Axc mm25]],-1),0.2)/POWER(Tablo244[[#This Row],[Tensile Mpa]],0.9)</f>
        <v>23.459704754158476</v>
      </c>
    </row>
    <row r="42" spans="2:45" x14ac:dyDescent="0.2">
      <c r="B42" s="43" t="s">
        <v>30</v>
      </c>
      <c r="C42" s="780">
        <v>813</v>
      </c>
      <c r="D42" s="780" t="s">
        <v>25</v>
      </c>
      <c r="E42" s="44">
        <v>65300</v>
      </c>
      <c r="F42" s="45">
        <v>535</v>
      </c>
      <c r="G42" s="49">
        <v>9.5</v>
      </c>
      <c r="H42" s="50">
        <f>2*Tablo244[[#This Row],[SMYS Psi]]*Tablo244[[#This Row],[Et Kalınlığı ]]/Tablo244[[#This Row],[ÇAP mm]]/14.50377</f>
        <v>105.21928166005168</v>
      </c>
      <c r="I42" s="514">
        <v>11.9</v>
      </c>
      <c r="J42" s="50">
        <f>2*Tablo244[[#This Row],[SMYS Psi]]*Tablo244[[#This Row],[Et Kalınlığı 2]]/Tablo244[[#This Row],[ÇAP mm]]/14.50377</f>
        <v>131.8009949215384</v>
      </c>
      <c r="K42" s="514">
        <v>14.3</v>
      </c>
      <c r="L42" s="50">
        <f>2*Tablo244[[#This Row],[SMYS Psi]]*Tablo244[[#This Row],[Et Kalınlığı 3]]/Tablo244[[#This Row],[ÇAP mm]]/14.50377</f>
        <v>158.38270818302516</v>
      </c>
      <c r="M42" s="514">
        <v>15.9</v>
      </c>
      <c r="N42" s="52">
        <f>2*Tablo244[[#This Row],[SMYS Psi]]*Tablo244[[#This Row],[Et Kalınlığı 4]]/Tablo244[[#This Row],[ÇAP mm]]/14.50377</f>
        <v>176.10385035734964</v>
      </c>
      <c r="O42" s="50">
        <v>17.5</v>
      </c>
      <c r="P42" s="50">
        <f>2*Tablo244[[#This Row],[SMYS Psi]]*Tablo244[[#This Row],[Et Kalınlığı 5]]/Tablo244[[#This Row],[ÇAP mm]]/14.50377</f>
        <v>193.82499253167416</v>
      </c>
      <c r="Q42" s="17">
        <f>Tablo244[[#This Row],[ÇAP mm]]+1.6</f>
        <v>814.6</v>
      </c>
      <c r="R42" s="3">
        <f>Tablo244[[#This Row],[ÇAP mm]]-1.6</f>
        <v>811.4</v>
      </c>
      <c r="S42" s="780">
        <f>IF(Tablo244[[#This Row],[ÇAP mm]]*0.005-4&lt;0,Tablo244[[#This Row],[ÇAP mm]]*1.005,Tablo244[[#This Row],[ÇAP mm]]+4)</f>
        <v>817</v>
      </c>
      <c r="T42" s="18">
        <f>IF(Tablo244[[#This Row],[ÇAP mm]]*0.005-4&lt;0,Tablo244[[#This Row],[ÇAP mm]]*0.995,Tablo244[[#This Row],[ÇAP mm]]-4)</f>
        <v>809</v>
      </c>
      <c r="U42" s="173">
        <f>Tablo244[[#This Row],[ÇAP mm]]/Tablo244[[#This Row],[Et Kalınlığı ]]</f>
        <v>85.578947368421055</v>
      </c>
      <c r="V42" s="60">
        <f>Tablo244[[#This Row],[ÇAP mm]]/Tablo244[[#This Row],[Et Kalınlığı 2]]</f>
        <v>68.319327731092429</v>
      </c>
      <c r="W42" s="60">
        <f>Tablo244[[#This Row],[ÇAP mm]]/Tablo244[[#This Row],[Et Kalınlığı 3]]</f>
        <v>56.853146853146853</v>
      </c>
      <c r="X42" s="61">
        <f>Tablo244[[#This Row],[ÇAP mm]]/Tablo244[[#This Row],[Et Kalınlığı 4]]</f>
        <v>51.132075471698109</v>
      </c>
      <c r="Y42" s="174">
        <f>Tablo244[[#This Row],[ÇAP mm]]/Tablo244[[#This Row],[Et Kalınlığı 5]]</f>
        <v>46.457142857142856</v>
      </c>
      <c r="Z42" s="7" t="str">
        <f>IF(Tablo244[[#This Row],[ÇAP mm]]/Tablo244[[#This Row],[Et Kalınlığı ]]&lt;75,Tablo244[[#This Row],[ÇAP mm]]*0.01/2,"Anlaşmaya bağlıdır.")</f>
        <v>Anlaşmaya bağlıdır.</v>
      </c>
      <c r="AA42" s="7" t="str">
        <f>IF(Tablo244[[#This Row],[ÇAP mm]]/Tablo244[[#This Row],[Et Kalınlığı ]]&lt;75,Tablo244[[#This Row],[ÇAP mm]]*0.015/2,"Anlaşmaya bağlıdır.")</f>
        <v>Anlaşmaya bağlıdır.</v>
      </c>
      <c r="AB42" s="8">
        <f>IF(Tablo244[[#This Row],[ÇAP mm]]/Tablo244[[#This Row],[Et Kalınlığı 2]]&lt;75,Tablo244[[#This Row],[ÇAP mm]]*0.01/2,"Anlaşmaya bağlıdır.")</f>
        <v>4.0650000000000004</v>
      </c>
      <c r="AC42" s="8">
        <f>IF(Tablo244[[#This Row],[ÇAP mm]]/Tablo244[[#This Row],[Et Kalınlığı 2]]&lt;75,Tablo244[[#This Row],[ÇAP mm]]*0.015,"Anlaşmaya bağlıdır.")</f>
        <v>12.195</v>
      </c>
      <c r="AD42" s="8">
        <f>IF(Tablo244[[#This Row],[ÇAP mm]]/Tablo244[[#This Row],[Et Kalınlığı 3]]&lt;75,Tablo244[[#This Row],[ÇAP mm]]*0.01/2,"Anlaşmaya bağlıdır.")</f>
        <v>4.0650000000000004</v>
      </c>
      <c r="AE42" s="8">
        <f>IF(Tablo244[[#This Row],[ÇAP mm]]/Tablo244[[#This Row],[Et Kalınlığı 3]]&lt;75,Tablo244[[#This Row],[ÇAP mm]]*0.015,"Anlaşmaya bağlıdır.")</f>
        <v>12.195</v>
      </c>
      <c r="AF42" s="8">
        <f>IF(Tablo244[[#This Row],[ÇAP mm]]/Tablo244[[#This Row],[Et Kalınlığı 4]]&lt;75,Tablo244[[#This Row],[ÇAP mm]]*0.015/2,"Anlaşmaya bağlıdır.")</f>
        <v>6.0975000000000001</v>
      </c>
      <c r="AG42" s="64">
        <f>IF(Tablo244[[#This Row],[ÇAP mm]]/Tablo244[[#This Row],[Et Kalınlığı 4]]&lt;75,Tablo244[[#This Row],[ÇAP mm]]*0.015,"Anlaşmaya bağlıdır.")</f>
        <v>12.195</v>
      </c>
      <c r="AH42" s="8">
        <f>IF(Tablo244[[#This Row],[ÇAP mm]]/Tablo244[[#This Row],[Et Kalınlığı 4]]&lt;75,Tablo244[[#This Row],[ÇAP mm]]*0.015/2,"Anlaşmaya bağlıdır.")</f>
        <v>6.0975000000000001</v>
      </c>
      <c r="AI42" s="8">
        <f>IF(Tablo244[[#This Row],[ÇAP mm]]/Tablo244[[#This Row],[Et Kalınlığı 5]]&lt;75,Tablo244[[#This Row],[ÇAP mm]]*0.015,"Anlaşmaya bağlıdır.")</f>
        <v>12.195</v>
      </c>
      <c r="AJ42" s="11">
        <f>IF(40*Tablo244[[#This Row],[Et Kalınlığı ]]&lt;485,Tablo244[[#This Row],[Et Kalınlığı ]]*40,485)</f>
        <v>380</v>
      </c>
      <c r="AK42" s="5">
        <f>1940*POWER(ROUND(AJ42,-1),0.2)/POWER(Tablo244[[#This Row],[Tensile Mpa]],0.9)</f>
        <v>22.296672016370039</v>
      </c>
      <c r="AL42" s="5">
        <f>IF(40*Tablo244[[#This Row],[Et Kalınlığı 2]]&lt;485,Tablo244[[#This Row],[Et Kalınlığı ]]*40,485)</f>
        <v>380</v>
      </c>
      <c r="AM42" s="5">
        <f>1940*POWER(ROUND(Tablo151[[#This Row],[Axc mm22]],-1),0.2)/POWER(Tablo244[[#This Row],[Tensile Mpa]],0.9)</f>
        <v>22.296672016370039</v>
      </c>
      <c r="AN42" s="5">
        <f>IF(40*Tablo244[[#This Row],[Et Kalınlığı 3]]&lt;485,Tablo244[[#This Row],[Et Kalınlığı ]]*40,485)</f>
        <v>485</v>
      </c>
      <c r="AO42" s="5">
        <f>1940*POWER(ROUND(Tablo151[[#This Row],[Axc mm23]],-1),0.2)/POWER(Tablo244[[#This Row],[Tensile Mpa]],0.9)</f>
        <v>23.459704754158476</v>
      </c>
      <c r="AP42" s="5">
        <f>IF(40*Tablo244[[#This Row],[Et Kalınlığı 4]]&lt;485,Tablo244[[#This Row],[Et Kalınlığı 4]]*40,485)</f>
        <v>485</v>
      </c>
      <c r="AQ42" s="12">
        <f>1940*POWER(ROUND(Tablo151[[#This Row],[Axc mm24]],-1),0.2)/POWER(Tablo244[[#This Row],[Tensile Mpa]],0.9)</f>
        <v>23.459704754158476</v>
      </c>
      <c r="AR42" s="5">
        <f>IF(40*Tablo244[[#This Row],[Et Kalınlığı 5]]&lt;485,Tablo244[[#This Row],[Et Kalınlığı 4]]*40,485)</f>
        <v>485</v>
      </c>
      <c r="AS42" s="64">
        <f>1940*POWER(ROUND(Tablo151[[#This Row],[Axc mm25]],-1),0.2)/POWER(Tablo244[[#This Row],[Tensile Mpa]],0.9)</f>
        <v>23.459704754158476</v>
      </c>
    </row>
    <row r="43" spans="2:45" x14ac:dyDescent="0.2">
      <c r="B43" s="43" t="s">
        <v>31</v>
      </c>
      <c r="C43" s="780">
        <v>864</v>
      </c>
      <c r="D43" s="780" t="s">
        <v>25</v>
      </c>
      <c r="E43" s="44">
        <v>65300</v>
      </c>
      <c r="F43" s="45">
        <v>535</v>
      </c>
      <c r="G43" s="49">
        <v>10.3</v>
      </c>
      <c r="H43" s="50">
        <f>2*Tablo244[[#This Row],[SMYS Psi]]*Tablo244[[#This Row],[Et Kalınlığı ]]/Tablo244[[#This Row],[ÇAP mm]]/14.50377</f>
        <v>107.34597255032976</v>
      </c>
      <c r="I43" s="514">
        <v>12.7</v>
      </c>
      <c r="J43" s="50">
        <f>2*Tablo244[[#This Row],[SMYS Psi]]*Tablo244[[#This Row],[Et Kalınlığı 2]]/Tablo244[[#This Row],[ÇAP mm]]/14.50377</f>
        <v>132.35862634846487</v>
      </c>
      <c r="K43" s="514">
        <v>15.9</v>
      </c>
      <c r="L43" s="50">
        <f>2*Tablo244[[#This Row],[SMYS Psi]]*Tablo244[[#This Row],[Et Kalınlığı 3]]/Tablo244[[#This Row],[ÇAP mm]]/14.50377</f>
        <v>165.708831412645</v>
      </c>
      <c r="M43" s="514">
        <v>15.9</v>
      </c>
      <c r="N43" s="52">
        <f>2*Tablo244[[#This Row],[SMYS Psi]]*Tablo244[[#This Row],[Et Kalınlığı 4]]/Tablo244[[#This Row],[ÇAP mm]]/14.50377</f>
        <v>165.708831412645</v>
      </c>
      <c r="O43" s="50">
        <v>17.5</v>
      </c>
      <c r="P43" s="50">
        <f>2*Tablo244[[#This Row],[SMYS Psi]]*Tablo244[[#This Row],[Et Kalınlığı 5]]/Tablo244[[#This Row],[ÇAP mm]]/14.50377</f>
        <v>182.38393394473505</v>
      </c>
      <c r="Q43" s="17">
        <f>Tablo244[[#This Row],[ÇAP mm]]+1.6</f>
        <v>865.6</v>
      </c>
      <c r="R43" s="3">
        <f>Tablo244[[#This Row],[ÇAP mm]]-1.6</f>
        <v>862.4</v>
      </c>
      <c r="S43" s="780">
        <f>IF(Tablo244[[#This Row],[ÇAP mm]]*0.005-4&lt;0,Tablo244[[#This Row],[ÇAP mm]]*1.005,Tablo244[[#This Row],[ÇAP mm]]+4)</f>
        <v>868</v>
      </c>
      <c r="T43" s="18">
        <f>IF(Tablo244[[#This Row],[ÇAP mm]]*0.005-4&lt;0,Tablo244[[#This Row],[ÇAP mm]]*0.995,Tablo244[[#This Row],[ÇAP mm]]-4)</f>
        <v>860</v>
      </c>
      <c r="U43" s="173">
        <f>Tablo244[[#This Row],[ÇAP mm]]/Tablo244[[#This Row],[Et Kalınlığı ]]</f>
        <v>83.883495145631059</v>
      </c>
      <c r="V43" s="60">
        <f>Tablo244[[#This Row],[ÇAP mm]]/Tablo244[[#This Row],[Et Kalınlığı 2]]</f>
        <v>68.031496062992133</v>
      </c>
      <c r="W43" s="60">
        <f>Tablo244[[#This Row],[ÇAP mm]]/Tablo244[[#This Row],[Et Kalınlığı 3]]</f>
        <v>54.339622641509436</v>
      </c>
      <c r="X43" s="61">
        <f>Tablo244[[#This Row],[ÇAP mm]]/Tablo244[[#This Row],[Et Kalınlığı 4]]</f>
        <v>54.339622641509436</v>
      </c>
      <c r="Y43" s="174">
        <f>Tablo244[[#This Row],[ÇAP mm]]/Tablo244[[#This Row],[Et Kalınlığı 5]]</f>
        <v>49.371428571428574</v>
      </c>
      <c r="Z43" s="7" t="str">
        <f>IF(Tablo244[[#This Row],[ÇAP mm]]/Tablo244[[#This Row],[Et Kalınlığı ]]&lt;75,Tablo244[[#This Row],[ÇAP mm]]*0.01/2,"Anlaşmaya bağlıdır.")</f>
        <v>Anlaşmaya bağlıdır.</v>
      </c>
      <c r="AA43" s="7" t="str">
        <f>IF(Tablo244[[#This Row],[ÇAP mm]]/Tablo244[[#This Row],[Et Kalınlığı ]]&lt;75,Tablo244[[#This Row],[ÇAP mm]]*0.015/2,"Anlaşmaya bağlıdır.")</f>
        <v>Anlaşmaya bağlıdır.</v>
      </c>
      <c r="AB43" s="8">
        <f>IF(Tablo244[[#This Row],[ÇAP mm]]/Tablo244[[#This Row],[Et Kalınlığı 2]]&lt;75,Tablo244[[#This Row],[ÇAP mm]]*0.01/2,"Anlaşmaya bağlıdır.")</f>
        <v>4.32</v>
      </c>
      <c r="AC43" s="8">
        <f>IF(Tablo244[[#This Row],[ÇAP mm]]/Tablo244[[#This Row],[Et Kalınlığı 2]]&lt;75,Tablo244[[#This Row],[ÇAP mm]]*0.015,"Anlaşmaya bağlıdır.")</f>
        <v>12.959999999999999</v>
      </c>
      <c r="AD43" s="8">
        <f>IF(Tablo244[[#This Row],[ÇAP mm]]/Tablo244[[#This Row],[Et Kalınlığı 3]]&lt;75,Tablo244[[#This Row],[ÇAP mm]]*0.01/2,"Anlaşmaya bağlıdır.")</f>
        <v>4.32</v>
      </c>
      <c r="AE43" s="8">
        <f>IF(Tablo244[[#This Row],[ÇAP mm]]/Tablo244[[#This Row],[Et Kalınlığı 3]]&lt;75,Tablo244[[#This Row],[ÇAP mm]]*0.015,"Anlaşmaya bağlıdır.")</f>
        <v>12.959999999999999</v>
      </c>
      <c r="AF43" s="8">
        <f>IF(Tablo244[[#This Row],[ÇAP mm]]/Tablo244[[#This Row],[Et Kalınlığı 4]]&lt;75,Tablo244[[#This Row],[ÇAP mm]]*0.015/2,"Anlaşmaya bağlıdır.")</f>
        <v>6.4799999999999995</v>
      </c>
      <c r="AG43" s="64">
        <f>IF(Tablo244[[#This Row],[ÇAP mm]]/Tablo244[[#This Row],[Et Kalınlığı 4]]&lt;75,Tablo244[[#This Row],[ÇAP mm]]*0.015,"Anlaşmaya bağlıdır.")</f>
        <v>12.959999999999999</v>
      </c>
      <c r="AH43" s="8">
        <f>IF(Tablo244[[#This Row],[ÇAP mm]]/Tablo244[[#This Row],[Et Kalınlığı 4]]&lt;75,Tablo244[[#This Row],[ÇAP mm]]*0.015/2,"Anlaşmaya bağlıdır.")</f>
        <v>6.4799999999999995</v>
      </c>
      <c r="AI43" s="8">
        <f>IF(Tablo244[[#This Row],[ÇAP mm]]/Tablo244[[#This Row],[Et Kalınlığı 5]]&lt;75,Tablo244[[#This Row],[ÇAP mm]]*0.015,"Anlaşmaya bağlıdır.")</f>
        <v>12.959999999999999</v>
      </c>
      <c r="AJ43" s="11">
        <f>IF(40*Tablo244[[#This Row],[Et Kalınlığı ]]&lt;485,Tablo244[[#This Row],[Et Kalınlığı ]]*40,485)</f>
        <v>412</v>
      </c>
      <c r="AK43" s="5">
        <f>1940*POWER(ROUND(AJ43,-1),0.2)/POWER(Tablo244[[#This Row],[Tensile Mpa]],0.9)</f>
        <v>22.638106434627545</v>
      </c>
      <c r="AL43" s="5">
        <f>IF(40*Tablo244[[#This Row],[Et Kalınlığı 2]]&lt;485,Tablo244[[#This Row],[Et Kalınlığı ]]*40,485)</f>
        <v>485</v>
      </c>
      <c r="AM43" s="5">
        <f>1940*POWER(ROUND(Tablo151[[#This Row],[Axc mm22]],-1),0.2)/POWER(Tablo244[[#This Row],[Tensile Mpa]],0.9)</f>
        <v>23.459704754158476</v>
      </c>
      <c r="AN43" s="5">
        <f>IF(40*Tablo244[[#This Row],[Et Kalınlığı 3]]&lt;485,Tablo244[[#This Row],[Et Kalınlığı ]]*40,485)</f>
        <v>485</v>
      </c>
      <c r="AO43" s="5">
        <f>1940*POWER(ROUND(Tablo151[[#This Row],[Axc mm23]],-1),0.2)/POWER(Tablo244[[#This Row],[Tensile Mpa]],0.9)</f>
        <v>23.459704754158476</v>
      </c>
      <c r="AP43" s="5">
        <f>IF(40*Tablo244[[#This Row],[Et Kalınlığı 4]]&lt;485,Tablo244[[#This Row],[Et Kalınlığı 4]]*40,485)</f>
        <v>485</v>
      </c>
      <c r="AQ43" s="12">
        <f>1940*POWER(ROUND(Tablo151[[#This Row],[Axc mm24]],-1),0.2)/POWER(Tablo244[[#This Row],[Tensile Mpa]],0.9)</f>
        <v>23.459704754158476</v>
      </c>
      <c r="AR43" s="5">
        <f>IF(40*Tablo244[[#This Row],[Et Kalınlığı 5]]&lt;485,Tablo244[[#This Row],[Et Kalınlığı 4]]*40,485)</f>
        <v>485</v>
      </c>
      <c r="AS43" s="64">
        <f>1940*POWER(ROUND(Tablo151[[#This Row],[Axc mm25]],-1),0.2)/POWER(Tablo244[[#This Row],[Tensile Mpa]],0.9)</f>
        <v>23.459704754158476</v>
      </c>
    </row>
    <row r="44" spans="2:45" x14ac:dyDescent="0.2">
      <c r="B44" s="43" t="s">
        <v>32</v>
      </c>
      <c r="C44" s="780">
        <v>914</v>
      </c>
      <c r="D44" s="780" t="s">
        <v>25</v>
      </c>
      <c r="E44" s="44">
        <v>65300</v>
      </c>
      <c r="F44" s="45">
        <v>535</v>
      </c>
      <c r="G44" s="49">
        <v>11.1</v>
      </c>
      <c r="H44" s="50">
        <f>2*Tablo244[[#This Row],[SMYS Psi]]*Tablo244[[#This Row],[Et Kalınlığı ]]/Tablo244[[#This Row],[ÇAP mm]]/14.50377</f>
        <v>109.35510347631053</v>
      </c>
      <c r="I44" s="514">
        <v>12.7</v>
      </c>
      <c r="J44" s="50">
        <f>2*Tablo244[[#This Row],[SMYS Psi]]*Tablo244[[#This Row],[Et Kalınlığı 2]]/Tablo244[[#This Row],[ÇAP mm]]/14.50377</f>
        <v>125.11800127469763</v>
      </c>
      <c r="K44" s="514">
        <v>15.9</v>
      </c>
      <c r="L44" s="50">
        <f>2*Tablo244[[#This Row],[SMYS Psi]]*Tablo244[[#This Row],[Et Kalınlığı 3]]/Tablo244[[#This Row],[ÇAP mm]]/14.50377</f>
        <v>156.64379687147186</v>
      </c>
      <c r="M44" s="514">
        <v>17.5</v>
      </c>
      <c r="N44" s="52">
        <f>2*Tablo244[[#This Row],[SMYS Psi]]*Tablo244[[#This Row],[Et Kalınlığı 4]]/Tablo244[[#This Row],[ÇAP mm]]/14.50377</f>
        <v>172.40669466985895</v>
      </c>
      <c r="O44" s="50">
        <v>19.100000000000001</v>
      </c>
      <c r="P44" s="50">
        <f>2*Tablo244[[#This Row],[SMYS Psi]]*Tablo244[[#This Row],[Et Kalınlığı 5]]/Tablo244[[#This Row],[ÇAP mm]]/14.50377</f>
        <v>188.16959246824607</v>
      </c>
      <c r="Q44" s="17">
        <f>Tablo244[[#This Row],[ÇAP mm]]+1.6</f>
        <v>915.6</v>
      </c>
      <c r="R44" s="3">
        <f>Tablo244[[#This Row],[ÇAP mm]]-1.6</f>
        <v>912.4</v>
      </c>
      <c r="S44" s="780">
        <f>IF(Tablo244[[#This Row],[ÇAP mm]]*0.005-4&lt;0,Tablo244[[#This Row],[ÇAP mm]]*1.005,Tablo244[[#This Row],[ÇAP mm]]+4)</f>
        <v>918</v>
      </c>
      <c r="T44" s="18">
        <f>IF(Tablo244[[#This Row],[ÇAP mm]]*0.005-4&lt;0,Tablo244[[#This Row],[ÇAP mm]]*0.995,Tablo244[[#This Row],[ÇAP mm]]-4)</f>
        <v>910</v>
      </c>
      <c r="U44" s="173">
        <f>Tablo244[[#This Row],[ÇAP mm]]/Tablo244[[#This Row],[Et Kalınlığı ]]</f>
        <v>82.342342342342349</v>
      </c>
      <c r="V44" s="60">
        <f>Tablo244[[#This Row],[ÇAP mm]]/Tablo244[[#This Row],[Et Kalınlığı 2]]</f>
        <v>71.968503937007881</v>
      </c>
      <c r="W44" s="60">
        <f>Tablo244[[#This Row],[ÇAP mm]]/Tablo244[[#This Row],[Et Kalınlığı 3]]</f>
        <v>57.484276729559745</v>
      </c>
      <c r="X44" s="61">
        <f>Tablo244[[#This Row],[ÇAP mm]]/Tablo244[[#This Row],[Et Kalınlığı 4]]</f>
        <v>52.228571428571428</v>
      </c>
      <c r="Y44" s="174">
        <f>Tablo244[[#This Row],[ÇAP mm]]/Tablo244[[#This Row],[Et Kalınlığı 5]]</f>
        <v>47.853403141361255</v>
      </c>
      <c r="Z44" s="7" t="str">
        <f>IF(Tablo244[[#This Row],[ÇAP mm]]/Tablo244[[#This Row],[Et Kalınlığı ]]&lt;75,Tablo244[[#This Row],[ÇAP mm]]*0.01/2,"Anlaşmaya bağlıdır.")</f>
        <v>Anlaşmaya bağlıdır.</v>
      </c>
      <c r="AA44" s="7" t="str">
        <f>IF(Tablo244[[#This Row],[ÇAP mm]]/Tablo244[[#This Row],[Et Kalınlığı ]]&lt;75,Tablo244[[#This Row],[ÇAP mm]]*0.015/2,"Anlaşmaya bağlıdır.")</f>
        <v>Anlaşmaya bağlıdır.</v>
      </c>
      <c r="AB44" s="8">
        <f>IF(Tablo244[[#This Row],[ÇAP mm]]/Tablo244[[#This Row],[Et Kalınlığı 2]]&lt;75,Tablo244[[#This Row],[ÇAP mm]]*0.01/2,"Anlaşmaya bağlıdır.")</f>
        <v>4.57</v>
      </c>
      <c r="AC44" s="8">
        <f>IF(Tablo244[[#This Row],[ÇAP mm]]/Tablo244[[#This Row],[Et Kalınlığı 2]]&lt;75,Tablo244[[#This Row],[ÇAP mm]]*0.015,"Anlaşmaya bağlıdır.")</f>
        <v>13.709999999999999</v>
      </c>
      <c r="AD44" s="8">
        <f>IF(Tablo244[[#This Row],[ÇAP mm]]/Tablo244[[#This Row],[Et Kalınlığı 3]]&lt;75,Tablo244[[#This Row],[ÇAP mm]]*0.01/2,"Anlaşmaya bağlıdır.")</f>
        <v>4.57</v>
      </c>
      <c r="AE44" s="8">
        <f>IF(Tablo244[[#This Row],[ÇAP mm]]/Tablo244[[#This Row],[Et Kalınlığı 3]]&lt;75,Tablo244[[#This Row],[ÇAP mm]]*0.015,"Anlaşmaya bağlıdır.")</f>
        <v>13.709999999999999</v>
      </c>
      <c r="AF44" s="8">
        <f>IF(Tablo244[[#This Row],[ÇAP mm]]/Tablo244[[#This Row],[Et Kalınlığı 4]]&lt;75,Tablo244[[#This Row],[ÇAP mm]]*0.015/2,"Anlaşmaya bağlıdır.")</f>
        <v>6.8549999999999995</v>
      </c>
      <c r="AG44" s="64">
        <f>IF(Tablo244[[#This Row],[ÇAP mm]]/Tablo244[[#This Row],[Et Kalınlığı 4]]&lt;75,Tablo244[[#This Row],[ÇAP mm]]*0.015,"Anlaşmaya bağlıdır.")</f>
        <v>13.709999999999999</v>
      </c>
      <c r="AH44" s="8">
        <f>IF(Tablo244[[#This Row],[ÇAP mm]]/Tablo244[[#This Row],[Et Kalınlığı 4]]&lt;75,Tablo244[[#This Row],[ÇAP mm]]*0.015/2,"Anlaşmaya bağlıdır.")</f>
        <v>6.8549999999999995</v>
      </c>
      <c r="AI44" s="8">
        <f>IF(Tablo244[[#This Row],[ÇAP mm]]/Tablo244[[#This Row],[Et Kalınlığı 5]]&lt;75,Tablo244[[#This Row],[ÇAP mm]]*0.015,"Anlaşmaya bağlıdır.")</f>
        <v>13.709999999999999</v>
      </c>
      <c r="AJ44" s="11">
        <f>IF(40*Tablo244[[#This Row],[Et Kalınlığı ]]&lt;485,Tablo244[[#This Row],[Et Kalınlığı ]]*40,485)</f>
        <v>444</v>
      </c>
      <c r="AK44" s="5">
        <f>1940*POWER(ROUND(AJ44,-1),0.2)/POWER(Tablo244[[#This Row],[Tensile Mpa]],0.9)</f>
        <v>22.960104555074253</v>
      </c>
      <c r="AL44" s="5">
        <f>IF(40*Tablo244[[#This Row],[Et Kalınlığı 2]]&lt;485,Tablo244[[#This Row],[Et Kalınlığı ]]*40,485)</f>
        <v>485</v>
      </c>
      <c r="AM44" s="5">
        <f>1940*POWER(ROUND(Tablo151[[#This Row],[Axc mm22]],-1),0.2)/POWER(Tablo244[[#This Row],[Tensile Mpa]],0.9)</f>
        <v>23.459704754158476</v>
      </c>
      <c r="AN44" s="5">
        <f>IF(40*Tablo244[[#This Row],[Et Kalınlığı 3]]&lt;485,Tablo244[[#This Row],[Et Kalınlığı ]]*40,485)</f>
        <v>485</v>
      </c>
      <c r="AO44" s="5">
        <f>1940*POWER(ROUND(Tablo151[[#This Row],[Axc mm23]],-1),0.2)/POWER(Tablo244[[#This Row],[Tensile Mpa]],0.9)</f>
        <v>23.459704754158476</v>
      </c>
      <c r="AP44" s="5">
        <f>IF(40*Tablo244[[#This Row],[Et Kalınlığı 4]]&lt;485,Tablo244[[#This Row],[Et Kalınlığı 4]]*40,485)</f>
        <v>485</v>
      </c>
      <c r="AQ44" s="12">
        <f>1940*POWER(ROUND(Tablo151[[#This Row],[Axc mm24]],-1),0.2)/POWER(Tablo244[[#This Row],[Tensile Mpa]],0.9)</f>
        <v>23.459704754158476</v>
      </c>
      <c r="AR44" s="5">
        <f>IF(40*Tablo244[[#This Row],[Et Kalınlığı 5]]&lt;485,Tablo244[[#This Row],[Et Kalınlığı 4]]*40,485)</f>
        <v>485</v>
      </c>
      <c r="AS44" s="64">
        <f>1940*POWER(ROUND(Tablo151[[#This Row],[Axc mm25]],-1),0.2)/POWER(Tablo244[[#This Row],[Tensile Mpa]],0.9)</f>
        <v>23.459704754158476</v>
      </c>
    </row>
    <row r="45" spans="2:45" x14ac:dyDescent="0.2">
      <c r="B45" s="43" t="s">
        <v>33</v>
      </c>
      <c r="C45" s="780">
        <v>965</v>
      </c>
      <c r="D45" s="780" t="s">
        <v>25</v>
      </c>
      <c r="E45" s="44">
        <v>65300</v>
      </c>
      <c r="F45" s="45">
        <v>535</v>
      </c>
      <c r="G45" s="49">
        <v>11.9</v>
      </c>
      <c r="H45" s="50">
        <f>2*Tablo244[[#This Row],[SMYS Psi]]*Tablo244[[#This Row],[Et Kalınlığı ]]/Tablo244[[#This Row],[ÇAP mm]]/14.50377</f>
        <v>111.04063095462253</v>
      </c>
      <c r="I45" s="514">
        <v>14.3</v>
      </c>
      <c r="J45" s="50">
        <f>2*Tablo244[[#This Row],[SMYS Psi]]*Tablo244[[#This Row],[Et Kalınlığı 2]]/Tablo244[[#This Row],[ÇAP mm]]/14.50377</f>
        <v>133.43538005471444</v>
      </c>
      <c r="K45" s="514">
        <v>17.5</v>
      </c>
      <c r="L45" s="50">
        <f>2*Tablo244[[#This Row],[SMYS Psi]]*Tablo244[[#This Row],[Et Kalınlığı 3]]/Tablo244[[#This Row],[ÇAP mm]]/14.50377</f>
        <v>163.29504552150371</v>
      </c>
      <c r="M45" s="514">
        <v>19.100000000000001</v>
      </c>
      <c r="N45" s="52">
        <f>2*Tablo244[[#This Row],[SMYS Psi]]*Tablo244[[#This Row],[Et Kalınlığı 4]]/Tablo244[[#This Row],[ÇAP mm]]/14.50377</f>
        <v>178.22487825489833</v>
      </c>
      <c r="O45" s="50">
        <v>20.6</v>
      </c>
      <c r="P45" s="50">
        <f>2*Tablo244[[#This Row],[SMYS Psi]]*Tablo244[[#This Row],[Et Kalınlığı 5]]/Tablo244[[#This Row],[ÇAP mm]]/14.50377</f>
        <v>192.22159644245579</v>
      </c>
      <c r="Q45" s="17">
        <f>Tablo244[[#This Row],[ÇAP mm]]+1.6</f>
        <v>966.6</v>
      </c>
      <c r="R45" s="3">
        <f>Tablo244[[#This Row],[ÇAP mm]]-1.6</f>
        <v>963.4</v>
      </c>
      <c r="S45" s="780">
        <f>IF(Tablo244[[#This Row],[ÇAP mm]]*0.005-4&lt;0,Tablo244[[#This Row],[ÇAP mm]]*1.005,Tablo244[[#This Row],[ÇAP mm]]+4)</f>
        <v>969</v>
      </c>
      <c r="T45" s="18">
        <f>IF(Tablo244[[#This Row],[ÇAP mm]]*0.005-4&lt;0,Tablo244[[#This Row],[ÇAP mm]]*0.995,Tablo244[[#This Row],[ÇAP mm]]-4)</f>
        <v>961</v>
      </c>
      <c r="U45" s="173">
        <f>Tablo244[[#This Row],[ÇAP mm]]/Tablo244[[#This Row],[Et Kalınlığı ]]</f>
        <v>81.092436974789919</v>
      </c>
      <c r="V45" s="60">
        <f>Tablo244[[#This Row],[ÇAP mm]]/Tablo244[[#This Row],[Et Kalınlığı 2]]</f>
        <v>67.48251748251748</v>
      </c>
      <c r="W45" s="60">
        <f>Tablo244[[#This Row],[ÇAP mm]]/Tablo244[[#This Row],[Et Kalınlığı 3]]</f>
        <v>55.142857142857146</v>
      </c>
      <c r="X45" s="61">
        <f>Tablo244[[#This Row],[ÇAP mm]]/Tablo244[[#This Row],[Et Kalınlığı 4]]</f>
        <v>50.523560209424083</v>
      </c>
      <c r="Y45" s="174">
        <f>Tablo244[[#This Row],[ÇAP mm]]/Tablo244[[#This Row],[Et Kalınlığı 5]]</f>
        <v>46.844660194174757</v>
      </c>
      <c r="Z45" s="7" t="str">
        <f>IF(Tablo244[[#This Row],[ÇAP mm]]/Tablo244[[#This Row],[Et Kalınlığı ]]&lt;75,Tablo244[[#This Row],[ÇAP mm]]*0.01/2,"Anlaşmaya bağlıdır.")</f>
        <v>Anlaşmaya bağlıdır.</v>
      </c>
      <c r="AA45" s="7" t="str">
        <f>IF(Tablo244[[#This Row],[ÇAP mm]]/Tablo244[[#This Row],[Et Kalınlığı ]]&lt;75,Tablo244[[#This Row],[ÇAP mm]]*0.015/2,"Anlaşmaya bağlıdır.")</f>
        <v>Anlaşmaya bağlıdır.</v>
      </c>
      <c r="AB45" s="8">
        <f>IF(Tablo244[[#This Row],[ÇAP mm]]/Tablo244[[#This Row],[Et Kalınlığı 2]]&lt;75,Tablo244[[#This Row],[ÇAP mm]]*0.01/2,"Anlaşmaya bağlıdır.")</f>
        <v>4.8250000000000002</v>
      </c>
      <c r="AC45" s="8">
        <f>IF(Tablo244[[#This Row],[ÇAP mm]]/Tablo244[[#This Row],[Et Kalınlığı 2]]&lt;75,Tablo244[[#This Row],[ÇAP mm]]*0.015,"Anlaşmaya bağlıdır.")</f>
        <v>14.475</v>
      </c>
      <c r="AD45" s="8">
        <f>IF(Tablo244[[#This Row],[ÇAP mm]]/Tablo244[[#This Row],[Et Kalınlığı 3]]&lt;75,Tablo244[[#This Row],[ÇAP mm]]*0.01/2,"Anlaşmaya bağlıdır.")</f>
        <v>4.8250000000000002</v>
      </c>
      <c r="AE45" s="8">
        <f>IF(Tablo244[[#This Row],[ÇAP mm]]/Tablo244[[#This Row],[Et Kalınlığı 3]]&lt;75,Tablo244[[#This Row],[ÇAP mm]]*0.015,"Anlaşmaya bağlıdır.")</f>
        <v>14.475</v>
      </c>
      <c r="AF45" s="8">
        <f>IF(Tablo244[[#This Row],[ÇAP mm]]/Tablo244[[#This Row],[Et Kalınlığı 4]]&lt;75,Tablo244[[#This Row],[ÇAP mm]]*0.015/2,"Anlaşmaya bağlıdır.")</f>
        <v>7.2374999999999998</v>
      </c>
      <c r="AG45" s="64">
        <f>IF(Tablo244[[#This Row],[ÇAP mm]]/Tablo244[[#This Row],[Et Kalınlığı 4]]&lt;75,Tablo244[[#This Row],[ÇAP mm]]*0.015,"Anlaşmaya bağlıdır.")</f>
        <v>14.475</v>
      </c>
      <c r="AH45" s="8">
        <f>IF(Tablo244[[#This Row],[ÇAP mm]]/Tablo244[[#This Row],[Et Kalınlığı 4]]&lt;75,Tablo244[[#This Row],[ÇAP mm]]*0.015/2,"Anlaşmaya bağlıdır.")</f>
        <v>7.2374999999999998</v>
      </c>
      <c r="AI45" s="8">
        <f>IF(Tablo244[[#This Row],[ÇAP mm]]/Tablo244[[#This Row],[Et Kalınlığı 5]]&lt;75,Tablo244[[#This Row],[ÇAP mm]]*0.015,"Anlaşmaya bağlıdır.")</f>
        <v>14.475</v>
      </c>
      <c r="AJ45" s="11">
        <f>IF(40*Tablo244[[#This Row],[Et Kalınlığı ]]&lt;485,Tablo244[[#This Row],[Et Kalınlığı ]]*40,485)</f>
        <v>476</v>
      </c>
      <c r="AK45" s="5">
        <f>1940*POWER(ROUND(AJ45,-1),0.2)/POWER(Tablo244[[#This Row],[Tensile Mpa]],0.9)</f>
        <v>23.363159482445862</v>
      </c>
      <c r="AL45" s="5">
        <f>IF(40*Tablo244[[#This Row],[Et Kalınlığı 2]]&lt;485,Tablo244[[#This Row],[Et Kalınlığı ]]*40,485)</f>
        <v>485</v>
      </c>
      <c r="AM45" s="5">
        <f>1940*POWER(ROUND(Tablo151[[#This Row],[Axc mm22]],-1),0.2)/POWER(Tablo244[[#This Row],[Tensile Mpa]],0.9)</f>
        <v>23.459704754158476</v>
      </c>
      <c r="AN45" s="5">
        <f>IF(40*Tablo244[[#This Row],[Et Kalınlığı 3]]&lt;485,Tablo244[[#This Row],[Et Kalınlığı ]]*40,485)</f>
        <v>485</v>
      </c>
      <c r="AO45" s="5">
        <f>1940*POWER(ROUND(Tablo151[[#This Row],[Axc mm23]],-1),0.2)/POWER(Tablo244[[#This Row],[Tensile Mpa]],0.9)</f>
        <v>23.459704754158476</v>
      </c>
      <c r="AP45" s="5">
        <f>IF(40*Tablo244[[#This Row],[Et Kalınlığı 4]]&lt;485,Tablo244[[#This Row],[Et Kalınlığı 4]]*40,485)</f>
        <v>485</v>
      </c>
      <c r="AQ45" s="12">
        <f>1940*POWER(ROUND(Tablo151[[#This Row],[Axc mm24]],-1),0.2)/POWER(Tablo244[[#This Row],[Tensile Mpa]],0.9)</f>
        <v>23.459704754158476</v>
      </c>
      <c r="AR45" s="5">
        <f>IF(40*Tablo244[[#This Row],[Et Kalınlığı 5]]&lt;485,Tablo244[[#This Row],[Et Kalınlığı 4]]*40,485)</f>
        <v>485</v>
      </c>
      <c r="AS45" s="64">
        <f>1940*POWER(ROUND(Tablo151[[#This Row],[Axc mm25]],-1),0.2)/POWER(Tablo244[[#This Row],[Tensile Mpa]],0.9)</f>
        <v>23.459704754158476</v>
      </c>
    </row>
    <row r="46" spans="2:45" x14ac:dyDescent="0.2">
      <c r="B46" s="43" t="s">
        <v>34</v>
      </c>
      <c r="C46" s="780">
        <v>1016</v>
      </c>
      <c r="D46" s="780" t="s">
        <v>25</v>
      </c>
      <c r="E46" s="44">
        <v>65300</v>
      </c>
      <c r="F46" s="45">
        <v>535</v>
      </c>
      <c r="G46" s="49">
        <v>11.9</v>
      </c>
      <c r="H46" s="50">
        <f>2*Tablo244[[#This Row],[SMYS Psi]]*Tablo244[[#This Row],[Et Kalınlığı ]]/Tablo244[[#This Row],[ÇAP mm]]/14.50377</f>
        <v>105.46674101497119</v>
      </c>
      <c r="I46" s="514">
        <v>14.3</v>
      </c>
      <c r="J46" s="50">
        <f>2*Tablo244[[#This Row],[SMYS Psi]]*Tablo244[[#This Row],[Et Kalınlığı 2]]/Tablo244[[#This Row],[ÇAP mm]]/14.50377</f>
        <v>126.73734424488136</v>
      </c>
      <c r="K46" s="514">
        <v>17.5</v>
      </c>
      <c r="L46" s="50">
        <f>2*Tablo244[[#This Row],[SMYS Psi]]*Tablo244[[#This Row],[Et Kalınlığı 3]]/Tablo244[[#This Row],[ÇAP mm]]/14.50377</f>
        <v>155.09814855142824</v>
      </c>
      <c r="M46" s="514">
        <v>19.100000000000001</v>
      </c>
      <c r="N46" s="52">
        <f>2*Tablo244[[#This Row],[SMYS Psi]]*Tablo244[[#This Row],[Et Kalınlığı 4]]/Tablo244[[#This Row],[ÇAP mm]]/14.50377</f>
        <v>169.27855070470164</v>
      </c>
      <c r="O46" s="50">
        <v>20.6</v>
      </c>
      <c r="P46" s="50">
        <f>2*Tablo244[[#This Row],[SMYS Psi]]*Tablo244[[#This Row],[Et Kalınlığı 5]]/Tablo244[[#This Row],[ÇAP mm]]/14.50377</f>
        <v>182.57267772339549</v>
      </c>
      <c r="Q46" s="17">
        <f>Tablo244[[#This Row],[ÇAP mm]]+1.6</f>
        <v>1017.6</v>
      </c>
      <c r="R46" s="3">
        <f>Tablo244[[#This Row],[ÇAP mm]]-1.6</f>
        <v>1014.4</v>
      </c>
      <c r="S46" s="780">
        <f>IF(Tablo244[[#This Row],[ÇAP mm]]*0.005-4&lt;0,Tablo244[[#This Row],[ÇAP mm]]*1.005,Tablo244[[#This Row],[ÇAP mm]]+4)</f>
        <v>1020</v>
      </c>
      <c r="T46" s="18">
        <f>IF(Tablo244[[#This Row],[ÇAP mm]]*0.005-4&lt;0,Tablo244[[#This Row],[ÇAP mm]]*0.995,Tablo244[[#This Row],[ÇAP mm]]-4)</f>
        <v>1012</v>
      </c>
      <c r="U46" s="173">
        <f>Tablo244[[#This Row],[ÇAP mm]]/Tablo244[[#This Row],[Et Kalınlığı ]]</f>
        <v>85.378151260504197</v>
      </c>
      <c r="V46" s="60">
        <f>Tablo244[[#This Row],[ÇAP mm]]/Tablo244[[#This Row],[Et Kalınlığı 2]]</f>
        <v>71.048951048951039</v>
      </c>
      <c r="W46" s="60">
        <f>Tablo244[[#This Row],[ÇAP mm]]/Tablo244[[#This Row],[Et Kalınlığı 3]]</f>
        <v>58.057142857142857</v>
      </c>
      <c r="X46" s="61">
        <f>Tablo244[[#This Row],[ÇAP mm]]/Tablo244[[#This Row],[Et Kalınlığı 4]]</f>
        <v>53.193717277486904</v>
      </c>
      <c r="Y46" s="174">
        <f>Tablo244[[#This Row],[ÇAP mm]]/Tablo244[[#This Row],[Et Kalınlığı 5]]</f>
        <v>49.320388349514559</v>
      </c>
      <c r="Z46" s="7" t="str">
        <f>IF(Tablo244[[#This Row],[ÇAP mm]]/Tablo244[[#This Row],[Et Kalınlığı ]]&lt;75,Tablo244[[#This Row],[ÇAP mm]]*0.01/2,"Anlaşmaya bağlıdır.")</f>
        <v>Anlaşmaya bağlıdır.</v>
      </c>
      <c r="AA46" s="7" t="str">
        <f>IF(Tablo244[[#This Row],[ÇAP mm]]/Tablo244[[#This Row],[Et Kalınlığı ]]&lt;75,Tablo244[[#This Row],[ÇAP mm]]*0.015/2,"Anlaşmaya bağlıdır.")</f>
        <v>Anlaşmaya bağlıdır.</v>
      </c>
      <c r="AB46" s="8">
        <f>IF(Tablo244[[#This Row],[ÇAP mm]]/Tablo244[[#This Row],[Et Kalınlığı 2]]&lt;75,Tablo244[[#This Row],[ÇAP mm]]*0.01/2,"Anlaşmaya bağlıdır.")</f>
        <v>5.08</v>
      </c>
      <c r="AC46" s="8">
        <f>IF(Tablo244[[#This Row],[ÇAP mm]]/Tablo244[[#This Row],[Et Kalınlığı 2]]&lt;75,Tablo244[[#This Row],[ÇAP mm]]*0.015,"Anlaşmaya bağlıdır.")</f>
        <v>15.24</v>
      </c>
      <c r="AD46" s="8">
        <f>IF(Tablo244[[#This Row],[ÇAP mm]]/Tablo244[[#This Row],[Et Kalınlığı 3]]&lt;75,Tablo244[[#This Row],[ÇAP mm]]*0.01/2,"Anlaşmaya bağlıdır.")</f>
        <v>5.08</v>
      </c>
      <c r="AE46" s="8">
        <f>IF(Tablo244[[#This Row],[ÇAP mm]]/Tablo244[[#This Row],[Et Kalınlığı 3]]&lt;75,Tablo244[[#This Row],[ÇAP mm]]*0.015,"Anlaşmaya bağlıdır.")</f>
        <v>15.24</v>
      </c>
      <c r="AF46" s="8">
        <f>IF(Tablo244[[#This Row],[ÇAP mm]]/Tablo244[[#This Row],[Et Kalınlığı 4]]&lt;75,Tablo244[[#This Row],[ÇAP mm]]*0.015/2,"Anlaşmaya bağlıdır.")</f>
        <v>7.62</v>
      </c>
      <c r="AG46" s="64">
        <f>IF(Tablo244[[#This Row],[ÇAP mm]]/Tablo244[[#This Row],[Et Kalınlığı 4]]&lt;75,Tablo244[[#This Row],[ÇAP mm]]*0.015,"Anlaşmaya bağlıdır.")</f>
        <v>15.24</v>
      </c>
      <c r="AH46" s="8">
        <f>IF(Tablo244[[#This Row],[ÇAP mm]]/Tablo244[[#This Row],[Et Kalınlığı 4]]&lt;75,Tablo244[[#This Row],[ÇAP mm]]*0.015/2,"Anlaşmaya bağlıdır.")</f>
        <v>7.62</v>
      </c>
      <c r="AI46" s="8">
        <f>IF(Tablo244[[#This Row],[ÇAP mm]]/Tablo244[[#This Row],[Et Kalınlığı 5]]&lt;75,Tablo244[[#This Row],[ÇAP mm]]*0.015,"Anlaşmaya bağlıdır.")</f>
        <v>15.24</v>
      </c>
      <c r="AJ46" s="11">
        <f>IF(40*Tablo244[[#This Row],[Et Kalınlığı ]]&lt;485,Tablo244[[#This Row],[Et Kalınlığı ]]*40,485)</f>
        <v>476</v>
      </c>
      <c r="AK46" s="5">
        <f>1940*POWER(ROUND(AJ46,-1),0.2)/POWER(Tablo244[[#This Row],[Tensile Mpa]],0.9)</f>
        <v>23.363159482445862</v>
      </c>
      <c r="AL46" s="5">
        <f>IF(40*Tablo244[[#This Row],[Et Kalınlığı 2]]&lt;485,Tablo244[[#This Row],[Et Kalınlığı ]]*40,485)</f>
        <v>485</v>
      </c>
      <c r="AM46" s="5">
        <f>1940*POWER(ROUND(Tablo151[[#This Row],[Axc mm22]],-1),0.2)/POWER(Tablo244[[#This Row],[Tensile Mpa]],0.9)</f>
        <v>23.459704754158476</v>
      </c>
      <c r="AN46" s="5">
        <f>IF(40*Tablo244[[#This Row],[Et Kalınlığı 3]]&lt;485,Tablo244[[#This Row],[Et Kalınlığı ]]*40,485)</f>
        <v>485</v>
      </c>
      <c r="AO46" s="5">
        <f>1940*POWER(ROUND(Tablo151[[#This Row],[Axc mm23]],-1),0.2)/POWER(Tablo244[[#This Row],[Tensile Mpa]],0.9)</f>
        <v>23.459704754158476</v>
      </c>
      <c r="AP46" s="5">
        <f>IF(40*Tablo244[[#This Row],[Et Kalınlığı 4]]&lt;485,Tablo244[[#This Row],[Et Kalınlığı 4]]*40,485)</f>
        <v>485</v>
      </c>
      <c r="AQ46" s="12">
        <f>1940*POWER(ROUND(Tablo151[[#This Row],[Axc mm24]],-1),0.2)/POWER(Tablo244[[#This Row],[Tensile Mpa]],0.9)</f>
        <v>23.459704754158476</v>
      </c>
      <c r="AR46" s="5">
        <f>IF(40*Tablo244[[#This Row],[Et Kalınlığı 5]]&lt;485,Tablo244[[#This Row],[Et Kalınlığı 4]]*40,485)</f>
        <v>485</v>
      </c>
      <c r="AS46" s="64">
        <f>1940*POWER(ROUND(Tablo151[[#This Row],[Axc mm25]],-1),0.2)/POWER(Tablo244[[#This Row],[Tensile Mpa]],0.9)</f>
        <v>23.459704754158476</v>
      </c>
    </row>
    <row r="47" spans="2:45" x14ac:dyDescent="0.2">
      <c r="B47" s="43" t="s">
        <v>35</v>
      </c>
      <c r="C47" s="780">
        <v>1067</v>
      </c>
      <c r="D47" s="780" t="s">
        <v>25</v>
      </c>
      <c r="E47" s="44">
        <v>65300</v>
      </c>
      <c r="F47" s="45">
        <v>535</v>
      </c>
      <c r="G47" s="49">
        <v>12.7</v>
      </c>
      <c r="H47" s="50">
        <f>2*Tablo244[[#This Row],[SMYS Psi]]*Tablo244[[#This Row],[Et Kalınlığı ]]/Tablo244[[#This Row],[ÇAP mm]]/14.50377</f>
        <v>107.17699453146545</v>
      </c>
      <c r="I47" s="514">
        <v>15.9</v>
      </c>
      <c r="J47" s="50">
        <f>2*Tablo244[[#This Row],[SMYS Psi]]*Tablo244[[#This Row],[Et Kalınlığı 2]]/Tablo244[[#This Row],[ÇAP mm]]/14.50377</f>
        <v>134.18222150002367</v>
      </c>
      <c r="K47" s="514">
        <v>19.100000000000001</v>
      </c>
      <c r="L47" s="50">
        <f>2*Tablo244[[#This Row],[SMYS Psi]]*Tablo244[[#This Row],[Et Kalınlığı 3]]/Tablo244[[#This Row],[ÇAP mm]]/14.50377</f>
        <v>161.18744846858192</v>
      </c>
      <c r="M47" s="514">
        <v>20.6</v>
      </c>
      <c r="N47" s="52">
        <f>2*Tablo244[[#This Row],[SMYS Psi]]*Tablo244[[#This Row],[Et Kalınlığı 4]]/Tablo244[[#This Row],[ÇAP mm]]/14.50377</f>
        <v>173.84614861009356</v>
      </c>
      <c r="O47" s="50">
        <v>22.2</v>
      </c>
      <c r="P47" s="50">
        <f>2*Tablo244[[#This Row],[SMYS Psi]]*Tablo244[[#This Row],[Et Kalınlığı 5]]/Tablo244[[#This Row],[ÇAP mm]]/14.50377</f>
        <v>187.34876209437269</v>
      </c>
      <c r="Q47" s="17">
        <f>Tablo244[[#This Row],[ÇAP mm]]+1.6</f>
        <v>1068.5999999999999</v>
      </c>
      <c r="R47" s="3">
        <f>Tablo244[[#This Row],[ÇAP mm]]-1.6</f>
        <v>1065.4000000000001</v>
      </c>
      <c r="S47" s="780">
        <f>IF(Tablo244[[#This Row],[ÇAP mm]]*0.005-4&lt;0,Tablo244[[#This Row],[ÇAP mm]]*1.005,Tablo244[[#This Row],[ÇAP mm]]+4)</f>
        <v>1071</v>
      </c>
      <c r="T47" s="18">
        <f>IF(Tablo244[[#This Row],[ÇAP mm]]*0.005-4&lt;0,Tablo244[[#This Row],[ÇAP mm]]*0.995,Tablo244[[#This Row],[ÇAP mm]]-4)</f>
        <v>1063</v>
      </c>
      <c r="U47" s="173">
        <f>Tablo244[[#This Row],[ÇAP mm]]/Tablo244[[#This Row],[Et Kalınlığı ]]</f>
        <v>84.015748031496074</v>
      </c>
      <c r="V47" s="60">
        <f>Tablo244[[#This Row],[ÇAP mm]]/Tablo244[[#This Row],[Et Kalınlığı 2]]</f>
        <v>67.106918238993714</v>
      </c>
      <c r="W47" s="60">
        <f>Tablo244[[#This Row],[ÇAP mm]]/Tablo244[[#This Row],[Et Kalınlığı 3]]</f>
        <v>55.863874345549732</v>
      </c>
      <c r="X47" s="61">
        <f>Tablo244[[#This Row],[ÇAP mm]]/Tablo244[[#This Row],[Et Kalınlığı 4]]</f>
        <v>51.796116504854368</v>
      </c>
      <c r="Y47" s="174">
        <f>Tablo244[[#This Row],[ÇAP mm]]/Tablo244[[#This Row],[Et Kalınlığı 5]]</f>
        <v>48.063063063063062</v>
      </c>
      <c r="Z47" s="7" t="str">
        <f>IF(Tablo244[[#This Row],[ÇAP mm]]/Tablo244[[#This Row],[Et Kalınlığı ]]&lt;75,Tablo244[[#This Row],[ÇAP mm]]*0.01/2,"Anlaşmaya bağlıdır.")</f>
        <v>Anlaşmaya bağlıdır.</v>
      </c>
      <c r="AA47" s="7" t="str">
        <f>IF(Tablo244[[#This Row],[ÇAP mm]]/Tablo244[[#This Row],[Et Kalınlığı ]]&lt;75,Tablo244[[#This Row],[ÇAP mm]]*0.015/2,"Anlaşmaya bağlıdır.")</f>
        <v>Anlaşmaya bağlıdır.</v>
      </c>
      <c r="AB47" s="8">
        <f>IF(Tablo244[[#This Row],[ÇAP mm]]/Tablo244[[#This Row],[Et Kalınlığı 2]]&lt;75,Tablo244[[#This Row],[ÇAP mm]]*0.01/2,"Anlaşmaya bağlıdır.")</f>
        <v>5.335</v>
      </c>
      <c r="AC47" s="8">
        <f>IF(Tablo244[[#This Row],[ÇAP mm]]/Tablo244[[#This Row],[Et Kalınlığı 2]]&lt;75,Tablo244[[#This Row],[ÇAP mm]]*0.015,"Anlaşmaya bağlıdır.")</f>
        <v>16.004999999999999</v>
      </c>
      <c r="AD47" s="8">
        <f>IF(Tablo244[[#This Row],[ÇAP mm]]/Tablo244[[#This Row],[Et Kalınlığı 3]]&lt;75,Tablo244[[#This Row],[ÇAP mm]]*0.01/2,"Anlaşmaya bağlıdır.")</f>
        <v>5.335</v>
      </c>
      <c r="AE47" s="8">
        <f>IF(Tablo244[[#This Row],[ÇAP mm]]/Tablo244[[#This Row],[Et Kalınlığı 3]]&lt;75,Tablo244[[#This Row],[ÇAP mm]]*0.015,"Anlaşmaya bağlıdır.")</f>
        <v>16.004999999999999</v>
      </c>
      <c r="AF47" s="8">
        <f>IF(Tablo244[[#This Row],[ÇAP mm]]/Tablo244[[#This Row],[Et Kalınlığı 4]]&lt;75,Tablo244[[#This Row],[ÇAP mm]]*0.015/2,"Anlaşmaya bağlıdır.")</f>
        <v>8.0024999999999995</v>
      </c>
      <c r="AG47" s="64">
        <f>IF(Tablo244[[#This Row],[ÇAP mm]]/Tablo244[[#This Row],[Et Kalınlığı 4]]&lt;75,Tablo244[[#This Row],[ÇAP mm]]*0.015,"Anlaşmaya bağlıdır.")</f>
        <v>16.004999999999999</v>
      </c>
      <c r="AH47" s="8">
        <f>IF(Tablo244[[#This Row],[ÇAP mm]]/Tablo244[[#This Row],[Et Kalınlığı 4]]&lt;75,Tablo244[[#This Row],[ÇAP mm]]*0.015/2,"Anlaşmaya bağlıdır.")</f>
        <v>8.0024999999999995</v>
      </c>
      <c r="AI47" s="8">
        <f>IF(Tablo244[[#This Row],[ÇAP mm]]/Tablo244[[#This Row],[Et Kalınlığı 5]]&lt;75,Tablo244[[#This Row],[ÇAP mm]]*0.015,"Anlaşmaya bağlıdır.")</f>
        <v>16.004999999999999</v>
      </c>
      <c r="AJ47" s="11">
        <f>IF(40*Tablo244[[#This Row],[Et Kalınlığı ]]&lt;485,Tablo244[[#This Row],[Et Kalınlığı ]]*40,485)</f>
        <v>485</v>
      </c>
      <c r="AK47" s="5">
        <f>1940*POWER(ROUND(AJ47,-1),0.2)/POWER(Tablo244[[#This Row],[Tensile Mpa]],0.9)</f>
        <v>23.459704754158476</v>
      </c>
      <c r="AL47" s="5">
        <f>IF(40*Tablo244[[#This Row],[Et Kalınlığı 2]]&lt;485,Tablo244[[#This Row],[Et Kalınlığı ]]*40,485)</f>
        <v>485</v>
      </c>
      <c r="AM47" s="5">
        <f>1940*POWER(ROUND(Tablo151[[#This Row],[Axc mm22]],-1),0.2)/POWER(Tablo244[[#This Row],[Tensile Mpa]],0.9)</f>
        <v>23.459704754158476</v>
      </c>
      <c r="AN47" s="5">
        <f>IF(40*Tablo244[[#This Row],[Et Kalınlığı 3]]&lt;485,Tablo244[[#This Row],[Et Kalınlığı ]]*40,485)</f>
        <v>485</v>
      </c>
      <c r="AO47" s="5">
        <f>1940*POWER(ROUND(Tablo151[[#This Row],[Axc mm23]],-1),0.2)/POWER(Tablo244[[#This Row],[Tensile Mpa]],0.9)</f>
        <v>23.459704754158476</v>
      </c>
      <c r="AP47" s="5">
        <f>IF(40*Tablo244[[#This Row],[Et Kalınlığı 4]]&lt;485,Tablo244[[#This Row],[Et Kalınlığı 4]]*40,485)</f>
        <v>485</v>
      </c>
      <c r="AQ47" s="12">
        <f>1940*POWER(ROUND(Tablo151[[#This Row],[Axc mm24]],-1),0.2)/POWER(Tablo244[[#This Row],[Tensile Mpa]],0.9)</f>
        <v>23.459704754158476</v>
      </c>
      <c r="AR47" s="5">
        <f>IF(40*Tablo244[[#This Row],[Et Kalınlığı 5]]&lt;485,Tablo244[[#This Row],[Et Kalınlığı 4]]*40,485)</f>
        <v>485</v>
      </c>
      <c r="AS47" s="64">
        <f>1940*POWER(ROUND(Tablo151[[#This Row],[Axc mm25]],-1),0.2)/POWER(Tablo244[[#This Row],[Tensile Mpa]],0.9)</f>
        <v>23.459704754158476</v>
      </c>
    </row>
    <row r="48" spans="2:45" x14ac:dyDescent="0.2">
      <c r="B48" s="43" t="s">
        <v>36</v>
      </c>
      <c r="C48" s="780">
        <v>1118</v>
      </c>
      <c r="D48" s="780" t="s">
        <v>25</v>
      </c>
      <c r="E48" s="44">
        <v>65300</v>
      </c>
      <c r="F48" s="45">
        <v>535</v>
      </c>
      <c r="G48" s="49">
        <v>14.3</v>
      </c>
      <c r="H48" s="50">
        <f>2*Tablo244[[#This Row],[SMYS Psi]]*Tablo244[[#This Row],[Et Kalınlığı ]]/Tablo244[[#This Row],[ÇAP mm]]/14.50377</f>
        <v>115.17454539606391</v>
      </c>
      <c r="I48" s="514">
        <v>15.9</v>
      </c>
      <c r="J48" s="50">
        <f>2*Tablo244[[#This Row],[SMYS Psi]]*Tablo244[[#This Row],[Et Kalınlığı 2]]/Tablo244[[#This Row],[ÇAP mm]]/14.50377</f>
        <v>128.06120781800112</v>
      </c>
      <c r="K48" s="514">
        <v>19.100000000000001</v>
      </c>
      <c r="L48" s="50">
        <f>2*Tablo244[[#This Row],[SMYS Psi]]*Tablo244[[#This Row],[Et Kalınlığı 3]]/Tablo244[[#This Row],[ÇAP mm]]/14.50377</f>
        <v>153.83453266187558</v>
      </c>
      <c r="M48" s="514">
        <v>20.6</v>
      </c>
      <c r="N48" s="52">
        <f>2*Tablo244[[#This Row],[SMYS Psi]]*Tablo244[[#This Row],[Et Kalınlığı 4]]/Tablo244[[#This Row],[ÇAP mm]]/14.50377</f>
        <v>165.9157786824417</v>
      </c>
      <c r="O48" s="50">
        <v>22.2</v>
      </c>
      <c r="P48" s="50">
        <f>2*Tablo244[[#This Row],[SMYS Psi]]*Tablo244[[#This Row],[Et Kalınlığı 5]]/Tablo244[[#This Row],[ÇAP mm]]/14.50377</f>
        <v>178.80244110437894</v>
      </c>
      <c r="Q48" s="17">
        <f>Tablo244[[#This Row],[ÇAP mm]]+1.6</f>
        <v>1119.5999999999999</v>
      </c>
      <c r="R48" s="3">
        <f>Tablo244[[#This Row],[ÇAP mm]]-1.6</f>
        <v>1116.4000000000001</v>
      </c>
      <c r="S48" s="780">
        <f>IF(Tablo244[[#This Row],[ÇAP mm]]*0.005-4&lt;0,Tablo244[[#This Row],[ÇAP mm]]*1.005,Tablo244[[#This Row],[ÇAP mm]]+4)</f>
        <v>1122</v>
      </c>
      <c r="T48" s="18">
        <f>IF(Tablo244[[#This Row],[ÇAP mm]]*0.005-4&lt;0,Tablo244[[#This Row],[ÇAP mm]]*0.995,Tablo244[[#This Row],[ÇAP mm]]-4)</f>
        <v>1114</v>
      </c>
      <c r="U48" s="173">
        <f>Tablo244[[#This Row],[ÇAP mm]]/Tablo244[[#This Row],[Et Kalınlığı ]]</f>
        <v>78.181818181818173</v>
      </c>
      <c r="V48" s="60">
        <f>Tablo244[[#This Row],[ÇAP mm]]/Tablo244[[#This Row],[Et Kalınlığı 2]]</f>
        <v>70.314465408805034</v>
      </c>
      <c r="W48" s="60">
        <f>Tablo244[[#This Row],[ÇAP mm]]/Tablo244[[#This Row],[Et Kalınlığı 3]]</f>
        <v>58.53403141361256</v>
      </c>
      <c r="X48" s="61">
        <f>Tablo244[[#This Row],[ÇAP mm]]/Tablo244[[#This Row],[Et Kalınlığı 4]]</f>
        <v>54.271844660194169</v>
      </c>
      <c r="Y48" s="174">
        <f>Tablo244[[#This Row],[ÇAP mm]]/Tablo244[[#This Row],[Et Kalınlığı 5]]</f>
        <v>50.36036036036036</v>
      </c>
      <c r="Z48" s="7" t="str">
        <f>IF(Tablo244[[#This Row],[ÇAP mm]]/Tablo244[[#This Row],[Et Kalınlığı ]]&lt;75,Tablo244[[#This Row],[ÇAP mm]]*0.01/2,"Anlaşmaya bağlıdır.")</f>
        <v>Anlaşmaya bağlıdır.</v>
      </c>
      <c r="AA48" s="7" t="str">
        <f>IF(Tablo244[[#This Row],[ÇAP mm]]/Tablo244[[#This Row],[Et Kalınlığı ]]&lt;75,Tablo244[[#This Row],[ÇAP mm]]*0.015/2,"Anlaşmaya bağlıdır.")</f>
        <v>Anlaşmaya bağlıdır.</v>
      </c>
      <c r="AB48" s="8">
        <f>IF(Tablo244[[#This Row],[ÇAP mm]]/Tablo244[[#This Row],[Et Kalınlığı 2]]&lt;75,Tablo244[[#This Row],[ÇAP mm]]*0.01/2,"Anlaşmaya bağlıdır.")</f>
        <v>5.59</v>
      </c>
      <c r="AC48" s="8">
        <f>IF(Tablo244[[#This Row],[ÇAP mm]]/Tablo244[[#This Row],[Et Kalınlığı 2]]&lt;75,Tablo244[[#This Row],[ÇAP mm]]*0.015,"Anlaşmaya bağlıdır.")</f>
        <v>16.77</v>
      </c>
      <c r="AD48" s="8">
        <f>IF(Tablo244[[#This Row],[ÇAP mm]]/Tablo244[[#This Row],[Et Kalınlığı 3]]&lt;75,Tablo244[[#This Row],[ÇAP mm]]*0.01/2,"Anlaşmaya bağlıdır.")</f>
        <v>5.59</v>
      </c>
      <c r="AE48" s="8">
        <f>IF(Tablo244[[#This Row],[ÇAP mm]]/Tablo244[[#This Row],[Et Kalınlığı 3]]&lt;75,Tablo244[[#This Row],[ÇAP mm]]*0.015,"Anlaşmaya bağlıdır.")</f>
        <v>16.77</v>
      </c>
      <c r="AF48" s="8">
        <f>IF(Tablo244[[#This Row],[ÇAP mm]]/Tablo244[[#This Row],[Et Kalınlığı 4]]&lt;75,Tablo244[[#This Row],[ÇAP mm]]*0.015/2,"Anlaşmaya bağlıdır.")</f>
        <v>8.3849999999999998</v>
      </c>
      <c r="AG48" s="64">
        <f>IF(Tablo244[[#This Row],[ÇAP mm]]/Tablo244[[#This Row],[Et Kalınlığı 4]]&lt;75,Tablo244[[#This Row],[ÇAP mm]]*0.015,"Anlaşmaya bağlıdır.")</f>
        <v>16.77</v>
      </c>
      <c r="AH48" s="8">
        <f>IF(Tablo244[[#This Row],[ÇAP mm]]/Tablo244[[#This Row],[Et Kalınlığı 4]]&lt;75,Tablo244[[#This Row],[ÇAP mm]]*0.015/2,"Anlaşmaya bağlıdır.")</f>
        <v>8.3849999999999998</v>
      </c>
      <c r="AI48" s="8">
        <f>IF(Tablo244[[#This Row],[ÇAP mm]]/Tablo244[[#This Row],[Et Kalınlığı 5]]&lt;75,Tablo244[[#This Row],[ÇAP mm]]*0.015,"Anlaşmaya bağlıdır.")</f>
        <v>16.77</v>
      </c>
      <c r="AJ48" s="11">
        <f>IF(40*Tablo244[[#This Row],[Et Kalınlığı ]]&lt;485,Tablo244[[#This Row],[Et Kalınlığı ]]*40,485)</f>
        <v>485</v>
      </c>
      <c r="AK48" s="5">
        <f>1940*POWER(ROUND(AJ48,-1),0.2)/POWER(Tablo244[[#This Row],[Tensile Mpa]],0.9)</f>
        <v>23.459704754158476</v>
      </c>
      <c r="AL48" s="5">
        <f>IF(40*Tablo244[[#This Row],[Et Kalınlığı 2]]&lt;485,Tablo244[[#This Row],[Et Kalınlığı ]]*40,485)</f>
        <v>485</v>
      </c>
      <c r="AM48" s="5">
        <f>1940*POWER(ROUND(Tablo151[[#This Row],[Axc mm22]],-1),0.2)/POWER(Tablo244[[#This Row],[Tensile Mpa]],0.9)</f>
        <v>23.459704754158476</v>
      </c>
      <c r="AN48" s="5">
        <f>IF(40*Tablo244[[#This Row],[Et Kalınlığı 3]]&lt;485,Tablo244[[#This Row],[Et Kalınlığı ]]*40,485)</f>
        <v>485</v>
      </c>
      <c r="AO48" s="5">
        <f>1940*POWER(ROUND(Tablo151[[#This Row],[Axc mm23]],-1),0.2)/POWER(Tablo244[[#This Row],[Tensile Mpa]],0.9)</f>
        <v>23.459704754158476</v>
      </c>
      <c r="AP48" s="5">
        <f>IF(40*Tablo244[[#This Row],[Et Kalınlığı 4]]&lt;485,Tablo244[[#This Row],[Et Kalınlığı 4]]*40,485)</f>
        <v>485</v>
      </c>
      <c r="AQ48" s="12">
        <f>1940*POWER(ROUND(Tablo151[[#This Row],[Axc mm24]],-1),0.2)/POWER(Tablo244[[#This Row],[Tensile Mpa]],0.9)</f>
        <v>23.459704754158476</v>
      </c>
      <c r="AR48" s="5">
        <f>IF(40*Tablo244[[#This Row],[Et Kalınlığı 5]]&lt;485,Tablo244[[#This Row],[Et Kalınlığı 4]]*40,485)</f>
        <v>485</v>
      </c>
      <c r="AS48" s="64">
        <f>1940*POWER(ROUND(Tablo151[[#This Row],[Axc mm25]],-1),0.2)/POWER(Tablo244[[#This Row],[Tensile Mpa]],0.9)</f>
        <v>23.459704754158476</v>
      </c>
    </row>
    <row r="49" spans="2:45" x14ac:dyDescent="0.2">
      <c r="B49" s="43" t="s">
        <v>37</v>
      </c>
      <c r="C49" s="780">
        <v>1168</v>
      </c>
      <c r="D49" s="780" t="s">
        <v>25</v>
      </c>
      <c r="E49" s="44">
        <v>65300</v>
      </c>
      <c r="F49" s="45">
        <v>535</v>
      </c>
      <c r="G49" s="49">
        <v>14.3</v>
      </c>
      <c r="H49" s="50">
        <f>2*Tablo244[[#This Row],[SMYS Psi]]*Tablo244[[#This Row],[Et Kalınlığı ]]/Tablo244[[#This Row],[ÇAP mm]]/14.50377</f>
        <v>110.24412821301323</v>
      </c>
      <c r="I49" s="514">
        <v>17.5</v>
      </c>
      <c r="J49" s="50">
        <f>2*Tablo244[[#This Row],[SMYS Psi]]*Tablo244[[#This Row],[Et Kalınlığı 2]]/Tablo244[[#This Row],[ÇAP mm]]/14.50377</f>
        <v>134.91414291802317</v>
      </c>
      <c r="K49" s="514">
        <v>20.6</v>
      </c>
      <c r="L49" s="50">
        <f>2*Tablo244[[#This Row],[SMYS Psi]]*Tablo244[[#This Row],[Et Kalınlığı 3]]/Tablo244[[#This Row],[ÇAP mm]]/14.50377</f>
        <v>158.81321966350157</v>
      </c>
      <c r="M49" s="514">
        <v>22.2</v>
      </c>
      <c r="N49" s="52">
        <f>2*Tablo244[[#This Row],[SMYS Psi]]*Tablo244[[#This Row],[Et Kalınlığı 4]]/Tablo244[[#This Row],[ÇAP mm]]/14.50377</f>
        <v>171.14822701600653</v>
      </c>
      <c r="O49" s="50">
        <v>23.8</v>
      </c>
      <c r="P49" s="50">
        <f>2*Tablo244[[#This Row],[SMYS Psi]]*Tablo244[[#This Row],[Et Kalınlığı 5]]/Tablo244[[#This Row],[ÇAP mm]]/14.50377</f>
        <v>183.48323436851152</v>
      </c>
      <c r="Q49" s="17">
        <f>Tablo244[[#This Row],[ÇAP mm]]+1.6</f>
        <v>1169.5999999999999</v>
      </c>
      <c r="R49" s="3">
        <f>Tablo244[[#This Row],[ÇAP mm]]-1.6</f>
        <v>1166.4000000000001</v>
      </c>
      <c r="S49" s="780">
        <f>IF(Tablo244[[#This Row],[ÇAP mm]]*0.005-4&lt;0,Tablo244[[#This Row],[ÇAP mm]]*1.005,Tablo244[[#This Row],[ÇAP mm]]+4)</f>
        <v>1172</v>
      </c>
      <c r="T49" s="18">
        <f>IF(Tablo244[[#This Row],[ÇAP mm]]*0.005-4&lt;0,Tablo244[[#This Row],[ÇAP mm]]*0.995,Tablo244[[#This Row],[ÇAP mm]]-4)</f>
        <v>1164</v>
      </c>
      <c r="U49" s="173">
        <f>Tablo244[[#This Row],[ÇAP mm]]/Tablo244[[#This Row],[Et Kalınlığı ]]</f>
        <v>81.67832167832168</v>
      </c>
      <c r="V49" s="60">
        <f>Tablo244[[#This Row],[ÇAP mm]]/Tablo244[[#This Row],[Et Kalınlığı 2]]</f>
        <v>66.742857142857147</v>
      </c>
      <c r="W49" s="60">
        <f>Tablo244[[#This Row],[ÇAP mm]]/Tablo244[[#This Row],[Et Kalınlığı 3]]</f>
        <v>56.699029126213588</v>
      </c>
      <c r="X49" s="61">
        <f>Tablo244[[#This Row],[ÇAP mm]]/Tablo244[[#This Row],[Et Kalınlığı 4]]</f>
        <v>52.612612612612615</v>
      </c>
      <c r="Y49" s="174">
        <f>Tablo244[[#This Row],[ÇAP mm]]/Tablo244[[#This Row],[Et Kalınlığı 5]]</f>
        <v>49.075630252100837</v>
      </c>
      <c r="Z49" s="7" t="str">
        <f>IF(Tablo244[[#This Row],[ÇAP mm]]/Tablo244[[#This Row],[Et Kalınlığı ]]&lt;75,Tablo244[[#This Row],[ÇAP mm]]*0.01/2,"Anlaşmaya bağlıdır.")</f>
        <v>Anlaşmaya bağlıdır.</v>
      </c>
      <c r="AA49" s="7" t="str">
        <f>IF(Tablo244[[#This Row],[ÇAP mm]]/Tablo244[[#This Row],[Et Kalınlığı ]]&lt;75,Tablo244[[#This Row],[ÇAP mm]]*0.015/2,"Anlaşmaya bağlıdır.")</f>
        <v>Anlaşmaya bağlıdır.</v>
      </c>
      <c r="AB49" s="8">
        <f>IF(Tablo244[[#This Row],[ÇAP mm]]/Tablo244[[#This Row],[Et Kalınlığı 2]]&lt;75,Tablo244[[#This Row],[ÇAP mm]]*0.01/2,"Anlaşmaya bağlıdır.")</f>
        <v>5.84</v>
      </c>
      <c r="AC49" s="8">
        <f>IF(Tablo244[[#This Row],[ÇAP mm]]/Tablo244[[#This Row],[Et Kalınlığı 2]]&lt;75,Tablo244[[#This Row],[ÇAP mm]]*0.015,"Anlaşmaya bağlıdır.")</f>
        <v>17.52</v>
      </c>
      <c r="AD49" s="8">
        <f>IF(Tablo244[[#This Row],[ÇAP mm]]/Tablo244[[#This Row],[Et Kalınlığı 3]]&lt;75,Tablo244[[#This Row],[ÇAP mm]]*0.01/2,"Anlaşmaya bağlıdır.")</f>
        <v>5.84</v>
      </c>
      <c r="AE49" s="8">
        <f>IF(Tablo244[[#This Row],[ÇAP mm]]/Tablo244[[#This Row],[Et Kalınlığı 3]]&lt;75,Tablo244[[#This Row],[ÇAP mm]]*0.015,"Anlaşmaya bağlıdır.")</f>
        <v>17.52</v>
      </c>
      <c r="AF49" s="8">
        <f>IF(Tablo244[[#This Row],[ÇAP mm]]/Tablo244[[#This Row],[Et Kalınlığı 4]]&lt;75,Tablo244[[#This Row],[ÇAP mm]]*0.015/2,"Anlaşmaya bağlıdır.")</f>
        <v>8.76</v>
      </c>
      <c r="AG49" s="64">
        <f>IF(Tablo244[[#This Row],[ÇAP mm]]/Tablo244[[#This Row],[Et Kalınlığı 4]]&lt;75,Tablo244[[#This Row],[ÇAP mm]]*0.015,"Anlaşmaya bağlıdır.")</f>
        <v>17.52</v>
      </c>
      <c r="AH49" s="8">
        <f>IF(Tablo244[[#This Row],[ÇAP mm]]/Tablo244[[#This Row],[Et Kalınlığı 4]]&lt;75,Tablo244[[#This Row],[ÇAP mm]]*0.015/2,"Anlaşmaya bağlıdır.")</f>
        <v>8.76</v>
      </c>
      <c r="AI49" s="8">
        <f>IF(Tablo244[[#This Row],[ÇAP mm]]/Tablo244[[#This Row],[Et Kalınlığı 5]]&lt;75,Tablo244[[#This Row],[ÇAP mm]]*0.015,"Anlaşmaya bağlıdır.")</f>
        <v>17.52</v>
      </c>
      <c r="AJ49" s="11">
        <f>IF(40*Tablo244[[#This Row],[Et Kalınlığı ]]&lt;485,Tablo244[[#This Row],[Et Kalınlığı ]]*40,485)</f>
        <v>485</v>
      </c>
      <c r="AK49" s="5">
        <f>1940*POWER(ROUND(AJ49,-1),0.2)/POWER(Tablo244[[#This Row],[Tensile Mpa]],0.9)</f>
        <v>23.459704754158476</v>
      </c>
      <c r="AL49" s="5">
        <f>IF(40*Tablo244[[#This Row],[Et Kalınlığı 2]]&lt;485,Tablo244[[#This Row],[Et Kalınlığı ]]*40,485)</f>
        <v>485</v>
      </c>
      <c r="AM49" s="5">
        <f>1940*POWER(ROUND(Tablo151[[#This Row],[Axc mm22]],-1),0.2)/POWER(Tablo244[[#This Row],[Tensile Mpa]],0.9)</f>
        <v>23.459704754158476</v>
      </c>
      <c r="AN49" s="5">
        <f>IF(40*Tablo244[[#This Row],[Et Kalınlığı 3]]&lt;485,Tablo244[[#This Row],[Et Kalınlığı ]]*40,485)</f>
        <v>485</v>
      </c>
      <c r="AO49" s="5">
        <f>1940*POWER(ROUND(Tablo151[[#This Row],[Axc mm23]],-1),0.2)/POWER(Tablo244[[#This Row],[Tensile Mpa]],0.9)</f>
        <v>23.459704754158476</v>
      </c>
      <c r="AP49" s="5">
        <f>IF(40*Tablo244[[#This Row],[Et Kalınlığı 4]]&lt;485,Tablo244[[#This Row],[Et Kalınlığı 4]]*40,485)</f>
        <v>485</v>
      </c>
      <c r="AQ49" s="12">
        <f>1940*POWER(ROUND(Tablo151[[#This Row],[Axc mm24]],-1),0.2)/POWER(Tablo244[[#This Row],[Tensile Mpa]],0.9)</f>
        <v>23.459704754158476</v>
      </c>
      <c r="AR49" s="5">
        <f>IF(40*Tablo244[[#This Row],[Et Kalınlığı 5]]&lt;485,Tablo244[[#This Row],[Et Kalınlığı 4]]*40,485)</f>
        <v>485</v>
      </c>
      <c r="AS49" s="64">
        <f>1940*POWER(ROUND(Tablo151[[#This Row],[Axc mm25]],-1),0.2)/POWER(Tablo244[[#This Row],[Tensile Mpa]],0.9)</f>
        <v>23.459704754158476</v>
      </c>
    </row>
    <row r="50" spans="2:45" x14ac:dyDescent="0.2">
      <c r="B50" s="43" t="s">
        <v>38</v>
      </c>
      <c r="C50" s="780">
        <v>1219</v>
      </c>
      <c r="D50" s="780" t="s">
        <v>25</v>
      </c>
      <c r="E50" s="44">
        <v>65300</v>
      </c>
      <c r="F50" s="45">
        <v>535</v>
      </c>
      <c r="G50" s="49">
        <v>14.3</v>
      </c>
      <c r="H50" s="50">
        <f>2*Tablo244[[#This Row],[SMYS Psi]]*Tablo244[[#This Row],[Et Kalınlığı ]]/Tablo244[[#This Row],[ÇAP mm]]/14.50377</f>
        <v>105.63178158556148</v>
      </c>
      <c r="I50" s="514">
        <v>17.5</v>
      </c>
      <c r="J50" s="50">
        <f>2*Tablo244[[#This Row],[SMYS Psi]]*Tablo244[[#This Row],[Et Kalınlığı 2]]/Tablo244[[#This Row],[ÇAP mm]]/14.50377</f>
        <v>129.26966277953329</v>
      </c>
      <c r="K50" s="514">
        <v>20.6</v>
      </c>
      <c r="L50" s="50">
        <f>2*Tablo244[[#This Row],[SMYS Psi]]*Tablo244[[#This Row],[Et Kalınlığı 3]]/Tablo244[[#This Row],[ÇAP mm]]/14.50377</f>
        <v>152.16886018619346</v>
      </c>
      <c r="M50" s="514">
        <v>22.2</v>
      </c>
      <c r="N50" s="52">
        <f>2*Tablo244[[#This Row],[SMYS Psi]]*Tablo244[[#This Row],[Et Kalınlığı 4]]/Tablo244[[#This Row],[ÇAP mm]]/14.50377</f>
        <v>163.98780078317935</v>
      </c>
      <c r="O50" s="50">
        <v>23.8</v>
      </c>
      <c r="P50" s="50">
        <f>2*Tablo244[[#This Row],[SMYS Psi]]*Tablo244[[#This Row],[Et Kalınlığı 5]]/Tablo244[[#This Row],[ÇAP mm]]/14.50377</f>
        <v>175.80674138016525</v>
      </c>
      <c r="Q50" s="17">
        <f>Tablo244[[#This Row],[ÇAP mm]]+1.6</f>
        <v>1220.5999999999999</v>
      </c>
      <c r="R50" s="3">
        <f>Tablo244[[#This Row],[ÇAP mm]]-1.6</f>
        <v>1217.4000000000001</v>
      </c>
      <c r="S50" s="780">
        <f>IF(Tablo244[[#This Row],[ÇAP mm]]*0.005-4&lt;0,Tablo244[[#This Row],[ÇAP mm]]*1.005,Tablo244[[#This Row],[ÇAP mm]]+4)</f>
        <v>1223</v>
      </c>
      <c r="T50" s="18">
        <f>IF(Tablo244[[#This Row],[ÇAP mm]]*0.005-4&lt;0,Tablo244[[#This Row],[ÇAP mm]]*0.995,Tablo244[[#This Row],[ÇAP mm]]-4)</f>
        <v>1215</v>
      </c>
      <c r="U50" s="173">
        <f>Tablo244[[#This Row],[ÇAP mm]]/Tablo244[[#This Row],[Et Kalınlığı ]]</f>
        <v>85.24475524475524</v>
      </c>
      <c r="V50" s="60">
        <f>Tablo244[[#This Row],[ÇAP mm]]/Tablo244[[#This Row],[Et Kalınlığı 2]]</f>
        <v>69.657142857142858</v>
      </c>
      <c r="W50" s="60">
        <f>Tablo244[[#This Row],[ÇAP mm]]/Tablo244[[#This Row],[Et Kalınlığı 3]]</f>
        <v>59.174757281553397</v>
      </c>
      <c r="X50" s="61">
        <f>Tablo244[[#This Row],[ÇAP mm]]/Tablo244[[#This Row],[Et Kalınlığı 4]]</f>
        <v>54.909909909909913</v>
      </c>
      <c r="Y50" s="174">
        <f>Tablo244[[#This Row],[ÇAP mm]]/Tablo244[[#This Row],[Et Kalınlığı 5]]</f>
        <v>51.218487394957982</v>
      </c>
      <c r="Z50" s="7" t="str">
        <f>IF(Tablo244[[#This Row],[ÇAP mm]]/Tablo244[[#This Row],[Et Kalınlığı ]]&lt;75,Tablo244[[#This Row],[ÇAP mm]]*0.01/2,"Anlaşmaya bağlıdır.")</f>
        <v>Anlaşmaya bağlıdır.</v>
      </c>
      <c r="AA50" s="7" t="str">
        <f>IF(Tablo244[[#This Row],[ÇAP mm]]/Tablo244[[#This Row],[Et Kalınlığı ]]&lt;75,Tablo244[[#This Row],[ÇAP mm]]*0.015/2,"Anlaşmaya bağlıdır.")</f>
        <v>Anlaşmaya bağlıdır.</v>
      </c>
      <c r="AB50" s="8">
        <f>IF(Tablo244[[#This Row],[ÇAP mm]]/Tablo244[[#This Row],[Et Kalınlığı 2]]&lt;75,Tablo244[[#This Row],[ÇAP mm]]*0.01/2,"Anlaşmaya bağlıdır.")</f>
        <v>6.0949999999999998</v>
      </c>
      <c r="AC50" s="8">
        <f>IF(Tablo244[[#This Row],[ÇAP mm]]/Tablo244[[#This Row],[Et Kalınlığı 2]]&lt;75,Tablo244[[#This Row],[ÇAP mm]]*0.015,"Anlaşmaya bağlıdır.")</f>
        <v>18.285</v>
      </c>
      <c r="AD50" s="8">
        <f>IF(Tablo244[[#This Row],[ÇAP mm]]/Tablo244[[#This Row],[Et Kalınlığı 3]]&lt;75,Tablo244[[#This Row],[ÇAP mm]]*0.01/2,"Anlaşmaya bağlıdır.")</f>
        <v>6.0949999999999998</v>
      </c>
      <c r="AE50" s="8">
        <f>IF(Tablo244[[#This Row],[ÇAP mm]]/Tablo244[[#This Row],[Et Kalınlığı 3]]&lt;75,Tablo244[[#This Row],[ÇAP mm]]*0.015,"Anlaşmaya bağlıdır.")</f>
        <v>18.285</v>
      </c>
      <c r="AF50" s="8">
        <f>IF(Tablo244[[#This Row],[ÇAP mm]]/Tablo244[[#This Row],[Et Kalınlığı 4]]&lt;75,Tablo244[[#This Row],[ÇAP mm]]*0.015/2,"Anlaşmaya bağlıdır.")</f>
        <v>9.1425000000000001</v>
      </c>
      <c r="AG50" s="64">
        <f>IF(Tablo244[[#This Row],[ÇAP mm]]/Tablo244[[#This Row],[Et Kalınlığı 4]]&lt;75,Tablo244[[#This Row],[ÇAP mm]]*0.015,"Anlaşmaya bağlıdır.")</f>
        <v>18.285</v>
      </c>
      <c r="AH50" s="8">
        <f>IF(Tablo244[[#This Row],[ÇAP mm]]/Tablo244[[#This Row],[Et Kalınlığı 4]]&lt;75,Tablo244[[#This Row],[ÇAP mm]]*0.015/2,"Anlaşmaya bağlıdır.")</f>
        <v>9.1425000000000001</v>
      </c>
      <c r="AI50" s="8">
        <f>IF(Tablo244[[#This Row],[ÇAP mm]]/Tablo244[[#This Row],[Et Kalınlığı 5]]&lt;75,Tablo244[[#This Row],[ÇAP mm]]*0.015,"Anlaşmaya bağlıdır.")</f>
        <v>18.285</v>
      </c>
      <c r="AJ50" s="11">
        <f>IF(40*Tablo244[[#This Row],[Et Kalınlığı ]]&lt;485,Tablo244[[#This Row],[Et Kalınlığı ]]*40,485)</f>
        <v>485</v>
      </c>
      <c r="AK50" s="5">
        <f>1940*POWER(ROUND(AJ50,-1),0.2)/POWER(Tablo244[[#This Row],[Tensile Mpa]],0.9)</f>
        <v>23.459704754158476</v>
      </c>
      <c r="AL50" s="5">
        <f>IF(40*Tablo244[[#This Row],[Et Kalınlığı 2]]&lt;485,Tablo244[[#This Row],[Et Kalınlığı ]]*40,485)</f>
        <v>485</v>
      </c>
      <c r="AM50" s="5">
        <f>1940*POWER(ROUND(Tablo151[[#This Row],[Axc mm22]],-1),0.2)/POWER(Tablo244[[#This Row],[Tensile Mpa]],0.9)</f>
        <v>23.459704754158476</v>
      </c>
      <c r="AN50" s="5">
        <f>IF(40*Tablo244[[#This Row],[Et Kalınlığı 3]]&lt;485,Tablo244[[#This Row],[Et Kalınlığı ]]*40,485)</f>
        <v>485</v>
      </c>
      <c r="AO50" s="5">
        <f>1940*POWER(ROUND(Tablo151[[#This Row],[Axc mm23]],-1),0.2)/POWER(Tablo244[[#This Row],[Tensile Mpa]],0.9)</f>
        <v>23.459704754158476</v>
      </c>
      <c r="AP50" s="5">
        <f>IF(40*Tablo244[[#This Row],[Et Kalınlığı 4]]&lt;485,Tablo244[[#This Row],[Et Kalınlığı 4]]*40,485)</f>
        <v>485</v>
      </c>
      <c r="AQ50" s="12">
        <f>1940*POWER(ROUND(Tablo151[[#This Row],[Axc mm24]],-1),0.2)/POWER(Tablo244[[#This Row],[Tensile Mpa]],0.9)</f>
        <v>23.459704754158476</v>
      </c>
      <c r="AR50" s="5">
        <f>IF(40*Tablo244[[#This Row],[Et Kalınlığı 5]]&lt;485,Tablo244[[#This Row],[Et Kalınlığı 4]]*40,485)</f>
        <v>485</v>
      </c>
      <c r="AS50" s="64">
        <f>1940*POWER(ROUND(Tablo151[[#This Row],[Axc mm25]],-1),0.2)/POWER(Tablo244[[#This Row],[Tensile Mpa]],0.9)</f>
        <v>23.459704754158476</v>
      </c>
    </row>
    <row r="51" spans="2:45" ht="15.75" thickBot="1" x14ac:dyDescent="0.25">
      <c r="B51" s="43" t="s">
        <v>39</v>
      </c>
      <c r="C51" s="780">
        <v>1321</v>
      </c>
      <c r="D51" s="780" t="s">
        <v>25</v>
      </c>
      <c r="E51" s="44">
        <v>65300</v>
      </c>
      <c r="F51" s="45">
        <v>535</v>
      </c>
      <c r="G51" s="49">
        <v>15.9</v>
      </c>
      <c r="H51" s="50">
        <v>108.22142454708883</v>
      </c>
      <c r="I51" s="514">
        <v>19.100000000000001</v>
      </c>
      <c r="J51" s="50">
        <v>129.82481974949889</v>
      </c>
      <c r="K51" s="514">
        <v>22.2</v>
      </c>
      <c r="L51" s="53">
        <v>151.49636446358846</v>
      </c>
      <c r="M51" s="514">
        <v>23.8</v>
      </c>
      <c r="N51" s="52">
        <v>162.40028633231279</v>
      </c>
      <c r="O51" s="55">
        <v>27</v>
      </c>
      <c r="P51" s="50">
        <f>2*Tablo244[[#This Row],[SMYS Psi]]*Tablo244[[#This Row],[Et Kalınlığı 5]]/Tablo244[[#This Row],[ÇAP mm]]/14.50377</f>
        <v>184.04465928680779</v>
      </c>
      <c r="Q51" s="17">
        <f>Tablo244[[#This Row],[ÇAP mm]]+1.6</f>
        <v>1322.6</v>
      </c>
      <c r="R51" s="3">
        <f>Tablo244[[#This Row],[ÇAP mm]]-1.6</f>
        <v>1319.4</v>
      </c>
      <c r="S51" s="780">
        <f>IF(Tablo244[[#This Row],[ÇAP mm]]*0.005-4&lt;0,Tablo244[[#This Row],[ÇAP mm]]*1.005,Tablo244[[#This Row],[ÇAP mm]]+4)</f>
        <v>1325</v>
      </c>
      <c r="T51" s="18">
        <f>IF(Tablo244[[#This Row],[ÇAP mm]]*0.005-4&lt;0,Tablo244[[#This Row],[ÇAP mm]]*0.995,Tablo244[[#This Row],[ÇAP mm]]-4)</f>
        <v>1317</v>
      </c>
      <c r="U51" s="173">
        <f>Tablo244[[#This Row],[ÇAP mm]]/Tablo244[[#This Row],[Et Kalınlığı ]]</f>
        <v>83.081761006289312</v>
      </c>
      <c r="V51" s="60">
        <f>Tablo244[[#This Row],[ÇAP mm]]/Tablo244[[#This Row],[Et Kalınlığı 2]]</f>
        <v>69.162303664921467</v>
      </c>
      <c r="W51" s="60">
        <f>Tablo244[[#This Row],[ÇAP mm]]/Tablo244[[#This Row],[Et Kalınlığı 3]]</f>
        <v>59.504504504504503</v>
      </c>
      <c r="X51" s="61">
        <f>Tablo244[[#This Row],[ÇAP mm]]/Tablo244[[#This Row],[Et Kalınlığı 4]]</f>
        <v>55.504201680672267</v>
      </c>
      <c r="Y51" s="174">
        <f>Tablo244[[#This Row],[ÇAP mm]]/Tablo244[[#This Row],[Et Kalınlığı 5]]</f>
        <v>48.925925925925924</v>
      </c>
      <c r="Z51" s="7" t="str">
        <f>IF(Tablo244[[#This Row],[ÇAP mm]]/Tablo244[[#This Row],[Et Kalınlığı ]]&lt;75,Tablo244[[#This Row],[ÇAP mm]]*0.01/2,"Anlaşmaya bağlıdır.")</f>
        <v>Anlaşmaya bağlıdır.</v>
      </c>
      <c r="AA51" s="7" t="str">
        <f>IF(Tablo244[[#This Row],[ÇAP mm]]/Tablo244[[#This Row],[Et Kalınlığı ]]&lt;75,Tablo244[[#This Row],[ÇAP mm]]*0.015/2,"Anlaşmaya bağlıdır.")</f>
        <v>Anlaşmaya bağlıdır.</v>
      </c>
      <c r="AB51" s="8">
        <f>IF(Tablo244[[#This Row],[ÇAP mm]]/Tablo244[[#This Row],[Et Kalınlığı 2]]&lt;75,Tablo244[[#This Row],[ÇAP mm]]*0.01/2,"Anlaşmaya bağlıdır.")</f>
        <v>6.6050000000000004</v>
      </c>
      <c r="AC51" s="8">
        <f>IF(Tablo244[[#This Row],[ÇAP mm]]/Tablo244[[#This Row],[Et Kalınlığı 2]]&lt;75,Tablo244[[#This Row],[ÇAP mm]]*0.015,"Anlaşmaya bağlıdır.")</f>
        <v>19.814999999999998</v>
      </c>
      <c r="AD51" s="8">
        <f>IF(Tablo244[[#This Row],[ÇAP mm]]/Tablo244[[#This Row],[Et Kalınlığı 3]]&lt;75,Tablo244[[#This Row],[ÇAP mm]]*0.01/2,"Anlaşmaya bağlıdır.")</f>
        <v>6.6050000000000004</v>
      </c>
      <c r="AE51" s="8">
        <f>IF(Tablo244[[#This Row],[ÇAP mm]]/Tablo244[[#This Row],[Et Kalınlığı 3]]&lt;75,Tablo244[[#This Row],[ÇAP mm]]*0.015,"Anlaşmaya bağlıdır.")</f>
        <v>19.814999999999998</v>
      </c>
      <c r="AF51" s="8">
        <f>IF(Tablo244[[#This Row],[ÇAP mm]]/Tablo244[[#This Row],[Et Kalınlığı 4]]&lt;75,Tablo244[[#This Row],[ÇAP mm]]*0.015/2,"Anlaşmaya bağlıdır.")</f>
        <v>9.9074999999999989</v>
      </c>
      <c r="AG51" s="64">
        <f>IF(Tablo244[[#This Row],[ÇAP mm]]/Tablo244[[#This Row],[Et Kalınlığı 4]]&lt;75,Tablo244[[#This Row],[ÇAP mm]]*0.015,"Anlaşmaya bağlıdır.")</f>
        <v>19.814999999999998</v>
      </c>
      <c r="AH51" s="8">
        <f>IF(Tablo244[[#This Row],[ÇAP mm]]/Tablo244[[#This Row],[Et Kalınlığı 4]]&lt;75,Tablo244[[#This Row],[ÇAP mm]]*0.015/2,"Anlaşmaya bağlıdır.")</f>
        <v>9.9074999999999989</v>
      </c>
      <c r="AI51" s="8">
        <f>IF(Tablo244[[#This Row],[ÇAP mm]]/Tablo244[[#This Row],[Et Kalınlığı 5]]&lt;75,Tablo244[[#This Row],[ÇAP mm]]*0.015,"Anlaşmaya bağlıdır.")</f>
        <v>19.814999999999998</v>
      </c>
      <c r="AJ51" s="11">
        <f>IF(40*Tablo244[[#This Row],[Et Kalınlığı ]]&lt;485,Tablo244[[#This Row],[Et Kalınlığı ]]*40,485)</f>
        <v>485</v>
      </c>
      <c r="AK51" s="5">
        <f>1940*POWER(ROUND(AJ51,-1),0.2)/POWER(Tablo244[[#This Row],[Tensile Mpa]],0.9)</f>
        <v>23.459704754158476</v>
      </c>
      <c r="AL51" s="5">
        <f>IF(40*Tablo244[[#This Row],[Et Kalınlığı 2]]&lt;485,Tablo244[[#This Row],[Et Kalınlığı ]]*40,485)</f>
        <v>485</v>
      </c>
      <c r="AM51" s="5">
        <f>1940*POWER(ROUND(Tablo151[[#This Row],[Axc mm22]],-1),0.2)/POWER(Tablo244[[#This Row],[Tensile Mpa]],0.9)</f>
        <v>23.459704754158476</v>
      </c>
      <c r="AN51" s="5">
        <f>IF(40*Tablo244[[#This Row],[Et Kalınlığı 3]]&lt;485,Tablo244[[#This Row],[Et Kalınlığı ]]*40,485)</f>
        <v>485</v>
      </c>
      <c r="AO51" s="5">
        <f>1940*POWER(ROUND(Tablo151[[#This Row],[Axc mm23]],-1),0.2)/POWER(Tablo244[[#This Row],[Tensile Mpa]],0.9)</f>
        <v>23.459704754158476</v>
      </c>
      <c r="AP51" s="5">
        <f>IF(40*Tablo244[[#This Row],[Et Kalınlığı 4]]&lt;485,Tablo244[[#This Row],[Et Kalınlığı 4]]*40,485)</f>
        <v>485</v>
      </c>
      <c r="AQ51" s="12">
        <f>1940*POWER(ROUND(Tablo151[[#This Row],[Axc mm24]],-1),0.2)/POWER(Tablo244[[#This Row],[Tensile Mpa]],0.9)</f>
        <v>23.459704754158476</v>
      </c>
      <c r="AR51" s="5">
        <f>IF(40*Tablo244[[#This Row],[Et Kalınlığı 5]]&lt;485,Tablo244[[#This Row],[Et Kalınlığı 4]]*40,485)</f>
        <v>485</v>
      </c>
      <c r="AS51" s="64">
        <f>1940*POWER(ROUND(Tablo151[[#This Row],[Axc mm25]],-1),0.2)/POWER(Tablo244[[#This Row],[Tensile Mpa]],0.9)</f>
        <v>23.459704754158476</v>
      </c>
    </row>
    <row r="52" spans="2:45" x14ac:dyDescent="0.2">
      <c r="B52" s="43" t="s">
        <v>40</v>
      </c>
      <c r="C52" s="780">
        <v>1422</v>
      </c>
      <c r="D52" s="780" t="s">
        <v>25</v>
      </c>
      <c r="E52" s="44">
        <v>65300</v>
      </c>
      <c r="F52" s="45">
        <v>535</v>
      </c>
      <c r="G52" s="49">
        <v>17.5</v>
      </c>
      <c r="H52" s="50">
        <v>110.6642634425381</v>
      </c>
      <c r="I52" s="514">
        <v>20.6</v>
      </c>
      <c r="J52" s="50">
        <v>130.54331305406956</v>
      </c>
      <c r="K52" s="514">
        <v>23.8</v>
      </c>
      <c r="L52" s="53">
        <v>150.86552619197269</v>
      </c>
      <c r="M52" s="514">
        <v>25.4</v>
      </c>
      <c r="N52" s="52">
        <v>160.80505099773845</v>
      </c>
      <c r="O52" s="50">
        <v>28.6</v>
      </c>
      <c r="P52" s="50">
        <f>2*Tablo244[[#This Row],[SMYS Psi]]*Tablo244[[#This Row],[Et Kalınlığı 5]]/Tablo244[[#This Row],[ÇAP mm]]/14.50377</f>
        <v>181.10427813333254</v>
      </c>
      <c r="Q52" s="17">
        <f>Tablo244[[#This Row],[ÇAP mm]]+1.6</f>
        <v>1423.6</v>
      </c>
      <c r="R52" s="3">
        <f>Tablo244[[#This Row],[ÇAP mm]]-1.6</f>
        <v>1420.4</v>
      </c>
      <c r="S52" s="780">
        <f>IF(Tablo244[[#This Row],[ÇAP mm]]*0.005-4&lt;0,Tablo244[[#This Row],[ÇAP mm]]*1.005,Tablo244[[#This Row],[ÇAP mm]]+4)</f>
        <v>1426</v>
      </c>
      <c r="T52" s="18">
        <f>IF(Tablo244[[#This Row],[ÇAP mm]]*0.005-4&lt;0,Tablo244[[#This Row],[ÇAP mm]]*0.995,Tablo244[[#This Row],[ÇAP mm]]-4)</f>
        <v>1418</v>
      </c>
      <c r="U52" s="173">
        <f>Tablo244[[#This Row],[ÇAP mm]]/Tablo244[[#This Row],[Et Kalınlığı ]]</f>
        <v>81.257142857142853</v>
      </c>
      <c r="V52" s="60">
        <f>Tablo244[[#This Row],[ÇAP mm]]/Tablo244[[#This Row],[Et Kalınlığı 2]]</f>
        <v>69.029126213592235</v>
      </c>
      <c r="W52" s="60">
        <f>Tablo244[[#This Row],[ÇAP mm]]/Tablo244[[#This Row],[Et Kalınlığı 3]]</f>
        <v>59.747899159663866</v>
      </c>
      <c r="X52" s="61">
        <f>Tablo244[[#This Row],[ÇAP mm]]/Tablo244[[#This Row],[Et Kalınlığı 4]]</f>
        <v>55.984251968503941</v>
      </c>
      <c r="Y52" s="174">
        <f>Tablo244[[#This Row],[ÇAP mm]]/Tablo244[[#This Row],[Et Kalınlığı 5]]</f>
        <v>49.72027972027972</v>
      </c>
      <c r="Z52" s="7" t="str">
        <f>IF(Tablo244[[#This Row],[ÇAP mm]]/Tablo244[[#This Row],[Et Kalınlığı ]]&lt;75,Tablo244[[#This Row],[ÇAP mm]]*0.01/2,"Anlaşmaya bağlıdır.")</f>
        <v>Anlaşmaya bağlıdır.</v>
      </c>
      <c r="AA52" s="7" t="str">
        <f>IF(Tablo244[[#This Row],[ÇAP mm]]/Tablo244[[#This Row],[Et Kalınlığı ]]&lt;75,Tablo244[[#This Row],[ÇAP mm]]*0.015/2,"Anlaşmaya bağlıdır.")</f>
        <v>Anlaşmaya bağlıdır.</v>
      </c>
      <c r="AB52" s="8">
        <f>IF(Tablo244[[#This Row],[ÇAP mm]]/Tablo244[[#This Row],[Et Kalınlığı 2]]&lt;75,Tablo244[[#This Row],[ÇAP mm]]*0.01/2,"Anlaşmaya bağlıdır.")</f>
        <v>7.11</v>
      </c>
      <c r="AC52" s="8">
        <f>IF(Tablo244[[#This Row],[ÇAP mm]]/Tablo244[[#This Row],[Et Kalınlığı 2]]&lt;75,Tablo244[[#This Row],[ÇAP mm]]*0.015,"Anlaşmaya bağlıdır.")</f>
        <v>21.33</v>
      </c>
      <c r="AD52" s="8">
        <f>IF(Tablo244[[#This Row],[ÇAP mm]]/Tablo244[[#This Row],[Et Kalınlığı 3]]&lt;75,Tablo244[[#This Row],[ÇAP mm]]*0.01/2,"Anlaşmaya bağlıdır.")</f>
        <v>7.11</v>
      </c>
      <c r="AE52" s="8">
        <f>IF(Tablo244[[#This Row],[ÇAP mm]]/Tablo244[[#This Row],[Et Kalınlığı 3]]&lt;75,Tablo244[[#This Row],[ÇAP mm]]*0.015,"Anlaşmaya bağlıdır.")</f>
        <v>21.33</v>
      </c>
      <c r="AF52" s="8">
        <f>IF(Tablo244[[#This Row],[ÇAP mm]]/Tablo244[[#This Row],[Et Kalınlığı 4]]&lt;75,Tablo244[[#This Row],[ÇAP mm]]*0.015/2,"Anlaşmaya bağlıdır.")</f>
        <v>10.664999999999999</v>
      </c>
      <c r="AG52" s="64">
        <f>IF(Tablo244[[#This Row],[ÇAP mm]]/Tablo244[[#This Row],[Et Kalınlığı 4]]&lt;75,Tablo244[[#This Row],[ÇAP mm]]*0.015,"Anlaşmaya bağlıdır.")</f>
        <v>21.33</v>
      </c>
      <c r="AH52" s="8">
        <f>IF(Tablo244[[#This Row],[ÇAP mm]]/Tablo244[[#This Row],[Et Kalınlığı 4]]&lt;75,Tablo244[[#This Row],[ÇAP mm]]*0.015/2,"Anlaşmaya bağlıdır.")</f>
        <v>10.664999999999999</v>
      </c>
      <c r="AI52" s="8">
        <f>IF(Tablo244[[#This Row],[ÇAP mm]]/Tablo244[[#This Row],[Et Kalınlığı 5]]&lt;75,Tablo244[[#This Row],[ÇAP mm]]*0.015,"Anlaşmaya bağlıdır.")</f>
        <v>21.33</v>
      </c>
      <c r="AJ52" s="11">
        <f>IF(40*Tablo244[[#This Row],[Et Kalınlığı ]]&lt;485,Tablo244[[#This Row],[Et Kalınlığı ]]*40,485)</f>
        <v>485</v>
      </c>
      <c r="AK52" s="5">
        <f>1940*POWER(ROUND(AJ52,-1),0.2)/POWER(Tablo244[[#This Row],[Tensile Mpa]],0.9)</f>
        <v>23.459704754158476</v>
      </c>
      <c r="AL52" s="5">
        <f>IF(40*Tablo244[[#This Row],[Et Kalınlığı 2]]&lt;485,Tablo244[[#This Row],[Et Kalınlığı ]]*40,485)</f>
        <v>485</v>
      </c>
      <c r="AM52" s="5">
        <f>1940*POWER(ROUND(Tablo151[[#This Row],[Axc mm22]],-1),0.2)/POWER(Tablo244[[#This Row],[Tensile Mpa]],0.9)</f>
        <v>23.459704754158476</v>
      </c>
      <c r="AN52" s="5">
        <f>IF(40*Tablo244[[#This Row],[Et Kalınlığı 3]]&lt;485,Tablo244[[#This Row],[Et Kalınlığı ]]*40,485)</f>
        <v>485</v>
      </c>
      <c r="AO52" s="5">
        <f>1940*POWER(ROUND(Tablo151[[#This Row],[Axc mm23]],-1),0.2)/POWER(Tablo244[[#This Row],[Tensile Mpa]],0.9)</f>
        <v>23.459704754158476</v>
      </c>
      <c r="AP52" s="5">
        <f>IF(40*Tablo244[[#This Row],[Et Kalınlığı 4]]&lt;485,Tablo244[[#This Row],[Et Kalınlığı 4]]*40,485)</f>
        <v>485</v>
      </c>
      <c r="AQ52" s="12">
        <f>1940*POWER(ROUND(Tablo151[[#This Row],[Axc mm24]],-1),0.2)/POWER(Tablo244[[#This Row],[Tensile Mpa]],0.9)</f>
        <v>23.459704754158476</v>
      </c>
      <c r="AR52" s="5">
        <f>IF(40*Tablo244[[#This Row],[Et Kalınlığı 5]]&lt;485,Tablo244[[#This Row],[Et Kalınlığı 4]]*40,485)</f>
        <v>485</v>
      </c>
      <c r="AS52" s="64">
        <f>1940*POWER(ROUND(Tablo151[[#This Row],[Axc mm25]],-1),0.2)/POWER(Tablo244[[#This Row],[Tensile Mpa]],0.9)</f>
        <v>23.459704754158476</v>
      </c>
    </row>
    <row r="53" spans="2:45" ht="15.75" thickBot="1" x14ac:dyDescent="0.25">
      <c r="B53" s="46" t="s">
        <v>41</v>
      </c>
      <c r="C53" s="22">
        <v>1524</v>
      </c>
      <c r="D53" s="22" t="s">
        <v>25</v>
      </c>
      <c r="E53" s="47">
        <v>65300</v>
      </c>
      <c r="F53" s="48">
        <v>535</v>
      </c>
      <c r="G53" s="54">
        <v>19.100000000000001</v>
      </c>
      <c r="H53" s="55">
        <v>112.53188116081891</v>
      </c>
      <c r="I53" s="56">
        <v>22.2</v>
      </c>
      <c r="J53" s="55">
        <v>131.31673061443595</v>
      </c>
      <c r="K53" s="56">
        <v>25.4</v>
      </c>
      <c r="L53" s="57">
        <v>150.04250821442523</v>
      </c>
      <c r="M53" s="56">
        <v>27</v>
      </c>
      <c r="N53" s="58">
        <v>159.31678923397826</v>
      </c>
      <c r="O53" s="55">
        <v>30.2</v>
      </c>
      <c r="P53" s="55">
        <f>2*Tablo244[[#This Row],[SMYS Psi]]*Tablo244[[#This Row],[Et Kalınlığı 5]]/Tablo244[[#This Row],[ÇAP mm]]/14.50377</f>
        <v>178.43672709535741</v>
      </c>
      <c r="Q53" s="20">
        <f>Tablo244[[#This Row],[ÇAP mm]]+1.6</f>
        <v>1525.6</v>
      </c>
      <c r="R53" s="21">
        <f>Tablo244[[#This Row],[ÇAP mm]]-1.6</f>
        <v>1522.4</v>
      </c>
      <c r="S53" s="22">
        <f>IF(Tablo244[[#This Row],[ÇAP mm]]*0.005-4&lt;0,Tablo244[[#This Row],[ÇAP mm]]*1.005,Tablo244[[#This Row],[ÇAP mm]]+4)</f>
        <v>1528</v>
      </c>
      <c r="T53" s="23">
        <f>IF(Tablo244[[#This Row],[ÇAP mm]]*0.005-4&lt;0,Tablo244[[#This Row],[ÇAP mm]]*0.995,Tablo244[[#This Row],[ÇAP mm]]-4)</f>
        <v>1520</v>
      </c>
      <c r="U53" s="46">
        <f>Tablo244[[#This Row],[ÇAP mm]]/Tablo244[[#This Row],[Et Kalınlığı ]]</f>
        <v>79.790575916230367</v>
      </c>
      <c r="V53" s="62">
        <f>Tablo244[[#This Row],[ÇAP mm]]/Tablo244[[#This Row],[Et Kalınlığı 2]]</f>
        <v>68.648648648648646</v>
      </c>
      <c r="W53" s="62">
        <f>Tablo244[[#This Row],[ÇAP mm]]/Tablo244[[#This Row],[Et Kalınlığı 3]]</f>
        <v>60</v>
      </c>
      <c r="X53" s="63">
        <f>Tablo244[[#This Row],[ÇAP mm]]/Tablo244[[#This Row],[Et Kalınlığı 4]]</f>
        <v>56.444444444444443</v>
      </c>
      <c r="Y53" s="175">
        <f>Tablo244[[#This Row],[ÇAP mm]]/Tablo244[[#This Row],[Et Kalınlığı 5]]</f>
        <v>50.463576158940398</v>
      </c>
      <c r="Z53" s="9" t="str">
        <f>IF(Tablo244[[#This Row],[ÇAP mm]]/Tablo244[[#This Row],[Et Kalınlığı ]]&lt;75,Tablo244[[#This Row],[ÇAP mm]]*0.01/2,"Anlaşmaya bağlıdır.")</f>
        <v>Anlaşmaya bağlıdır.</v>
      </c>
      <c r="AA53" s="9" t="str">
        <f>IF(Tablo244[[#This Row],[ÇAP mm]]/Tablo244[[#This Row],[Et Kalınlığı ]]&lt;75,Tablo244[[#This Row],[ÇAP mm]]*0.015/2,"Anlaşmaya bağlıdır.")</f>
        <v>Anlaşmaya bağlıdır.</v>
      </c>
      <c r="AB53" s="10">
        <f>IF(Tablo244[[#This Row],[ÇAP mm]]/Tablo244[[#This Row],[Et Kalınlığı 2]]&lt;75,Tablo244[[#This Row],[ÇAP mm]]*0.01/2,"Anlaşmaya bağlıdır.")</f>
        <v>7.62</v>
      </c>
      <c r="AC53" s="8">
        <f>IF(Tablo244[[#This Row],[ÇAP mm]]/Tablo244[[#This Row],[Et Kalınlığı 2]]&lt;75,Tablo244[[#This Row],[ÇAP mm]]*0.015,"Anlaşmaya bağlıdır.")</f>
        <v>22.86</v>
      </c>
      <c r="AD53" s="10">
        <f>IF(Tablo244[[#This Row],[ÇAP mm]]/Tablo244[[#This Row],[Et Kalınlığı 3]]&lt;75,Tablo244[[#This Row],[ÇAP mm]]*0.01/2,"Anlaşmaya bağlıdır.")</f>
        <v>7.62</v>
      </c>
      <c r="AE53" s="8">
        <f>IF(Tablo244[[#This Row],[ÇAP mm]]/Tablo244[[#This Row],[Et Kalınlığı 3]]&lt;75,Tablo244[[#This Row],[ÇAP mm]]*0.015,"Anlaşmaya bağlıdır.")</f>
        <v>22.86</v>
      </c>
      <c r="AF53" s="8">
        <f>IF(Tablo244[[#This Row],[ÇAP mm]]/Tablo244[[#This Row],[Et Kalınlığı 4]]&lt;75,Tablo244[[#This Row],[ÇAP mm]]*0.015/2,"Anlaşmaya bağlıdır.")</f>
        <v>11.43</v>
      </c>
      <c r="AG53" s="64">
        <f>IF(Tablo244[[#This Row],[ÇAP mm]]/Tablo244[[#This Row],[Et Kalınlığı 4]]&lt;75,Tablo244[[#This Row],[ÇAP mm]]*0.015,"Anlaşmaya bağlıdır.")</f>
        <v>22.86</v>
      </c>
      <c r="AH53" s="8">
        <f>IF(Tablo244[[#This Row],[ÇAP mm]]/Tablo244[[#This Row],[Et Kalınlığı 4]]&lt;75,Tablo244[[#This Row],[ÇAP mm]]*0.015/2,"Anlaşmaya bağlıdır.")</f>
        <v>11.43</v>
      </c>
      <c r="AI53" s="8">
        <f>IF(Tablo244[[#This Row],[ÇAP mm]]/Tablo244[[#This Row],[Et Kalınlığı 5]]&lt;75,Tablo244[[#This Row],[ÇAP mm]]*0.015,"Anlaşmaya bağlıdır.")</f>
        <v>22.86</v>
      </c>
      <c r="AJ53" s="11">
        <f>IF(40*Tablo244[[#This Row],[Et Kalınlığı ]]&lt;485,Tablo244[[#This Row],[Et Kalınlığı ]]*40,485)</f>
        <v>485</v>
      </c>
      <c r="AK53" s="13">
        <f>1940*POWER(ROUND(AJ53,-1),0.2)/POWER(Tablo244[[#This Row],[Tensile Mpa]],0.9)</f>
        <v>23.459704754158476</v>
      </c>
      <c r="AL53" s="5">
        <f>IF(40*Tablo244[[#This Row],[Et Kalınlığı 2]]&lt;485,Tablo244[[#This Row],[Et Kalınlığı ]]*40,485)</f>
        <v>485</v>
      </c>
      <c r="AM53" s="13">
        <f>1940*POWER(ROUND(Tablo151[[#This Row],[Axc mm22]],-1),0.2)/POWER(Tablo244[[#This Row],[Tensile Mpa]],0.9)</f>
        <v>23.459704754158476</v>
      </c>
      <c r="AN53" s="5">
        <f>IF(40*Tablo244[[#This Row],[Et Kalınlığı 3]]&lt;485,Tablo244[[#This Row],[Et Kalınlığı ]]*40,485)</f>
        <v>485</v>
      </c>
      <c r="AO53" s="13">
        <f>1940*POWER(ROUND(Tablo151[[#This Row],[Axc mm23]],-1),0.2)/POWER(Tablo244[[#This Row],[Tensile Mpa]],0.9)</f>
        <v>23.459704754158476</v>
      </c>
      <c r="AP53" s="5">
        <f>IF(40*Tablo244[[#This Row],[Et Kalınlığı 4]]&lt;485,Tablo244[[#This Row],[Et Kalınlığı 4]]*40,485)</f>
        <v>485</v>
      </c>
      <c r="AQ53" s="170">
        <f>1940*POWER(ROUND(Tablo151[[#This Row],[Axc mm24]],-1),0.2)/POWER(Tablo244[[#This Row],[Tensile Mpa]],0.9)</f>
        <v>23.459704754158476</v>
      </c>
      <c r="AR53" s="13">
        <f>IF(40*Tablo244[[#This Row],[Et Kalınlığı 5]]&lt;485,Tablo244[[#This Row],[Et Kalınlığı 4]]*40,485)</f>
        <v>485</v>
      </c>
      <c r="AS53" s="480">
        <f>1940*POWER(ROUND(Tablo151[[#This Row],[Axc mm25]],-1),0.2)/POWER(Tablo244[[#This Row],[Tensile Mpa]],0.9)</f>
        <v>23.459704754158476</v>
      </c>
    </row>
    <row r="54" spans="2:45" x14ac:dyDescent="0.2">
      <c r="G54" s="513"/>
      <c r="H54" s="59">
        <v>104.42652757603616</v>
      </c>
      <c r="I54" s="513"/>
      <c r="J54" s="59">
        <v>125.09014360983809</v>
      </c>
      <c r="K54" s="513"/>
      <c r="L54" s="59">
        <v>150.04250821442523</v>
      </c>
      <c r="M54" s="513"/>
      <c r="N54" s="59">
        <v>159.31678923397826</v>
      </c>
      <c r="O54" s="59"/>
      <c r="P54" s="59"/>
    </row>
    <row r="55" spans="2:45" x14ac:dyDescent="0.2">
      <c r="AK55" s="1"/>
      <c r="AN55" s="1"/>
    </row>
    <row r="58" spans="2:45" x14ac:dyDescent="0.2">
      <c r="L58" s="289">
        <f>'Boru Seçim-Kontrol Aracı'!J8/'Boru Seçim-Kontrol Aracı'!J10</f>
        <v>27.430972388955581</v>
      </c>
    </row>
    <row r="103" spans="3:5" x14ac:dyDescent="0.2">
      <c r="C103" s="30"/>
      <c r="D103" s="30"/>
      <c r="E103" s="30"/>
    </row>
  </sheetData>
  <mergeCells count="29">
    <mergeCell ref="Z18:AA18"/>
    <mergeCell ref="AN18:AO18"/>
    <mergeCell ref="AP18:AQ18"/>
    <mergeCell ref="AR18:AS18"/>
    <mergeCell ref="AB18:AC18"/>
    <mergeCell ref="AD18:AE18"/>
    <mergeCell ref="AF18:AG18"/>
    <mergeCell ref="AH18:AI18"/>
    <mergeCell ref="AJ18:AK18"/>
    <mergeCell ref="AL18:AM18"/>
    <mergeCell ref="G18:H18"/>
    <mergeCell ref="I18:J18"/>
    <mergeCell ref="K18:L18"/>
    <mergeCell ref="M18:N18"/>
    <mergeCell ref="O18:P18"/>
    <mergeCell ref="G16:N16"/>
    <mergeCell ref="O16:P16"/>
    <mergeCell ref="Z16:AI16"/>
    <mergeCell ref="AJ16:AS16"/>
    <mergeCell ref="G17:L17"/>
    <mergeCell ref="M17:N17"/>
    <mergeCell ref="O17:P17"/>
    <mergeCell ref="Q17:T17"/>
    <mergeCell ref="U17:W17"/>
    <mergeCell ref="X17:Y17"/>
    <mergeCell ref="Z17:AE17"/>
    <mergeCell ref="AF17:AI17"/>
    <mergeCell ref="AJ17:AO17"/>
    <mergeCell ref="AP17:AS17"/>
  </mergeCells>
  <pageMargins left="0.7" right="0.7" top="0.75" bottom="0.75" header="0.3" footer="0.3"/>
  <pageSetup paperSize="9" scale="19" orientation="portrait" horizontalDpi="360" verticalDpi="360" r:id="rId1"/>
  <drawing r:id="rId2"/>
  <tableParts count="4">
    <tablePart r:id="rId3"/>
    <tablePart r:id="rId4"/>
    <tablePart r:id="rId5"/>
    <tablePart r:id="rId6"/>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ublished="0" codeName="Sayfa2"/>
  <dimension ref="A2:AS103"/>
  <sheetViews>
    <sheetView view="pageBreakPreview" topLeftCell="A7" zoomScale="85" zoomScaleNormal="85" zoomScaleSheetLayoutView="85" workbookViewId="0">
      <selection activeCell="B21" sqref="B21:P53"/>
    </sheetView>
  </sheetViews>
  <sheetFormatPr defaultRowHeight="15" x14ac:dyDescent="0.2"/>
  <cols>
    <col min="2" max="2" width="6.859375" customWidth="1"/>
    <col min="3" max="3" width="7.26171875" customWidth="1"/>
    <col min="4" max="4" width="8.875" customWidth="1"/>
    <col min="5" max="5" width="11.43359375" bestFit="1" customWidth="1"/>
    <col min="6" max="6" width="14.125" bestFit="1" customWidth="1"/>
    <col min="7" max="7" width="10.89453125" customWidth="1"/>
    <col min="8" max="8" width="14.66015625" bestFit="1" customWidth="1"/>
    <col min="9" max="9" width="14.390625" bestFit="1" customWidth="1"/>
    <col min="10" max="10" width="11.56640625" bestFit="1" customWidth="1"/>
    <col min="11" max="11" width="14.390625" bestFit="1" customWidth="1"/>
    <col min="12" max="12" width="11.56640625" bestFit="1" customWidth="1"/>
    <col min="13" max="13" width="13.98828125" customWidth="1"/>
    <col min="14" max="14" width="11.56640625" bestFit="1" customWidth="1"/>
    <col min="15" max="15" width="14.390625" bestFit="1" customWidth="1"/>
    <col min="16" max="16" width="11.56640625" bestFit="1" customWidth="1"/>
    <col min="17" max="17" width="12.10546875" customWidth="1"/>
    <col min="18" max="18" width="11.296875" customWidth="1"/>
    <col min="19" max="19" width="12.9140625" customWidth="1"/>
    <col min="20" max="20" width="13.046875" customWidth="1"/>
    <col min="21" max="21" width="8.875" customWidth="1"/>
    <col min="22" max="22" width="9.14453125" customWidth="1"/>
    <col min="23" max="23" width="9.28125" customWidth="1"/>
    <col min="24" max="25" width="9.55078125" customWidth="1"/>
    <col min="26" max="26" width="10.89453125" customWidth="1"/>
    <col min="27" max="27" width="11.1640625" customWidth="1"/>
    <col min="28" max="28" width="8.609375" customWidth="1"/>
    <col min="29" max="29" width="11.02734375" customWidth="1"/>
    <col min="30" max="30" width="7.93359375" customWidth="1"/>
    <col min="31" max="31" width="11.1640625" customWidth="1"/>
    <col min="32" max="32" width="7.93359375" customWidth="1"/>
    <col min="33" max="35" width="11.43359375" customWidth="1"/>
    <col min="36" max="36" width="8.0703125" bestFit="1" customWidth="1"/>
    <col min="37" max="37" width="9.55078125" bestFit="1" customWidth="1"/>
    <col min="38" max="38" width="12.64453125" bestFit="1" customWidth="1"/>
    <col min="39" max="39" width="10.4921875" bestFit="1" customWidth="1"/>
    <col min="40" max="40" width="9.28125" bestFit="1" customWidth="1"/>
    <col min="41" max="41" width="10.4921875" bestFit="1" customWidth="1"/>
    <col min="42" max="42" width="12.64453125" bestFit="1" customWidth="1"/>
    <col min="43" max="43" width="10.4921875" bestFit="1" customWidth="1"/>
    <col min="44" max="44" width="12.375" customWidth="1"/>
    <col min="45" max="45" width="10.4921875" customWidth="1"/>
  </cols>
  <sheetData>
    <row r="2" spans="2:45" x14ac:dyDescent="0.2">
      <c r="B2" s="119" t="s">
        <v>284</v>
      </c>
    </row>
    <row r="3" spans="2:45" x14ac:dyDescent="0.2">
      <c r="B3" s="119" t="s">
        <v>285</v>
      </c>
    </row>
    <row r="4" spans="2:45" x14ac:dyDescent="0.2">
      <c r="B4" s="119" t="s">
        <v>286</v>
      </c>
    </row>
    <row r="5" spans="2:45" x14ac:dyDescent="0.2">
      <c r="B5" s="119" t="s">
        <v>287</v>
      </c>
    </row>
    <row r="6" spans="2:45" x14ac:dyDescent="0.2">
      <c r="B6" s="119" t="s">
        <v>288</v>
      </c>
    </row>
    <row r="7" spans="2:45" x14ac:dyDescent="0.2">
      <c r="B7" s="119"/>
    </row>
    <row r="8" spans="2:45" x14ac:dyDescent="0.2">
      <c r="B8" s="119"/>
    </row>
    <row r="11" spans="2:45" x14ac:dyDescent="0.2">
      <c r="B11" t="e">
        <f>VLOOKUP('Et Kalınlığı Hesaplama'!E5,Tablo2[ÇAP mm],6,FALSE)</f>
        <v>#REF!</v>
      </c>
    </row>
    <row r="15" spans="2:45" ht="15.75" thickBot="1" x14ac:dyDescent="0.25"/>
    <row r="16" spans="2:45" ht="15.75" thickBot="1" x14ac:dyDescent="0.25">
      <c r="G16" s="1048" t="s">
        <v>76</v>
      </c>
      <c r="H16" s="1049"/>
      <c r="I16" s="1049"/>
      <c r="J16" s="1049"/>
      <c r="K16" s="1049"/>
      <c r="L16" s="1049"/>
      <c r="M16" s="1049"/>
      <c r="N16" s="1050"/>
      <c r="O16" s="1048" t="s">
        <v>518</v>
      </c>
      <c r="P16" s="1050"/>
      <c r="Z16" s="1048" t="s">
        <v>52</v>
      </c>
      <c r="AA16" s="1049"/>
      <c r="AB16" s="1049"/>
      <c r="AC16" s="1049"/>
      <c r="AD16" s="1049"/>
      <c r="AE16" s="1049"/>
      <c r="AF16" s="1049"/>
      <c r="AG16" s="1049"/>
      <c r="AH16" s="1049"/>
      <c r="AI16" s="1049"/>
      <c r="AJ16" s="1048" t="s">
        <v>64</v>
      </c>
      <c r="AK16" s="1049"/>
      <c r="AL16" s="1049"/>
      <c r="AM16" s="1049"/>
      <c r="AN16" s="1049"/>
      <c r="AO16" s="1049"/>
      <c r="AP16" s="1049"/>
      <c r="AQ16" s="1049"/>
      <c r="AR16" s="1049"/>
      <c r="AS16" s="1050"/>
    </row>
    <row r="17" spans="1:45" ht="15.75" thickBot="1" x14ac:dyDescent="0.25">
      <c r="G17" s="1051" t="s">
        <v>77</v>
      </c>
      <c r="H17" s="1052"/>
      <c r="I17" s="1052"/>
      <c r="J17" s="1052"/>
      <c r="K17" s="1052"/>
      <c r="L17" s="1052"/>
      <c r="M17" s="1052" t="s">
        <v>78</v>
      </c>
      <c r="N17" s="1053"/>
      <c r="O17" s="1052" t="s">
        <v>78</v>
      </c>
      <c r="P17" s="1053"/>
      <c r="Q17" s="1054" t="s">
        <v>53</v>
      </c>
      <c r="R17" s="1055"/>
      <c r="S17" s="1055"/>
      <c r="T17" s="1055"/>
      <c r="U17" s="1056" t="s">
        <v>540</v>
      </c>
      <c r="V17" s="1057"/>
      <c r="W17" s="1057"/>
      <c r="X17" s="1057" t="s">
        <v>78</v>
      </c>
      <c r="Y17" s="1058"/>
      <c r="Z17" s="1059" t="s">
        <v>77</v>
      </c>
      <c r="AA17" s="1060"/>
      <c r="AB17" s="1060"/>
      <c r="AC17" s="1060"/>
      <c r="AD17" s="1060"/>
      <c r="AE17" s="1060"/>
      <c r="AF17" s="1061" t="s">
        <v>78</v>
      </c>
      <c r="AG17" s="1055"/>
      <c r="AH17" s="1055"/>
      <c r="AI17" s="1055"/>
      <c r="AJ17" s="1062" t="s">
        <v>77</v>
      </c>
      <c r="AK17" s="1063"/>
      <c r="AL17" s="1063"/>
      <c r="AM17" s="1063"/>
      <c r="AN17" s="1063"/>
      <c r="AO17" s="1063"/>
      <c r="AP17" s="1064" t="s">
        <v>78</v>
      </c>
      <c r="AQ17" s="1065"/>
      <c r="AR17" s="1065"/>
      <c r="AS17" s="1066"/>
    </row>
    <row r="18" spans="1:45" x14ac:dyDescent="0.2">
      <c r="G18" s="1067" t="s">
        <v>49</v>
      </c>
      <c r="H18" s="1068"/>
      <c r="I18" s="1068" t="s">
        <v>50</v>
      </c>
      <c r="J18" s="1068"/>
      <c r="K18" s="1068" t="s">
        <v>51</v>
      </c>
      <c r="L18" s="1068"/>
      <c r="M18" s="1068" t="s">
        <v>51</v>
      </c>
      <c r="N18" s="1069"/>
      <c r="O18" s="1068" t="s">
        <v>51</v>
      </c>
      <c r="P18" s="1070"/>
      <c r="Q18" s="176"/>
      <c r="R18" s="177"/>
      <c r="S18" s="177"/>
      <c r="T18" s="178"/>
      <c r="U18" s="171" t="s">
        <v>49</v>
      </c>
      <c r="V18" s="168" t="s">
        <v>58</v>
      </c>
      <c r="W18" s="168" t="s">
        <v>57</v>
      </c>
      <c r="X18" s="168" t="s">
        <v>57</v>
      </c>
      <c r="Y18" s="172" t="s">
        <v>57</v>
      </c>
      <c r="Z18" s="1071" t="s">
        <v>49</v>
      </c>
      <c r="AA18" s="1072"/>
      <c r="AB18" s="1072" t="s">
        <v>58</v>
      </c>
      <c r="AC18" s="1072"/>
      <c r="AD18" s="1072" t="s">
        <v>57</v>
      </c>
      <c r="AE18" s="1072"/>
      <c r="AF18" s="1072" t="s">
        <v>57</v>
      </c>
      <c r="AG18" s="1072"/>
      <c r="AH18" s="1072" t="s">
        <v>57</v>
      </c>
      <c r="AI18" s="1076"/>
      <c r="AJ18" s="1077" t="s">
        <v>49</v>
      </c>
      <c r="AK18" s="1073"/>
      <c r="AL18" s="1073" t="s">
        <v>58</v>
      </c>
      <c r="AM18" s="1073"/>
      <c r="AN18" s="1073" t="s">
        <v>57</v>
      </c>
      <c r="AO18" s="1073"/>
      <c r="AP18" s="1073" t="s">
        <v>57</v>
      </c>
      <c r="AQ18" s="1073"/>
      <c r="AR18" s="1074" t="s">
        <v>539</v>
      </c>
      <c r="AS18" s="1075"/>
    </row>
    <row r="19" spans="1:45" ht="15.75" thickBot="1" x14ac:dyDescent="0.25">
      <c r="B19">
        <v>1</v>
      </c>
      <c r="C19">
        <v>2</v>
      </c>
      <c r="D19">
        <v>3</v>
      </c>
      <c r="E19">
        <v>4</v>
      </c>
      <c r="F19">
        <v>5</v>
      </c>
      <c r="G19">
        <v>6</v>
      </c>
      <c r="H19">
        <v>7</v>
      </c>
      <c r="I19">
        <v>8</v>
      </c>
      <c r="J19">
        <v>9</v>
      </c>
      <c r="K19">
        <v>10</v>
      </c>
      <c r="L19">
        <v>11</v>
      </c>
      <c r="M19">
        <v>12</v>
      </c>
      <c r="N19">
        <v>13</v>
      </c>
      <c r="O19">
        <v>14</v>
      </c>
      <c r="P19">
        <v>15</v>
      </c>
      <c r="Q19" s="6">
        <v>16</v>
      </c>
      <c r="R19" s="7">
        <v>17</v>
      </c>
      <c r="S19" s="7">
        <v>18</v>
      </c>
      <c r="T19" s="169">
        <v>19</v>
      </c>
      <c r="U19" s="6">
        <v>20</v>
      </c>
      <c r="V19" s="7">
        <v>21</v>
      </c>
      <c r="W19" s="7">
        <v>22</v>
      </c>
      <c r="X19" s="7">
        <v>23</v>
      </c>
      <c r="Y19" s="169">
        <v>24</v>
      </c>
      <c r="Z19">
        <v>25</v>
      </c>
      <c r="AA19">
        <v>26</v>
      </c>
      <c r="AB19">
        <v>27</v>
      </c>
      <c r="AC19">
        <v>28</v>
      </c>
      <c r="AD19">
        <v>29</v>
      </c>
      <c r="AE19">
        <v>30</v>
      </c>
      <c r="AF19">
        <v>31</v>
      </c>
      <c r="AG19">
        <v>32</v>
      </c>
      <c r="AH19">
        <v>33</v>
      </c>
      <c r="AI19">
        <v>34</v>
      </c>
      <c r="AJ19">
        <v>35</v>
      </c>
      <c r="AK19">
        <v>36</v>
      </c>
      <c r="AL19">
        <v>37</v>
      </c>
      <c r="AM19">
        <v>38</v>
      </c>
      <c r="AN19">
        <v>39</v>
      </c>
      <c r="AO19">
        <v>40</v>
      </c>
      <c r="AP19">
        <v>41</v>
      </c>
      <c r="AQ19">
        <v>42</v>
      </c>
      <c r="AR19">
        <v>43</v>
      </c>
      <c r="AS19">
        <v>44</v>
      </c>
    </row>
    <row r="20" spans="1:45" s="14" customFormat="1" ht="28.5" thickBot="1" x14ac:dyDescent="0.25">
      <c r="B20" s="24" t="s">
        <v>63</v>
      </c>
      <c r="C20" s="25" t="s">
        <v>0</v>
      </c>
      <c r="D20" s="25" t="s">
        <v>1</v>
      </c>
      <c r="E20" s="25" t="s">
        <v>68</v>
      </c>
      <c r="F20" s="25" t="s">
        <v>67</v>
      </c>
      <c r="G20" s="24" t="s">
        <v>2</v>
      </c>
      <c r="H20" s="25" t="s">
        <v>3</v>
      </c>
      <c r="I20" s="25" t="s">
        <v>42</v>
      </c>
      <c r="J20" s="25" t="s">
        <v>59</v>
      </c>
      <c r="K20" s="25" t="s">
        <v>60</v>
      </c>
      <c r="L20" s="25" t="s">
        <v>61</v>
      </c>
      <c r="M20" s="25" t="s">
        <v>43</v>
      </c>
      <c r="N20" s="26" t="s">
        <v>62</v>
      </c>
      <c r="O20" s="25" t="s">
        <v>521</v>
      </c>
      <c r="P20" s="25" t="s">
        <v>519</v>
      </c>
      <c r="Q20" s="27" t="s">
        <v>45</v>
      </c>
      <c r="R20" s="28" t="s">
        <v>46</v>
      </c>
      <c r="S20" s="28" t="s">
        <v>47</v>
      </c>
      <c r="T20" s="29" t="s">
        <v>48</v>
      </c>
      <c r="U20" s="27" t="s">
        <v>54</v>
      </c>
      <c r="V20" s="28" t="s">
        <v>55</v>
      </c>
      <c r="W20" s="28" t="s">
        <v>56</v>
      </c>
      <c r="X20" s="28" t="s">
        <v>75</v>
      </c>
      <c r="Y20" s="29" t="s">
        <v>526</v>
      </c>
      <c r="Z20" s="25" t="s">
        <v>528</v>
      </c>
      <c r="AA20" s="25" t="s">
        <v>527</v>
      </c>
      <c r="AB20" s="25" t="s">
        <v>529</v>
      </c>
      <c r="AC20" s="25" t="s">
        <v>530</v>
      </c>
      <c r="AD20" s="25" t="s">
        <v>531</v>
      </c>
      <c r="AE20" s="25" t="s">
        <v>532</v>
      </c>
      <c r="AF20" s="25" t="s">
        <v>533</v>
      </c>
      <c r="AG20" s="26" t="s">
        <v>534</v>
      </c>
      <c r="AH20" s="24" t="s">
        <v>535</v>
      </c>
      <c r="AI20" s="25" t="s">
        <v>536</v>
      </c>
      <c r="AJ20" s="24" t="s">
        <v>65</v>
      </c>
      <c r="AK20" s="25" t="s">
        <v>66</v>
      </c>
      <c r="AL20" s="25" t="s">
        <v>69</v>
      </c>
      <c r="AM20" s="25" t="s">
        <v>72</v>
      </c>
      <c r="AN20" s="25" t="s">
        <v>73</v>
      </c>
      <c r="AO20" s="25" t="s">
        <v>70</v>
      </c>
      <c r="AP20" s="25" t="s">
        <v>71</v>
      </c>
      <c r="AQ20" s="26" t="s">
        <v>74</v>
      </c>
      <c r="AR20" s="25" t="s">
        <v>537</v>
      </c>
      <c r="AS20" s="26" t="s">
        <v>538</v>
      </c>
    </row>
    <row r="21" spans="1:45" ht="15.75" thickBot="1" x14ac:dyDescent="0.25">
      <c r="B21" s="39" t="s">
        <v>4</v>
      </c>
      <c r="C21" s="40">
        <v>21.3</v>
      </c>
      <c r="D21" s="40" t="s">
        <v>84</v>
      </c>
      <c r="E21" s="41">
        <v>35500</v>
      </c>
      <c r="F21" s="42">
        <v>415</v>
      </c>
      <c r="G21" s="49"/>
      <c r="H21" s="50"/>
      <c r="I21" s="51"/>
      <c r="J21" s="51"/>
      <c r="K21" s="51"/>
      <c r="L21" s="50"/>
      <c r="M21" s="51">
        <v>3.73</v>
      </c>
      <c r="N21" s="52">
        <f>2*Tablo2[[#This Row],[SMYS Psi]]*Tablo2[[#This Row],[Et Kalınlığı 4]]/Tablo2[[#This Row],[ÇAP mm]]/14.50377</f>
        <v>857.2483797890709</v>
      </c>
      <c r="O21" s="53">
        <v>3.73</v>
      </c>
      <c r="P21" s="50">
        <f>2*Tablo2[[#This Row],[SMYS Psi]]*Tablo2[[#This Row],[Et Kalınlığı 5]]/Tablo2[[#This Row],[ÇAP mm]]/14.50377</f>
        <v>857.2483797890709</v>
      </c>
      <c r="Q21" s="17">
        <f>Tablo2[[#This Row],[ÇAP mm]]+0.4</f>
        <v>21.7</v>
      </c>
      <c r="R21" s="4">
        <f>Tablo2[[#This Row],[ÇAP mm]]-0.8</f>
        <v>20.5</v>
      </c>
      <c r="S21" s="4">
        <f>Tablo2[[#This Row],[ÇAP mm]]+0.4</f>
        <v>21.7</v>
      </c>
      <c r="T21" s="18">
        <f>Tablo2[[#This Row],[ÇAP mm]]-0.8</f>
        <v>20.5</v>
      </c>
      <c r="U21" s="173"/>
      <c r="V21" s="60"/>
      <c r="W21" s="60"/>
      <c r="X21" s="61">
        <f>Tablo2[[#This Row],[ÇAP mm]]/Tablo2[[#This Row],[Et Kalınlığı 4]]</f>
        <v>5.7104557640750668</v>
      </c>
      <c r="Y21" s="174">
        <f>Tablo2[[#This Row],[ÇAP mm]]/Tablo2[[#This Row],[Et Kalınlığı 5]]</f>
        <v>5.7104557640750668</v>
      </c>
      <c r="Z21" s="7"/>
      <c r="AA21" s="7"/>
      <c r="AB21" s="7"/>
      <c r="AC21" s="7"/>
      <c r="AD21" s="7"/>
      <c r="AE21" s="7"/>
      <c r="AF21" s="8">
        <f>0.9/2</f>
        <v>0.45</v>
      </c>
      <c r="AG21" s="64">
        <f>1.2</f>
        <v>1.2</v>
      </c>
      <c r="AH21" s="8">
        <f>0.9/2</f>
        <v>0.45</v>
      </c>
      <c r="AI21" s="8">
        <v>1.2</v>
      </c>
      <c r="AJ21" s="11"/>
      <c r="AK21" s="5"/>
      <c r="AL21" s="7"/>
      <c r="AM21" s="7"/>
      <c r="AN21" s="7"/>
      <c r="AO21" s="7"/>
      <c r="AP21" s="5">
        <f>IF(40*Tablo2[[#This Row],[Et Kalınlığı 4]]&lt;485,Tablo2[[#This Row],[Et Kalınlığı 4]]*40,485)</f>
        <v>149.19999999999999</v>
      </c>
      <c r="AQ21" s="12">
        <f>1940*POWER(ROUND(Tablo1[[#This Row],[Axc mm24]],-1),0.2)/POWER(Tablo2[[#This Row],[Tensile Mpa]],0.9)</f>
        <v>23.26894508671835</v>
      </c>
      <c r="AR21" s="5">
        <f>IF(40*Tablo2[[#This Row],[Et Kalınlığı 5]]&lt;485,Tablo2[[#This Row],[Et Kalınlığı 4]]*40,485)</f>
        <v>149.19999999999999</v>
      </c>
      <c r="AS21" s="64">
        <f>1940*POWER(ROUND(Tablo1[[#This Row],[Axc mm25]],-1),0.2)/POWER(Tablo2[[#This Row],[Tensile Mpa]],0.9)</f>
        <v>23.26894508671835</v>
      </c>
    </row>
    <row r="22" spans="1:45" ht="15.75" thickBot="1" x14ac:dyDescent="0.25">
      <c r="B22" s="43" t="s">
        <v>5</v>
      </c>
      <c r="C22" s="4">
        <v>26.7</v>
      </c>
      <c r="D22" s="40" t="s">
        <v>84</v>
      </c>
      <c r="E22" s="44">
        <v>35500</v>
      </c>
      <c r="F22" s="45">
        <v>415</v>
      </c>
      <c r="G22" s="49"/>
      <c r="H22" s="50"/>
      <c r="I22" s="51"/>
      <c r="J22" s="51"/>
      <c r="K22" s="51"/>
      <c r="L22" s="50"/>
      <c r="M22" s="51">
        <v>3.91</v>
      </c>
      <c r="N22" s="52">
        <f>2*Tablo2[[#This Row],[SMYS Psi]]*Tablo2[[#This Row],[Et Kalınlığı 4]]/Tablo2[[#This Row],[ÇAP mm]]/14.50377</f>
        <v>716.87418355045338</v>
      </c>
      <c r="O22" s="53">
        <v>3.91</v>
      </c>
      <c r="P22" s="50">
        <f>2*Tablo2[[#This Row],[SMYS Psi]]*Tablo2[[#This Row],[Et Kalınlığı 5]]/Tablo2[[#This Row],[ÇAP mm]]/14.50377</f>
        <v>716.87418355045338</v>
      </c>
      <c r="Q22" s="17">
        <f>Tablo2[[#This Row],[ÇAP mm]]+0.4</f>
        <v>27.099999999999998</v>
      </c>
      <c r="R22" s="4">
        <f>Tablo2[[#This Row],[ÇAP mm]]-0.8</f>
        <v>25.9</v>
      </c>
      <c r="S22" s="4">
        <f>Tablo2[[#This Row],[ÇAP mm]]+0.4</f>
        <v>27.099999999999998</v>
      </c>
      <c r="T22" s="18">
        <f>Tablo2[[#This Row],[ÇAP mm]]-0.8</f>
        <v>25.9</v>
      </c>
      <c r="U22" s="173"/>
      <c r="V22" s="60"/>
      <c r="W22" s="60"/>
      <c r="X22" s="61">
        <f>Tablo2[[#This Row],[ÇAP mm]]/Tablo2[[#This Row],[Et Kalınlığı 4]]</f>
        <v>6.828644501278772</v>
      </c>
      <c r="Y22" s="174">
        <f>Tablo2[[#This Row],[ÇAP mm]]/Tablo2[[#This Row],[Et Kalınlığı 5]]</f>
        <v>6.828644501278772</v>
      </c>
      <c r="Z22" s="7"/>
      <c r="AA22" s="7"/>
      <c r="AB22" s="7"/>
      <c r="AC22" s="7"/>
      <c r="AD22" s="7"/>
      <c r="AE22" s="7"/>
      <c r="AF22" s="8">
        <f>0.9/2</f>
        <v>0.45</v>
      </c>
      <c r="AG22" s="64">
        <f>1.2</f>
        <v>1.2</v>
      </c>
      <c r="AH22" s="8">
        <f>0.9/2</f>
        <v>0.45</v>
      </c>
      <c r="AI22" s="8">
        <v>1.2</v>
      </c>
      <c r="AJ22" s="11"/>
      <c r="AK22" s="5"/>
      <c r="AL22" s="7"/>
      <c r="AM22" s="7"/>
      <c r="AN22" s="7"/>
      <c r="AO22" s="7"/>
      <c r="AP22" s="5">
        <f>IF(40*Tablo2[[#This Row],[Et Kalınlığı 4]]&lt;485,Tablo2[[#This Row],[Et Kalınlığı 4]]*40,485)</f>
        <v>156.4</v>
      </c>
      <c r="AQ22" s="12">
        <f>1940*POWER(ROUND(Tablo1[[#This Row],[Axc mm24]],-1),0.2)/POWER(Tablo2[[#This Row],[Tensile Mpa]],0.9)</f>
        <v>23.571240520529436</v>
      </c>
      <c r="AR22" s="5">
        <f>IF(40*Tablo2[[#This Row],[Et Kalınlığı 5]]&lt;485,Tablo2[[#This Row],[Et Kalınlığı 4]]*40,485)</f>
        <v>156.4</v>
      </c>
      <c r="AS22" s="64">
        <f>1940*POWER(ROUND(Tablo1[[#This Row],[Axc mm25]],-1),0.2)/POWER(Tablo2[[#This Row],[Tensile Mpa]],0.9)</f>
        <v>23.571240520529436</v>
      </c>
    </row>
    <row r="23" spans="1:45" ht="15.75" thickBot="1" x14ac:dyDescent="0.25">
      <c r="B23" s="43" t="s">
        <v>6</v>
      </c>
      <c r="C23" s="4">
        <v>33.4</v>
      </c>
      <c r="D23" s="40" t="s">
        <v>84</v>
      </c>
      <c r="E23" s="44">
        <v>35500</v>
      </c>
      <c r="F23" s="45">
        <v>415</v>
      </c>
      <c r="G23" s="49"/>
      <c r="H23" s="50"/>
      <c r="I23" s="51"/>
      <c r="J23" s="51"/>
      <c r="K23" s="51"/>
      <c r="L23" s="50"/>
      <c r="M23" s="51">
        <v>4.55</v>
      </c>
      <c r="N23" s="52">
        <f>2*Tablo2[[#This Row],[SMYS Psi]]*Tablo2[[#This Row],[Et Kalınlığı 4]]/Tablo2[[#This Row],[ÇAP mm]]/14.50377</f>
        <v>666.87183322837825</v>
      </c>
      <c r="O23" s="53">
        <v>4.55</v>
      </c>
      <c r="P23" s="50">
        <f>2*Tablo2[[#This Row],[SMYS Psi]]*Tablo2[[#This Row],[Et Kalınlığı 5]]/Tablo2[[#This Row],[ÇAP mm]]/14.50377</f>
        <v>666.87183322837825</v>
      </c>
      <c r="Q23" s="17">
        <f>Tablo2[[#This Row],[ÇAP mm]]+0.4</f>
        <v>33.799999999999997</v>
      </c>
      <c r="R23" s="4">
        <f>Tablo2[[#This Row],[ÇAP mm]]-0.8</f>
        <v>32.6</v>
      </c>
      <c r="S23" s="4">
        <f>Tablo2[[#This Row],[ÇAP mm]]+0.4</f>
        <v>33.799999999999997</v>
      </c>
      <c r="T23" s="18">
        <f>Tablo2[[#This Row],[ÇAP mm]]-0.8</f>
        <v>32.6</v>
      </c>
      <c r="U23" s="173"/>
      <c r="V23" s="60"/>
      <c r="W23" s="60"/>
      <c r="X23" s="61">
        <f>Tablo2[[#This Row],[ÇAP mm]]/Tablo2[[#This Row],[Et Kalınlığı 4]]</f>
        <v>7.3406593406593403</v>
      </c>
      <c r="Y23" s="174">
        <f>Tablo2[[#This Row],[ÇAP mm]]/Tablo2[[#This Row],[Et Kalınlığı 5]]</f>
        <v>7.3406593406593403</v>
      </c>
      <c r="Z23" s="7"/>
      <c r="AA23" s="7"/>
      <c r="AB23" s="7"/>
      <c r="AC23" s="7"/>
      <c r="AD23" s="7"/>
      <c r="AE23" s="7"/>
      <c r="AF23" s="8">
        <f>0.9/2</f>
        <v>0.45</v>
      </c>
      <c r="AG23" s="64">
        <f>1.2</f>
        <v>1.2</v>
      </c>
      <c r="AH23" s="8">
        <f>0.9/2</f>
        <v>0.45</v>
      </c>
      <c r="AI23" s="8">
        <v>1.2</v>
      </c>
      <c r="AJ23" s="11"/>
      <c r="AK23" s="5"/>
      <c r="AL23" s="7"/>
      <c r="AM23" s="7"/>
      <c r="AN23" s="7"/>
      <c r="AO23" s="7"/>
      <c r="AP23" s="5">
        <f>IF(40*Tablo2[[#This Row],[Et Kalınlığı 4]]&lt;485,Tablo2[[#This Row],[Et Kalınlığı 4]]*40,485)</f>
        <v>182</v>
      </c>
      <c r="AQ23" s="12">
        <f>1940*POWER(ROUND(Tablo1[[#This Row],[Axc mm24]],-1),0.2)/POWER(Tablo2[[#This Row],[Tensile Mpa]],0.9)</f>
        <v>24.133090632962382</v>
      </c>
      <c r="AR23" s="5">
        <f>IF(40*Tablo2[[#This Row],[Et Kalınlığı 5]]&lt;485,Tablo2[[#This Row],[Et Kalınlığı 4]]*40,485)</f>
        <v>182</v>
      </c>
      <c r="AS23" s="64">
        <f>1940*POWER(ROUND(Tablo1[[#This Row],[Axc mm25]],-1),0.2)/POWER(Tablo2[[#This Row],[Tensile Mpa]],0.9)</f>
        <v>24.133090632962382</v>
      </c>
    </row>
    <row r="24" spans="1:45" ht="15.75" thickBot="1" x14ac:dyDescent="0.25">
      <c r="B24" s="43" t="s">
        <v>7</v>
      </c>
      <c r="C24" s="4">
        <v>42.2</v>
      </c>
      <c r="D24" s="40" t="s">
        <v>84</v>
      </c>
      <c r="E24" s="44">
        <v>35500</v>
      </c>
      <c r="F24" s="45">
        <v>415</v>
      </c>
      <c r="G24" s="49"/>
      <c r="H24" s="50"/>
      <c r="I24" s="51"/>
      <c r="J24" s="51"/>
      <c r="K24" s="51"/>
      <c r="L24" s="50"/>
      <c r="M24" s="51">
        <v>4.8499999999999996</v>
      </c>
      <c r="N24" s="52">
        <f>2*Tablo2[[#This Row],[SMYS Psi]]*Tablo2[[#This Row],[Et Kalınlığı 4]]/Tablo2[[#This Row],[ÇAP mm]]/14.50377</f>
        <v>562.60907382253515</v>
      </c>
      <c r="O24" s="53">
        <v>4.8499999999999996</v>
      </c>
      <c r="P24" s="50">
        <f>2*Tablo2[[#This Row],[SMYS Psi]]*Tablo2[[#This Row],[Et Kalınlığı 5]]/Tablo2[[#This Row],[ÇAP mm]]/14.50377</f>
        <v>562.60907382253515</v>
      </c>
      <c r="Q24" s="17">
        <f>Tablo2[[#This Row],[ÇAP mm]]+0.4</f>
        <v>42.6</v>
      </c>
      <c r="R24" s="4">
        <f>Tablo2[[#This Row],[ÇAP mm]]-0.8</f>
        <v>41.400000000000006</v>
      </c>
      <c r="S24" s="4">
        <f>Tablo2[[#This Row],[ÇAP mm]]+0.4</f>
        <v>42.6</v>
      </c>
      <c r="T24" s="18">
        <f>Tablo2[[#This Row],[ÇAP mm]]-0.8</f>
        <v>41.400000000000006</v>
      </c>
      <c r="U24" s="173"/>
      <c r="V24" s="60"/>
      <c r="W24" s="60"/>
      <c r="X24" s="61">
        <f>Tablo2[[#This Row],[ÇAP mm]]/Tablo2[[#This Row],[Et Kalınlığı 4]]</f>
        <v>8.7010309278350526</v>
      </c>
      <c r="Y24" s="174">
        <f>Tablo2[[#This Row],[ÇAP mm]]/Tablo2[[#This Row],[Et Kalınlığı 5]]</f>
        <v>8.7010309278350526</v>
      </c>
      <c r="Z24" s="7"/>
      <c r="AA24" s="7"/>
      <c r="AB24" s="7"/>
      <c r="AC24" s="7"/>
      <c r="AD24" s="7"/>
      <c r="AE24" s="7"/>
      <c r="AF24" s="8">
        <f>0.9/2</f>
        <v>0.45</v>
      </c>
      <c r="AG24" s="64">
        <f>1.2</f>
        <v>1.2</v>
      </c>
      <c r="AH24" s="8">
        <f>0.9/2</f>
        <v>0.45</v>
      </c>
      <c r="AI24" s="8">
        <v>1.2</v>
      </c>
      <c r="AJ24" s="11"/>
      <c r="AK24" s="5"/>
      <c r="AL24" s="7"/>
      <c r="AM24" s="7"/>
      <c r="AN24" s="7"/>
      <c r="AO24" s="7"/>
      <c r="AP24" s="5">
        <f>IF(40*Tablo2[[#This Row],[Et Kalınlığı 4]]&lt;485,Tablo2[[#This Row],[Et Kalınlığı 4]]*40,485)</f>
        <v>194</v>
      </c>
      <c r="AQ24" s="12">
        <f>1940*POWER(ROUND(Tablo1[[#This Row],[Axc mm24]],-1),0.2)/POWER(Tablo2[[#This Row],[Tensile Mpa]],0.9)</f>
        <v>24.395468510816421</v>
      </c>
      <c r="AR24" s="5">
        <f>IF(40*Tablo2[[#This Row],[Et Kalınlığı 5]]&lt;485,Tablo2[[#This Row],[Et Kalınlığı 4]]*40,485)</f>
        <v>194</v>
      </c>
      <c r="AS24" s="64">
        <f>1940*POWER(ROUND(Tablo1[[#This Row],[Axc mm25]],-1),0.2)/POWER(Tablo2[[#This Row],[Tensile Mpa]],0.9)</f>
        <v>24.395468510816421</v>
      </c>
    </row>
    <row r="25" spans="1:45" ht="15.75" thickBot="1" x14ac:dyDescent="0.25">
      <c r="B25" s="43" t="s">
        <v>8</v>
      </c>
      <c r="C25" s="4">
        <v>48.3</v>
      </c>
      <c r="D25" s="40" t="s">
        <v>84</v>
      </c>
      <c r="E25" s="44">
        <v>35500</v>
      </c>
      <c r="F25" s="45">
        <v>415</v>
      </c>
      <c r="G25" s="49"/>
      <c r="H25" s="50"/>
      <c r="I25" s="51"/>
      <c r="J25" s="51"/>
      <c r="K25" s="51"/>
      <c r="L25" s="50"/>
      <c r="M25" s="51">
        <v>5.08</v>
      </c>
      <c r="N25" s="52">
        <f>2*Tablo2[[#This Row],[SMYS Psi]]*Tablo2[[#This Row],[Et Kalınlığı 4]]/Tablo2[[#This Row],[ÇAP mm]]/14.50377</f>
        <v>514.86577793336244</v>
      </c>
      <c r="O25" s="53">
        <v>5.08</v>
      </c>
      <c r="P25" s="50">
        <f>2*Tablo2[[#This Row],[SMYS Psi]]*Tablo2[[#This Row],[Et Kalınlığı 5]]/Tablo2[[#This Row],[ÇAP mm]]/14.50377</f>
        <v>514.86577793336244</v>
      </c>
      <c r="Q25" s="17">
        <f>Tablo2[[#This Row],[ÇAP mm]]+0.4</f>
        <v>48.699999999999996</v>
      </c>
      <c r="R25" s="4">
        <f>Tablo2[[#This Row],[ÇAP mm]]-0.8</f>
        <v>47.5</v>
      </c>
      <c r="S25" s="4">
        <f>Tablo2[[#This Row],[ÇAP mm]]+0.4</f>
        <v>48.699999999999996</v>
      </c>
      <c r="T25" s="18">
        <f>Tablo2[[#This Row],[ÇAP mm]]-0.8</f>
        <v>47.5</v>
      </c>
      <c r="U25" s="173"/>
      <c r="V25" s="60"/>
      <c r="W25" s="60"/>
      <c r="X25" s="61">
        <f>Tablo2[[#This Row],[ÇAP mm]]/Tablo2[[#This Row],[Et Kalınlığı 4]]</f>
        <v>9.5078740157480315</v>
      </c>
      <c r="Y25" s="174">
        <f>Tablo2[[#This Row],[ÇAP mm]]/Tablo2[[#This Row],[Et Kalınlığı 5]]</f>
        <v>9.5078740157480315</v>
      </c>
      <c r="Z25" s="7"/>
      <c r="AA25" s="7"/>
      <c r="AB25" s="7"/>
      <c r="AC25" s="7"/>
      <c r="AD25" s="7"/>
      <c r="AE25" s="7"/>
      <c r="AF25" s="8">
        <f>0.9/2</f>
        <v>0.45</v>
      </c>
      <c r="AG25" s="64">
        <f>1.2</f>
        <v>1.2</v>
      </c>
      <c r="AH25" s="8">
        <f>0.9/2</f>
        <v>0.45</v>
      </c>
      <c r="AI25" s="8">
        <v>1.2</v>
      </c>
      <c r="AJ25" s="11"/>
      <c r="AK25" s="5"/>
      <c r="AL25" s="7"/>
      <c r="AM25" s="7"/>
      <c r="AN25" s="7"/>
      <c r="AO25" s="7"/>
      <c r="AP25" s="5">
        <f>IF(40*Tablo2[[#This Row],[Et Kalınlığı 4]]&lt;485,Tablo2[[#This Row],[Et Kalınlığı 4]]*40,485)</f>
        <v>203.2</v>
      </c>
      <c r="AQ25" s="12">
        <f>1940*POWER(ROUND(Tablo1[[#This Row],[Axc mm24]],-1),0.2)/POWER(Tablo2[[#This Row],[Tensile Mpa]],0.9)</f>
        <v>24.647021391907689</v>
      </c>
      <c r="AR25" s="5">
        <f>IF(40*Tablo2[[#This Row],[Et Kalınlığı 5]]&lt;485,Tablo2[[#This Row],[Et Kalınlığı 4]]*40,485)</f>
        <v>203.2</v>
      </c>
      <c r="AS25" s="64">
        <f>1940*POWER(ROUND(Tablo1[[#This Row],[Axc mm25]],-1),0.2)/POWER(Tablo2[[#This Row],[Tensile Mpa]],0.9)</f>
        <v>24.647021391907689</v>
      </c>
    </row>
    <row r="26" spans="1:45" ht="15.75" thickBot="1" x14ac:dyDescent="0.25">
      <c r="A26" s="290"/>
      <c r="B26" s="43" t="s">
        <v>9</v>
      </c>
      <c r="C26" s="4">
        <v>60.3</v>
      </c>
      <c r="D26" s="40" t="s">
        <v>84</v>
      </c>
      <c r="E26" s="44">
        <v>35500</v>
      </c>
      <c r="F26" s="45">
        <v>415</v>
      </c>
      <c r="G26" s="49"/>
      <c r="H26" s="50"/>
      <c r="I26" s="51"/>
      <c r="J26" s="51"/>
      <c r="K26" s="51"/>
      <c r="L26" s="50"/>
      <c r="M26" s="51">
        <v>5.54</v>
      </c>
      <c r="N26" s="52">
        <f>2*Tablo2[[#This Row],[SMYS Psi]]*Tablo2[[#This Row],[Et Kalınlığı 4]]/Tablo2[[#This Row],[ÇAP mm]]/14.50377</f>
        <v>449.74867979970549</v>
      </c>
      <c r="O26" s="53">
        <v>5.54</v>
      </c>
      <c r="P26" s="50">
        <f>2*Tablo2[[#This Row],[SMYS Psi]]*Tablo2[[#This Row],[Et Kalınlığı 5]]/Tablo2[[#This Row],[ÇAP mm]]/14.50377</f>
        <v>449.74867979970549</v>
      </c>
      <c r="Q26" s="17">
        <f>Tablo2[[#This Row],[ÇAP mm]]+1.6</f>
        <v>61.9</v>
      </c>
      <c r="R26" s="4">
        <f>Tablo2[[#This Row],[ÇAP mm]]-0.4</f>
        <v>59.9</v>
      </c>
      <c r="S26" s="3">
        <f>Tablo2[[#This Row],[ÇAP mm]]*1.0075</f>
        <v>60.752250000000004</v>
      </c>
      <c r="T26" s="19">
        <f>Tablo2[[#This Row],[ÇAP mm]]*0.9925</f>
        <v>59.847749999999998</v>
      </c>
      <c r="U26" s="173"/>
      <c r="V26" s="60"/>
      <c r="W26" s="60"/>
      <c r="X26" s="61">
        <f>Tablo2[[#This Row],[ÇAP mm]]/Tablo2[[#This Row],[Et Kalınlığı 4]]</f>
        <v>10.884476534296029</v>
      </c>
      <c r="Y26" s="174">
        <f>Tablo2[[#This Row],[ÇAP mm]]/Tablo2[[#This Row],[Et Kalınlığı 5]]</f>
        <v>10.884476534296029</v>
      </c>
      <c r="Z26" s="8"/>
      <c r="AA26" s="8"/>
      <c r="AB26" s="7"/>
      <c r="AC26" s="7"/>
      <c r="AD26" s="7"/>
      <c r="AE26" s="7"/>
      <c r="AF26" s="8">
        <f>IF(Tablo2[[#This Row],[ÇAP mm]]/Tablo2[[#This Row],[Et Kalınlığı 4]]&lt;75,Tablo2[[#This Row],[ÇAP mm]]*0.015/2,"Anlaşmaya bağlıdır.")</f>
        <v>0.45224999999999999</v>
      </c>
      <c r="AG26" s="64">
        <f>IF(Tablo2[[#This Row],[ÇAP mm]]/Tablo2[[#This Row],[Et Kalınlığı 4]]&lt;75,Tablo2[[#This Row],[ÇAP mm]]*0.02,"Anlaşmaya bağlıdır.")</f>
        <v>1.206</v>
      </c>
      <c r="AH26" s="8">
        <f>IF(Tablo2[[#This Row],[ÇAP mm]]/Tablo2[[#This Row],[Et Kalınlığı 4]]&lt;75,Tablo2[[#This Row],[ÇAP mm]]*0.015/2,"Anlaşmaya bağlıdır.")</f>
        <v>0.45224999999999999</v>
      </c>
      <c r="AI26" s="8">
        <f>IF(Tablo2[[#This Row],[ÇAP mm]]/Tablo2[[#This Row],[Et Kalınlığı 5]]&lt;75,Tablo2[[#This Row],[ÇAP mm]]*0.02,"Anlaşmaya bağlıdır.")</f>
        <v>1.206</v>
      </c>
      <c r="AJ26" s="11"/>
      <c r="AK26" s="5"/>
      <c r="AL26" s="7"/>
      <c r="AM26" s="7"/>
      <c r="AN26" s="7"/>
      <c r="AO26" s="7"/>
      <c r="AP26" s="5">
        <f>IF(40*Tablo2[[#This Row],[Et Kalınlığı 4]]&lt;485,Tablo2[[#This Row],[Et Kalınlığı 4]]*40,485)</f>
        <v>221.6</v>
      </c>
      <c r="AQ26" s="12">
        <f>1940*POWER(ROUND(Tablo1[[#This Row],[Axc mm24]],-1),0.2)/POWER(Tablo2[[#This Row],[Tensile Mpa]],0.9)</f>
        <v>25.121350274477248</v>
      </c>
      <c r="AR26" s="5">
        <f>IF(40*Tablo2[[#This Row],[Et Kalınlığı 5]]&lt;485,Tablo2[[#This Row],[Et Kalınlığı 4]]*40,485)</f>
        <v>221.6</v>
      </c>
      <c r="AS26" s="64">
        <f>1940*POWER(ROUND(Tablo1[[#This Row],[Axc mm25]],-1),0.2)/POWER(Tablo2[[#This Row],[Tensile Mpa]],0.9)</f>
        <v>25.121350274477248</v>
      </c>
    </row>
    <row r="27" spans="1:45" ht="15.75" thickBot="1" x14ac:dyDescent="0.25">
      <c r="B27" s="43" t="s">
        <v>10</v>
      </c>
      <c r="C27" s="4">
        <v>73</v>
      </c>
      <c r="D27" s="40" t="s">
        <v>84</v>
      </c>
      <c r="E27" s="44">
        <v>35500</v>
      </c>
      <c r="F27" s="45">
        <v>415</v>
      </c>
      <c r="G27" s="49"/>
      <c r="H27" s="50"/>
      <c r="I27" s="51"/>
      <c r="J27" s="51"/>
      <c r="K27" s="51"/>
      <c r="L27" s="50"/>
      <c r="M27" s="51">
        <v>5.16</v>
      </c>
      <c r="N27" s="52">
        <f>2*Tablo2[[#This Row],[SMYS Psi]]*Tablo2[[#This Row],[Et Kalınlığı 4]]/Tablo2[[#This Row],[ÇAP mm]]/14.50377</f>
        <v>346.02245740151017</v>
      </c>
      <c r="O27" s="53">
        <v>5.16</v>
      </c>
      <c r="P27" s="50">
        <f>2*Tablo2[[#This Row],[SMYS Psi]]*Tablo2[[#This Row],[Et Kalınlığı 5]]/Tablo2[[#This Row],[ÇAP mm]]/14.50377</f>
        <v>346.02245740151017</v>
      </c>
      <c r="Q27" s="17">
        <f>Tablo2[[#This Row],[ÇAP mm]]+1.6</f>
        <v>74.599999999999994</v>
      </c>
      <c r="R27" s="4">
        <f>Tablo2[[#This Row],[ÇAP mm]]-0.4</f>
        <v>72.599999999999994</v>
      </c>
      <c r="S27" s="3">
        <f>Tablo2[[#This Row],[ÇAP mm]]*1.0075</f>
        <v>73.547499999999999</v>
      </c>
      <c r="T27" s="19">
        <f>Tablo2[[#This Row],[ÇAP mm]]*0.9925</f>
        <v>72.452500000000001</v>
      </c>
      <c r="U27" s="173"/>
      <c r="V27" s="60"/>
      <c r="W27" s="60"/>
      <c r="X27" s="61">
        <f>Tablo2[[#This Row],[ÇAP mm]]/Tablo2[[#This Row],[Et Kalınlığı 4]]</f>
        <v>14.147286821705427</v>
      </c>
      <c r="Y27" s="174">
        <f>Tablo2[[#This Row],[ÇAP mm]]/Tablo2[[#This Row],[Et Kalınlığı 5]]</f>
        <v>14.147286821705427</v>
      </c>
      <c r="Z27" s="8"/>
      <c r="AA27" s="8"/>
      <c r="AB27" s="7"/>
      <c r="AC27" s="7"/>
      <c r="AD27" s="7"/>
      <c r="AE27" s="7"/>
      <c r="AF27" s="8">
        <f>IF(Tablo2[[#This Row],[ÇAP mm]]/Tablo2[[#This Row],[Et Kalınlığı 4]]&lt;75,Tablo2[[#This Row],[ÇAP mm]]*0.015/2,"Anlaşmaya bağlıdır.")</f>
        <v>0.54749999999999999</v>
      </c>
      <c r="AG27" s="64">
        <f>IF(Tablo2[[#This Row],[ÇAP mm]]/Tablo2[[#This Row],[Et Kalınlığı 4]]&lt;75,Tablo2[[#This Row],[ÇAP mm]]*0.02,"Anlaşmaya bağlıdır.")</f>
        <v>1.46</v>
      </c>
      <c r="AH27" s="8">
        <f>IF(Tablo2[[#This Row],[ÇAP mm]]/Tablo2[[#This Row],[Et Kalınlığı 4]]&lt;75,Tablo2[[#This Row],[ÇAP mm]]*0.015/2,"Anlaşmaya bağlıdır.")</f>
        <v>0.54749999999999999</v>
      </c>
      <c r="AI27" s="8">
        <f>IF(Tablo2[[#This Row],[ÇAP mm]]/Tablo2[[#This Row],[Et Kalınlığı 5]]&lt;75,Tablo2[[#This Row],[ÇAP mm]]*0.02,"Anlaşmaya bağlıdır.")</f>
        <v>1.46</v>
      </c>
      <c r="AJ27" s="11"/>
      <c r="AK27" s="5"/>
      <c r="AL27" s="7"/>
      <c r="AM27" s="7"/>
      <c r="AN27" s="7"/>
      <c r="AO27" s="7"/>
      <c r="AP27" s="5">
        <f>IF(40*Tablo2[[#This Row],[Et Kalınlığı 4]]&lt;485,Tablo2[[#This Row],[Et Kalınlığı 4]]*40,485)</f>
        <v>206.4</v>
      </c>
      <c r="AQ27" s="12">
        <f>1940*POWER(ROUND(Tablo1[[#This Row],[Axc mm24]],-1),0.2)/POWER(Tablo2[[#This Row],[Tensile Mpa]],0.9)</f>
        <v>24.888705096930806</v>
      </c>
      <c r="AR27" s="5">
        <f>IF(40*Tablo2[[#This Row],[Et Kalınlığı 5]]&lt;485,Tablo2[[#This Row],[Et Kalınlığı 4]]*40,485)</f>
        <v>206.4</v>
      </c>
      <c r="AS27" s="64">
        <f>1940*POWER(ROUND(Tablo1[[#This Row],[Axc mm25]],-1),0.2)/POWER(Tablo2[[#This Row],[Tensile Mpa]],0.9)</f>
        <v>24.888705096930806</v>
      </c>
    </row>
    <row r="28" spans="1:45" ht="15.75" thickBot="1" x14ac:dyDescent="0.25">
      <c r="B28" s="43" t="s">
        <v>11</v>
      </c>
      <c r="C28" s="4">
        <v>88.9</v>
      </c>
      <c r="D28" s="40" t="s">
        <v>84</v>
      </c>
      <c r="E28" s="44">
        <v>35500</v>
      </c>
      <c r="F28" s="45">
        <v>415</v>
      </c>
      <c r="G28" s="49"/>
      <c r="H28" s="50"/>
      <c r="I28" s="51"/>
      <c r="J28" s="51"/>
      <c r="K28" s="51"/>
      <c r="L28" s="50"/>
      <c r="M28" s="51">
        <v>5.49</v>
      </c>
      <c r="N28" s="52">
        <f>2*Tablo2[[#This Row],[SMYS Psi]]*Tablo2[[#This Row],[Et Kalınlığı 4]]/Tablo2[[#This Row],[ÇAP mm]]/14.50377</f>
        <v>302.30687788910814</v>
      </c>
      <c r="O28" s="53">
        <v>5.49</v>
      </c>
      <c r="P28" s="50">
        <f>2*Tablo2[[#This Row],[SMYS Psi]]*Tablo2[[#This Row],[Et Kalınlığı 5]]/Tablo2[[#This Row],[ÇAP mm]]/14.50377</f>
        <v>302.30687788910814</v>
      </c>
      <c r="Q28" s="17">
        <f>Tablo2[[#This Row],[ÇAP mm]]+1.6</f>
        <v>90.5</v>
      </c>
      <c r="R28" s="4">
        <f>Tablo2[[#This Row],[ÇAP mm]]-0.4</f>
        <v>88.5</v>
      </c>
      <c r="S28" s="3">
        <f>Tablo2[[#This Row],[ÇAP mm]]*1.0075</f>
        <v>89.566750000000013</v>
      </c>
      <c r="T28" s="19">
        <f>Tablo2[[#This Row],[ÇAP mm]]*0.9925</f>
        <v>88.233250000000012</v>
      </c>
      <c r="U28" s="173"/>
      <c r="V28" s="60"/>
      <c r="W28" s="60"/>
      <c r="X28" s="61">
        <f>Tablo2[[#This Row],[ÇAP mm]]/Tablo2[[#This Row],[Et Kalınlığı 4]]</f>
        <v>16.193078324225866</v>
      </c>
      <c r="Y28" s="174">
        <f>Tablo2[[#This Row],[ÇAP mm]]/Tablo2[[#This Row],[Et Kalınlığı 5]]</f>
        <v>16.193078324225866</v>
      </c>
      <c r="Z28" s="8"/>
      <c r="AA28" s="8"/>
      <c r="AB28" s="7"/>
      <c r="AC28" s="7"/>
      <c r="AD28" s="7"/>
      <c r="AE28" s="7"/>
      <c r="AF28" s="8">
        <f>IF(Tablo2[[#This Row],[ÇAP mm]]/Tablo2[[#This Row],[Et Kalınlığı 4]]&lt;75,Tablo2[[#This Row],[ÇAP mm]]*0.015/2,"Anlaşmaya bağlıdır.")</f>
        <v>0.66675000000000006</v>
      </c>
      <c r="AG28" s="64">
        <f>IF(Tablo2[[#This Row],[ÇAP mm]]/Tablo2[[#This Row],[Et Kalınlığı 4]]&lt;75,Tablo2[[#This Row],[ÇAP mm]]*0.02,"Anlaşmaya bağlıdır.")</f>
        <v>1.7780000000000002</v>
      </c>
      <c r="AH28" s="8">
        <f>IF(Tablo2[[#This Row],[ÇAP mm]]/Tablo2[[#This Row],[Et Kalınlığı 4]]&lt;75,Tablo2[[#This Row],[ÇAP mm]]*0.015/2,"Anlaşmaya bağlıdır.")</f>
        <v>0.66675000000000006</v>
      </c>
      <c r="AI28" s="8">
        <f>IF(Tablo2[[#This Row],[ÇAP mm]]/Tablo2[[#This Row],[Et Kalınlığı 5]]&lt;75,Tablo2[[#This Row],[ÇAP mm]]*0.02,"Anlaşmaya bağlıdır.")</f>
        <v>1.7780000000000002</v>
      </c>
      <c r="AJ28" s="11"/>
      <c r="AK28" s="5"/>
      <c r="AL28" s="7"/>
      <c r="AM28" s="7"/>
      <c r="AN28" s="7"/>
      <c r="AO28" s="7"/>
      <c r="AP28" s="5">
        <f>IF(40*Tablo2[[#This Row],[Et Kalınlığı 4]]&lt;485,Tablo2[[#This Row],[Et Kalınlığı 4]]*40,485)</f>
        <v>219.60000000000002</v>
      </c>
      <c r="AQ28" s="12">
        <f>1940*POWER(ROUND(Tablo1[[#This Row],[Axc mm24]],-1),0.2)/POWER(Tablo2[[#This Row],[Tensile Mpa]],0.9)</f>
        <v>25.121350274477248</v>
      </c>
      <c r="AR28" s="5">
        <f>IF(40*Tablo2[[#This Row],[Et Kalınlığı 5]]&lt;485,Tablo2[[#This Row],[Et Kalınlığı 4]]*40,485)</f>
        <v>219.60000000000002</v>
      </c>
      <c r="AS28" s="64">
        <f>1940*POWER(ROUND(Tablo1[[#This Row],[Axc mm25]],-1),0.2)/POWER(Tablo2[[#This Row],[Tensile Mpa]],0.9)</f>
        <v>25.121350274477248</v>
      </c>
    </row>
    <row r="29" spans="1:45" ht="15.75" thickBot="1" x14ac:dyDescent="0.25">
      <c r="B29" s="43" t="s">
        <v>12</v>
      </c>
      <c r="C29" s="4">
        <v>114.3</v>
      </c>
      <c r="D29" s="40" t="s">
        <v>84</v>
      </c>
      <c r="E29" s="44">
        <v>35500</v>
      </c>
      <c r="F29" s="45">
        <v>415</v>
      </c>
      <c r="G29" s="49"/>
      <c r="H29" s="50"/>
      <c r="I29" s="51"/>
      <c r="J29" s="51"/>
      <c r="K29" s="51"/>
      <c r="L29" s="50"/>
      <c r="M29" s="51">
        <v>6.02</v>
      </c>
      <c r="N29" s="52">
        <f>2*Tablo2[[#This Row],[SMYS Psi]]*Tablo2[[#This Row],[Et Kalınlığı 4]]/Tablo2[[#This Row],[ÇAP mm]]/14.50377</f>
        <v>257.82659045227717</v>
      </c>
      <c r="O29" s="53">
        <v>6.02</v>
      </c>
      <c r="P29" s="50">
        <f>2*Tablo2[[#This Row],[SMYS Psi]]*Tablo2[[#This Row],[Et Kalınlığı 5]]/Tablo2[[#This Row],[ÇAP mm]]/14.50377</f>
        <v>257.82659045227717</v>
      </c>
      <c r="Q29" s="17">
        <f>Tablo2[[#This Row],[ÇAP mm]]+1.6</f>
        <v>115.89999999999999</v>
      </c>
      <c r="R29" s="4">
        <f>Tablo2[[#This Row],[ÇAP mm]]-0.4</f>
        <v>113.89999999999999</v>
      </c>
      <c r="S29" s="3">
        <f>Tablo2[[#This Row],[ÇAP mm]]*1.0075</f>
        <v>115.15725</v>
      </c>
      <c r="T29" s="19">
        <f>Tablo2[[#This Row],[ÇAP mm]]*0.9925</f>
        <v>113.44275</v>
      </c>
      <c r="U29" s="173"/>
      <c r="V29" s="60"/>
      <c r="W29" s="60"/>
      <c r="X29" s="61">
        <f>Tablo2[[#This Row],[ÇAP mm]]/Tablo2[[#This Row],[Et Kalınlığı 4]]</f>
        <v>18.986710963455149</v>
      </c>
      <c r="Y29" s="174">
        <f>Tablo2[[#This Row],[ÇAP mm]]/Tablo2[[#This Row],[Et Kalınlığı 5]]</f>
        <v>18.986710963455149</v>
      </c>
      <c r="Z29" s="8"/>
      <c r="AA29" s="8"/>
      <c r="AB29" s="7"/>
      <c r="AC29" s="7"/>
      <c r="AD29" s="7"/>
      <c r="AE29" s="7"/>
      <c r="AF29" s="8">
        <f>IF(Tablo2[[#This Row],[ÇAP mm]]/Tablo2[[#This Row],[Et Kalınlığı 4]]&lt;75,Tablo2[[#This Row],[ÇAP mm]]*0.015/2,"Anlaşmaya bağlıdır.")</f>
        <v>0.85724999999999996</v>
      </c>
      <c r="AG29" s="64">
        <f>IF(Tablo2[[#This Row],[ÇAP mm]]/Tablo2[[#This Row],[Et Kalınlığı 4]]&lt;75,Tablo2[[#This Row],[ÇAP mm]]*0.02,"Anlaşmaya bağlıdır.")</f>
        <v>2.286</v>
      </c>
      <c r="AH29" s="8">
        <f>IF(Tablo2[[#This Row],[ÇAP mm]]/Tablo2[[#This Row],[Et Kalınlığı 4]]&lt;75,Tablo2[[#This Row],[ÇAP mm]]*0.015/2,"Anlaşmaya bağlıdır.")</f>
        <v>0.85724999999999996</v>
      </c>
      <c r="AI29" s="8">
        <f>IF(Tablo2[[#This Row],[ÇAP mm]]/Tablo2[[#This Row],[Et Kalınlığı 5]]&lt;75,Tablo2[[#This Row],[ÇAP mm]]*0.02,"Anlaşmaya bağlıdır.")</f>
        <v>2.286</v>
      </c>
      <c r="AJ29" s="11"/>
      <c r="AK29" s="5"/>
      <c r="AL29" s="7"/>
      <c r="AM29" s="7"/>
      <c r="AN29" s="7"/>
      <c r="AO29" s="7"/>
      <c r="AP29" s="5">
        <f>IF(40*Tablo2[[#This Row],[Et Kalınlığı 4]]&lt;485,Tablo2[[#This Row],[Et Kalınlığı 4]]*40,485)</f>
        <v>240.79999999999998</v>
      </c>
      <c r="AQ29" s="12">
        <f>1940*POWER(ROUND(Tablo1[[#This Row],[Axc mm24]],-1),0.2)/POWER(Tablo2[[#This Row],[Tensile Mpa]],0.9)</f>
        <v>25.562344956625527</v>
      </c>
      <c r="AR29" s="5">
        <f>IF(40*Tablo2[[#This Row],[Et Kalınlığı 5]]&lt;485,Tablo2[[#This Row],[Et Kalınlığı 4]]*40,485)</f>
        <v>240.79999999999998</v>
      </c>
      <c r="AS29" s="64">
        <f>1940*POWER(ROUND(Tablo1[[#This Row],[Axc mm25]],-1),0.2)/POWER(Tablo2[[#This Row],[Tensile Mpa]],0.9)</f>
        <v>25.562344956625527</v>
      </c>
    </row>
    <row r="30" spans="1:45" x14ac:dyDescent="0.2">
      <c r="B30" s="43" t="s">
        <v>13</v>
      </c>
      <c r="C30" s="4">
        <v>141.30000000000001</v>
      </c>
      <c r="D30" s="40" t="s">
        <v>84</v>
      </c>
      <c r="E30" s="44">
        <v>35500</v>
      </c>
      <c r="F30" s="45">
        <v>415</v>
      </c>
      <c r="G30" s="49"/>
      <c r="H30" s="50"/>
      <c r="I30" s="51"/>
      <c r="J30" s="51"/>
      <c r="K30" s="51"/>
      <c r="L30" s="50"/>
      <c r="M30" s="51">
        <v>6.55</v>
      </c>
      <c r="N30" s="52">
        <f>2*Tablo2[[#This Row],[SMYS Psi]]*Tablo2[[#This Row],[Et Kalınlığı 4]]/Tablo2[[#This Row],[ÇAP mm]]/14.50377</f>
        <v>226.92198961818013</v>
      </c>
      <c r="O30" s="53">
        <v>7.1</v>
      </c>
      <c r="P30" s="50">
        <f>2*Tablo2[[#This Row],[SMYS Psi]]*Tablo2[[#This Row],[Et Kalınlığı 5]]/Tablo2[[#This Row],[ÇAP mm]]/14.50377</f>
        <v>245.97650783039376</v>
      </c>
      <c r="Q30" s="17">
        <f>Tablo2[[#This Row],[ÇAP mm]]+1.6</f>
        <v>142.9</v>
      </c>
      <c r="R30" s="4">
        <f>Tablo2[[#This Row],[ÇAP mm]]-0.4</f>
        <v>140.9</v>
      </c>
      <c r="S30" s="3">
        <f>Tablo2[[#This Row],[ÇAP mm]]*1.0075</f>
        <v>142.35975000000002</v>
      </c>
      <c r="T30" s="19">
        <f>Tablo2[[#This Row],[ÇAP mm]]*0.9925</f>
        <v>140.24025000000003</v>
      </c>
      <c r="U30" s="173"/>
      <c r="V30" s="60"/>
      <c r="W30" s="60"/>
      <c r="X30" s="61">
        <f>Tablo2[[#This Row],[ÇAP mm]]/Tablo2[[#This Row],[Et Kalınlığı 4]]</f>
        <v>21.572519083969468</v>
      </c>
      <c r="Y30" s="174">
        <f>Tablo2[[#This Row],[ÇAP mm]]/Tablo2[[#This Row],[Et Kalınlığı 5]]</f>
        <v>19.901408450704228</v>
      </c>
      <c r="Z30" s="8"/>
      <c r="AA30" s="8"/>
      <c r="AB30" s="7"/>
      <c r="AC30" s="7"/>
      <c r="AD30" s="7"/>
      <c r="AE30" s="7"/>
      <c r="AF30" s="8">
        <f>IF(Tablo2[[#This Row],[ÇAP mm]]/Tablo2[[#This Row],[Et Kalınlığı 4]]&lt;75,Tablo2[[#This Row],[ÇAP mm]]*0.015/2,"Anlaşmaya bağlıdır.")</f>
        <v>1.05975</v>
      </c>
      <c r="AG30" s="64">
        <f>IF(Tablo2[[#This Row],[ÇAP mm]]/Tablo2[[#This Row],[Et Kalınlığı 4]]&lt;75,Tablo2[[#This Row],[ÇAP mm]]*0.02,"Anlaşmaya bağlıdır.")</f>
        <v>2.8260000000000001</v>
      </c>
      <c r="AH30" s="8">
        <f>IF(Tablo2[[#This Row],[ÇAP mm]]/Tablo2[[#This Row],[Et Kalınlığı 5]]&lt;75,Tablo2[[#This Row],[ÇAP mm]]*0.015/2,"Anlaşmaya bağlıdır.")</f>
        <v>1.05975</v>
      </c>
      <c r="AI30" s="8">
        <f>IF(Tablo2[[#This Row],[ÇAP mm]]/Tablo2[[#This Row],[Et Kalınlığı 5]]&lt;75,Tablo2[[#This Row],[ÇAP mm]]*0.02,"Anlaşmaya bağlıdır.")</f>
        <v>2.8260000000000001</v>
      </c>
      <c r="AJ30" s="11"/>
      <c r="AK30" s="5"/>
      <c r="AL30" s="7"/>
      <c r="AM30" s="7"/>
      <c r="AN30" s="7"/>
      <c r="AO30" s="7"/>
      <c r="AP30" s="5">
        <f>IF(40*Tablo2[[#This Row],[Et Kalınlığı 4]]&lt;485,Tablo2[[#This Row],[Et Kalınlığı 4]]*40,485)</f>
        <v>262</v>
      </c>
      <c r="AQ30" s="12">
        <f>1940*POWER(ROUND(Tablo1[[#This Row],[Axc mm24]],-1),0.2)/POWER(Tablo2[[#This Row],[Tensile Mpa]],0.9)</f>
        <v>25.974853840841082</v>
      </c>
      <c r="AR30" s="5">
        <f>IF(40*Tablo2[[#This Row],[Et Kalınlığı 5]]&lt;485,Tablo2[[#This Row],[Et Kalınlığı 4]]*40,485)</f>
        <v>262</v>
      </c>
      <c r="AS30" s="64">
        <f>1940*POWER(ROUND(Tablo1[[#This Row],[Axc mm25]],-1),0.2)/POWER(Tablo2[[#This Row],[Tensile Mpa]],0.9)</f>
        <v>25.974853840841082</v>
      </c>
    </row>
    <row r="31" spans="1:45" x14ac:dyDescent="0.2">
      <c r="B31" s="43" t="s">
        <v>14</v>
      </c>
      <c r="C31" s="4">
        <v>168.3</v>
      </c>
      <c r="D31" s="4" t="s">
        <v>15</v>
      </c>
      <c r="E31" s="44">
        <v>42100</v>
      </c>
      <c r="F31" s="45">
        <v>415</v>
      </c>
      <c r="G31" s="49">
        <v>5.16</v>
      </c>
      <c r="H31" s="50">
        <f>2*Tablo2[[#This Row],[SMYS Psi]]*Tablo2[[#This Row],[Et Kalınlığı ]]/Tablo2[[#This Row],[ÇAP mm]]/14.50377</f>
        <v>177.9904794978888</v>
      </c>
      <c r="I31" s="51">
        <v>5.16</v>
      </c>
      <c r="J31" s="50">
        <f>2*Tablo2[[#This Row],[SMYS Psi]]*Tablo2[[#This Row],[Et Kalınlığı 2]]/Tablo2[[#This Row],[ÇAP mm]]/14.50377</f>
        <v>177.9904794978888</v>
      </c>
      <c r="K31" s="51">
        <v>5.16</v>
      </c>
      <c r="L31" s="50">
        <f>2*Tablo2[[#This Row],[SMYS Psi]]*Tablo2[[#This Row],[Et Kalınlığı 3]]/Tablo2[[#This Row],[ÇAP mm]]/14.50377</f>
        <v>177.9904794978888</v>
      </c>
      <c r="M31" s="51">
        <v>6.35</v>
      </c>
      <c r="N31" s="52">
        <f>2*Tablo2[[#This Row],[SMYS Psi]]*Tablo2[[#This Row],[Et Kalınlığı 4]]/Tablo2[[#This Row],[ÇAP mm]]/14.50377</f>
        <v>219.03867147511508</v>
      </c>
      <c r="O31" s="51">
        <v>6.35</v>
      </c>
      <c r="P31" s="50">
        <f>2*Tablo2[[#This Row],[SMYS Psi]]*Tablo2[[#This Row],[Et Kalınlığı 5]]/Tablo2[[#This Row],[ÇAP mm]]/14.50377</f>
        <v>219.03867147511508</v>
      </c>
      <c r="Q31" s="17">
        <f>IF(Tablo2[[#This Row],[ÇAP mm]]*0.005-1.6&lt;0,Tablo2[[#This Row],[ÇAP mm]]*1.005,Tablo2[[#This Row],[ÇAP mm]]+1.6)</f>
        <v>169.14149999999998</v>
      </c>
      <c r="R31" s="3">
        <f>IF(Tablo2[[#This Row],[ÇAP mm]]*0.005-1.6&lt;0,Tablo2[[#This Row],[ÇAP mm]]*0.995,Tablo2[[#This Row],[ÇAP mm]]-1.6)</f>
        <v>167.45850000000002</v>
      </c>
      <c r="S31" s="3">
        <f>IF(Tablo2[[#This Row],[ÇAP mm]]*0.0075-3.2&lt;0,Tablo2[[#This Row],[ÇAP mm]]*1.0075,Tablo2[[#This Row],[ÇAP mm]]+3.2)</f>
        <v>169.56225000000003</v>
      </c>
      <c r="T31" s="19">
        <f>IF(Tablo2[[#This Row],[ÇAP mm]]*0.005-3.2&lt;0,Tablo2[[#This Row],[ÇAP mm]]*0.9925,Tablo2[[#This Row],[ÇAP mm]]-3.2)</f>
        <v>167.03775000000002</v>
      </c>
      <c r="U31" s="173">
        <f>Tablo2[[#This Row],[ÇAP mm]]/Tablo2[[#This Row],[Et Kalınlığı ]]</f>
        <v>32.616279069767444</v>
      </c>
      <c r="V31" s="60">
        <f>Tablo2[[#This Row],[ÇAP mm]]/Tablo2[[#This Row],[Et Kalınlığı 2]]</f>
        <v>32.616279069767444</v>
      </c>
      <c r="W31" s="60">
        <f>Tablo2[[#This Row],[ÇAP mm]]/Tablo2[[#This Row],[Et Kalınlığı 3]]</f>
        <v>32.616279069767444</v>
      </c>
      <c r="X31" s="61">
        <f>Tablo2[[#This Row],[ÇAP mm]]/Tablo2[[#This Row],[Et Kalınlığı 4]]</f>
        <v>26.503937007874018</v>
      </c>
      <c r="Y31" s="174">
        <f>Tablo2[[#This Row],[ÇAP mm]]/Tablo2[[#This Row],[Et Kalınlığı 5]]</f>
        <v>26.503937007874018</v>
      </c>
      <c r="Z31" s="8">
        <f>IF(Tablo2[[#This Row],[ÇAP mm]]/Tablo2[[#This Row],[Et Kalınlığı ]]&lt;75,Tablo2[[#This Row],[ÇAP mm]]*0.015/2,"Anlaşmaya bağlıdır.")</f>
        <v>1.2622500000000001</v>
      </c>
      <c r="AA31" s="8">
        <f>IF(Tablo2[[#This Row],[ÇAP mm]]/Tablo2[[#This Row],[Et Kalınlığı ]]&lt;75,Tablo2[[#This Row],[ÇAP mm]]*0.02,"Anlaşmaya bağlıdır.")</f>
        <v>3.3660000000000001</v>
      </c>
      <c r="AB31" s="8">
        <f>IF(Tablo2[[#This Row],[ÇAP mm]]/Tablo2[[#This Row],[Et Kalınlığı ]]&lt;75,Tablo2[[#This Row],[ÇAP mm]]*0.015/2,"Anlaşmaya bağlıdır.")</f>
        <v>1.2622500000000001</v>
      </c>
      <c r="AC31" s="8">
        <f>IF(Tablo2[[#This Row],[ÇAP mm]]/Tablo2[[#This Row],[Et Kalınlığı 2]]&lt;75,Tablo2[[#This Row],[ÇAP mm]]*0.02,"Anlaşmaya bağlıdır.")</f>
        <v>3.3660000000000001</v>
      </c>
      <c r="AD31" s="8">
        <f>IF(Tablo2[[#This Row],[ÇAP mm]]/Tablo2[[#This Row],[Et Kalınlığı ]]&lt;75,Tablo2[[#This Row],[ÇAP mm]]*0.015/2,"Anlaşmaya bağlıdır.")</f>
        <v>1.2622500000000001</v>
      </c>
      <c r="AE31" s="8">
        <f>IF(Tablo2[[#This Row],[ÇAP mm]]/Tablo2[[#This Row],[Et Kalınlığı 3]]&lt;75,Tablo2[[#This Row],[ÇAP mm]]*0.02,"Anlaşmaya bağlıdır.")</f>
        <v>3.3660000000000001</v>
      </c>
      <c r="AF31" s="8">
        <f>IF(Tablo2[[#This Row],[ÇAP mm]]/Tablo2[[#This Row],[Et Kalınlığı 4]]&lt;75,Tablo2[[#This Row],[ÇAP mm]]*0.015/2,"Anlaşmaya bağlıdır.")</f>
        <v>1.2622500000000001</v>
      </c>
      <c r="AG31" s="64">
        <f>IF(Tablo2[[#This Row],[ÇAP mm]]/Tablo2[[#This Row],[Et Kalınlığı 4]]&lt;75,Tablo2[[#This Row],[ÇAP mm]]*0.02,"Anlaşmaya bağlıdır.")</f>
        <v>3.3660000000000001</v>
      </c>
      <c r="AH31" s="8">
        <f>IF(Tablo2[[#This Row],[ÇAP mm]]/Tablo2[[#This Row],[Et Kalınlığı 5]]&lt;75,Tablo2[[#This Row],[ÇAP mm]]*0.015/2,"Anlaşmaya bağlıdır.")</f>
        <v>1.2622500000000001</v>
      </c>
      <c r="AI31" s="8">
        <f>IF(Tablo2[[#This Row],[ÇAP mm]]/Tablo2[[#This Row],[Et Kalınlığı 5]]&lt;75,Tablo2[[#This Row],[ÇAP mm]]*0.02,"Anlaşmaya bağlıdır.")</f>
        <v>3.3660000000000001</v>
      </c>
      <c r="AJ31" s="11">
        <f>IF(40*Tablo2[[#This Row],[Et Kalınlığı ]]&lt;485,Tablo2[[#This Row],[Et Kalınlığı ]]*40,485)</f>
        <v>206.4</v>
      </c>
      <c r="AK31" s="5">
        <f>1940*POWER(ROUND(AJ31,-1),0.2)/POWER(Tablo2[[#This Row],[Tensile Mpa]],0.9)</f>
        <v>24.888705096930806</v>
      </c>
      <c r="AL31" s="5">
        <f>IF(40*Tablo2[[#This Row],[Et Kalınlığı 2]]&lt;485,Tablo2[[#This Row],[Et Kalınlığı ]]*40,485)</f>
        <v>206.4</v>
      </c>
      <c r="AM31" s="5">
        <f>1940*POWER(ROUND(Tablo1[[#This Row],[Axc mm22]],-1),0.2)/POWER(Tablo2[[#This Row],[Tensile Mpa]],0.9)</f>
        <v>24.888705096930806</v>
      </c>
      <c r="AN31" s="5">
        <f>IF(40*Tablo2[[#This Row],[Et Kalınlığı 3]]&lt;485,Tablo2[[#This Row],[Et Kalınlığı ]]*40,485)</f>
        <v>206.4</v>
      </c>
      <c r="AO31" s="5">
        <f>1940*POWER(ROUND(Tablo1[[#This Row],[Axc mm23]],-1),0.2)/POWER(Tablo2[[#This Row],[Tensile Mpa]],0.9)</f>
        <v>24.888705096930806</v>
      </c>
      <c r="AP31" s="5">
        <f>IF(40*Tablo2[[#This Row],[Et Kalınlığı 4]]&lt;485,Tablo2[[#This Row],[Et Kalınlığı 4]]*40,485)</f>
        <v>254</v>
      </c>
      <c r="AQ31" s="12">
        <f>1940*POWER(ROUND(Tablo1[[#This Row],[Axc mm24]],-1),0.2)/POWER(Tablo2[[#This Row],[Tensile Mpa]],0.9)</f>
        <v>25.7719004209419</v>
      </c>
      <c r="AR31" s="5">
        <f>IF(40*Tablo2[[#This Row],[Et Kalınlığı 5]]&lt;485,Tablo2[[#This Row],[Et Kalınlığı 4]]*40,485)</f>
        <v>254</v>
      </c>
      <c r="AS31" s="64">
        <f>1940*POWER(ROUND(Tablo1[[#This Row],[Axc mm25]],-1),0.2)/POWER(Tablo2[[#This Row],[Tensile Mpa]],0.9)</f>
        <v>25.7719004209419</v>
      </c>
    </row>
    <row r="32" spans="1:45" x14ac:dyDescent="0.2">
      <c r="B32" s="43" t="s">
        <v>16</v>
      </c>
      <c r="C32" s="4">
        <v>219.1</v>
      </c>
      <c r="D32" s="4" t="s">
        <v>15</v>
      </c>
      <c r="E32" s="44">
        <v>42100</v>
      </c>
      <c r="F32" s="45">
        <v>415</v>
      </c>
      <c r="G32" s="49">
        <v>5.16</v>
      </c>
      <c r="H32" s="50">
        <f>2*Tablo2[[#This Row],[SMYS Psi]]*Tablo2[[#This Row],[Et Kalınlığı ]]/Tablo2[[#This Row],[ÇAP mm]]/14.50377</f>
        <v>136.72203422863845</v>
      </c>
      <c r="I32" s="51">
        <v>5.16</v>
      </c>
      <c r="J32" s="50">
        <f>2*Tablo2[[#This Row],[SMYS Psi]]*Tablo2[[#This Row],[Et Kalınlığı 2]]/Tablo2[[#This Row],[ÇAP mm]]/14.50377</f>
        <v>136.72203422863845</v>
      </c>
      <c r="K32" s="51">
        <v>6.35</v>
      </c>
      <c r="L32" s="50">
        <f>2*Tablo2[[#This Row],[SMYS Psi]]*Tablo2[[#This Row],[Et Kalınlığı 3]]/Tablo2[[#This Row],[ÇAP mm]]/14.50377</f>
        <v>168.25289095966167</v>
      </c>
      <c r="M32" s="51">
        <v>7.92</v>
      </c>
      <c r="N32" s="52">
        <f>2*Tablo2[[#This Row],[SMYS Psi]]*Tablo2[[#This Row],[Et Kalınlığı 4]]/Tablo2[[#This Row],[ÇAP mm]]/14.50377</f>
        <v>209.85242463000318</v>
      </c>
      <c r="O32" s="51">
        <v>7.92</v>
      </c>
      <c r="P32" s="50">
        <f>2*Tablo2[[#This Row],[SMYS Psi]]*Tablo2[[#This Row],[Et Kalınlığı 5]]/Tablo2[[#This Row],[ÇAP mm]]/14.50377</f>
        <v>209.85242463000318</v>
      </c>
      <c r="Q32" s="17">
        <f>IF(Tablo2[[#This Row],[ÇAP mm]]*0.005-1.6&lt;0,Tablo2[[#This Row],[ÇAP mm]]*1.005,Tablo2[[#This Row],[ÇAP mm]]+1.6)</f>
        <v>220.19549999999998</v>
      </c>
      <c r="R32" s="3">
        <f>IF(Tablo2[[#This Row],[ÇAP mm]]*0.005-1.6&lt;0,Tablo2[[#This Row],[ÇAP mm]]*0.995,Tablo2[[#This Row],[ÇAP mm]]-1.6)</f>
        <v>218.00450000000001</v>
      </c>
      <c r="S32" s="3">
        <f>IF(Tablo2[[#This Row],[ÇAP mm]]*0.0075-3.2&lt;0,Tablo2[[#This Row],[ÇAP mm]]*1.0075,Tablo2[[#This Row],[ÇAP mm]]+3.2)</f>
        <v>220.74325000000002</v>
      </c>
      <c r="T32" s="19">
        <f>IF(Tablo2[[#This Row],[ÇAP mm]]*0.005-3.2&lt;0,Tablo2[[#This Row],[ÇAP mm]]*0.9925,Tablo2[[#This Row],[ÇAP mm]]-3.2)</f>
        <v>217.45675</v>
      </c>
      <c r="U32" s="173">
        <f>Tablo2[[#This Row],[ÇAP mm]]/Tablo2[[#This Row],[Et Kalınlığı ]]</f>
        <v>42.461240310077514</v>
      </c>
      <c r="V32" s="60">
        <f>Tablo2[[#This Row],[ÇAP mm]]/Tablo2[[#This Row],[Et Kalınlığı 2]]</f>
        <v>42.461240310077514</v>
      </c>
      <c r="W32" s="60">
        <f>Tablo2[[#This Row],[ÇAP mm]]/Tablo2[[#This Row],[Et Kalınlığı 3]]</f>
        <v>34.503937007874015</v>
      </c>
      <c r="X32" s="61">
        <f>Tablo2[[#This Row],[ÇAP mm]]/Tablo2[[#This Row],[Et Kalınlığı 4]]</f>
        <v>27.664141414141415</v>
      </c>
      <c r="Y32" s="174">
        <f>Tablo2[[#This Row],[ÇAP mm]]/Tablo2[[#This Row],[Et Kalınlığı 5]]</f>
        <v>27.664141414141415</v>
      </c>
      <c r="Z32" s="8">
        <f>Tablo2[[#This Row],[ÇAP mm]]*0.015/2</f>
        <v>1.6432499999999999</v>
      </c>
      <c r="AA32" s="8">
        <f>Tablo2[[#This Row],[ÇAP mm]]*0.02</f>
        <v>4.3819999999999997</v>
      </c>
      <c r="AB32" s="8">
        <f>Tablo2[[#This Row],[ÇAP mm]]*0.015/2</f>
        <v>1.6432499999999999</v>
      </c>
      <c r="AC32" s="8">
        <f>Tablo2[[#This Row],[ÇAP mm]]*0.02</f>
        <v>4.3819999999999997</v>
      </c>
      <c r="AD32" s="8">
        <f>Tablo2[[#This Row],[ÇAP mm]]*0.015/2</f>
        <v>1.6432499999999999</v>
      </c>
      <c r="AE32" s="8">
        <f>Tablo2[[#This Row],[ÇAP mm]]*0.02</f>
        <v>4.3819999999999997</v>
      </c>
      <c r="AF32" s="8">
        <f>IF(Tablo2[[#This Row],[ÇAP mm]]/Tablo2[[#This Row],[Et Kalınlığı 4]]&lt;75,Tablo2[[#This Row],[ÇAP mm]]*0.015/2,"Anlaşmaya bağlıdır.")</f>
        <v>1.6432499999999999</v>
      </c>
      <c r="AG32" s="64">
        <f>Tablo2[[#This Row],[ÇAP mm]]*0.02</f>
        <v>4.3819999999999997</v>
      </c>
      <c r="AH32" s="8">
        <f>IF(Tablo2[[#This Row],[ÇAP mm]]/Tablo2[[#This Row],[Et Kalınlığı 5]]&lt;75,Tablo2[[#This Row],[ÇAP mm]]*0.015/2,"Anlaşmaya bağlıdır.")</f>
        <v>1.6432499999999999</v>
      </c>
      <c r="AI32" s="8">
        <f>Tablo2[[#This Row],[ÇAP mm]]*0.02</f>
        <v>4.3819999999999997</v>
      </c>
      <c r="AJ32" s="11">
        <f>IF(40*Tablo2[[#This Row],[Et Kalınlığı ]]&lt;485,Tablo2[[#This Row],[Et Kalınlığı ]]*40,485)</f>
        <v>206.4</v>
      </c>
      <c r="AK32" s="5">
        <f>1940*POWER(ROUND(AJ32,-1),0.2)/POWER(Tablo2[[#This Row],[Tensile Mpa]],0.9)</f>
        <v>24.888705096930806</v>
      </c>
      <c r="AL32" s="5">
        <f>IF(40*Tablo2[[#This Row],[Et Kalınlığı 2]]&lt;485,Tablo2[[#This Row],[Et Kalınlığı ]]*40,485)</f>
        <v>206.4</v>
      </c>
      <c r="AM32" s="5">
        <f>1940*POWER(ROUND(Tablo1[[#This Row],[Axc mm22]],-1),0.2)/POWER(Tablo2[[#This Row],[Tensile Mpa]],0.9)</f>
        <v>24.888705096930806</v>
      </c>
      <c r="AN32" s="5">
        <f>IF(40*Tablo2[[#This Row],[Et Kalınlığı 3]]&lt;485,Tablo2[[#This Row],[Et Kalınlığı ]]*40,485)</f>
        <v>206.4</v>
      </c>
      <c r="AO32" s="5">
        <f>1940*POWER(ROUND(Tablo1[[#This Row],[Axc mm23]],-1),0.2)/POWER(Tablo2[[#This Row],[Tensile Mpa]],0.9)</f>
        <v>24.888705096930806</v>
      </c>
      <c r="AP32" s="5">
        <f>IF(40*Tablo2[[#This Row],[Et Kalınlığı 4]]&lt;485,Tablo2[[#This Row],[Et Kalınlığı 4]]*40,485)</f>
        <v>316.8</v>
      </c>
      <c r="AQ32" s="12">
        <f>1940*POWER(ROUND(Tablo1[[#This Row],[Axc mm24]],-1),0.2)/POWER(Tablo2[[#This Row],[Tensile Mpa]],0.9)</f>
        <v>27.076245211171621</v>
      </c>
      <c r="AR32" s="5">
        <f>IF(40*Tablo2[[#This Row],[Et Kalınlığı 5]]&lt;485,Tablo2[[#This Row],[Et Kalınlığı 4]]*40,485)</f>
        <v>316.8</v>
      </c>
      <c r="AS32" s="64">
        <f>1940*POWER(ROUND(Tablo1[[#This Row],[Axc mm25]],-1),0.2)/POWER(Tablo2[[#This Row],[Tensile Mpa]],0.9)</f>
        <v>27.076245211171621</v>
      </c>
    </row>
    <row r="33" spans="2:45" x14ac:dyDescent="0.2">
      <c r="B33" s="43" t="s">
        <v>17</v>
      </c>
      <c r="C33" s="4">
        <v>273.10000000000002</v>
      </c>
      <c r="D33" s="4" t="s">
        <v>18</v>
      </c>
      <c r="E33" s="44">
        <v>46400</v>
      </c>
      <c r="F33" s="45">
        <v>435</v>
      </c>
      <c r="G33" s="49">
        <v>5.16</v>
      </c>
      <c r="H33" s="50">
        <f>2*Tablo2[[#This Row],[SMYS Psi]]*Tablo2[[#This Row],[Et Kalınlığı ]]/Tablo2[[#This Row],[ÇAP mm]]/14.50377</f>
        <v>120.89130718360352</v>
      </c>
      <c r="I33" s="51">
        <v>5.56</v>
      </c>
      <c r="J33" s="50">
        <f>2*Tablo2[[#This Row],[SMYS Psi]]*Tablo2[[#This Row],[Et Kalınlığı 2]]/Tablo2[[#This Row],[ÇAP mm]]/14.50377</f>
        <v>130.26272634512316</v>
      </c>
      <c r="K33" s="51">
        <v>7.09</v>
      </c>
      <c r="L33" s="50">
        <f>2*Tablo2[[#This Row],[SMYS Psi]]*Tablo2[[#This Row],[Et Kalınlığı 3]]/Tablo2[[#This Row],[ÇAP mm]]/14.50377</f>
        <v>166.10840463793585</v>
      </c>
      <c r="M33" s="51">
        <v>8.74</v>
      </c>
      <c r="N33" s="52">
        <f>2*Tablo2[[#This Row],[SMYS Psi]]*Tablo2[[#This Row],[Et Kalınlığı 4]]/Tablo2[[#This Row],[ÇAP mm]]/14.50377</f>
        <v>204.7655086792044</v>
      </c>
      <c r="O33" s="51">
        <v>8.74</v>
      </c>
      <c r="P33" s="50">
        <f>2*Tablo2[[#This Row],[SMYS Psi]]*Tablo2[[#This Row],[Et Kalınlığı 5]]/Tablo2[[#This Row],[ÇAP mm]]/14.50377</f>
        <v>204.7655086792044</v>
      </c>
      <c r="Q33" s="17">
        <f>IF(Tablo2[[#This Row],[ÇAP mm]]*0.005-1.6&lt;0,Tablo2[[#This Row],[ÇAP mm]]*1.005,Tablo2[[#This Row],[ÇAP mm]]+1.6)</f>
        <v>274.46550000000002</v>
      </c>
      <c r="R33" s="3">
        <f>IF(Tablo2[[#This Row],[ÇAP mm]]*0.005-1.6&lt;0,Tablo2[[#This Row],[ÇAP mm]]*0.995,Tablo2[[#This Row],[ÇAP mm]]-1.6)</f>
        <v>271.73450000000003</v>
      </c>
      <c r="S33" s="3">
        <f>IF(Tablo2[[#This Row],[ÇAP mm]]*0.0075-3.2&lt;0,Tablo2[[#This Row],[ÇAP mm]]*1.0075,Tablo2[[#This Row],[ÇAP mm]]+3.2)</f>
        <v>275.14825000000002</v>
      </c>
      <c r="T33" s="19">
        <f>IF(Tablo2[[#This Row],[ÇAP mm]]*0.005-3.2&lt;0,Tablo2[[#This Row],[ÇAP mm]]*0.9925,Tablo2[[#This Row],[ÇAP mm]]-3.2)</f>
        <v>271.05175000000003</v>
      </c>
      <c r="U33" s="173">
        <f>Tablo2[[#This Row],[ÇAP mm]]/Tablo2[[#This Row],[Et Kalınlığı ]]</f>
        <v>52.926356589147289</v>
      </c>
      <c r="V33" s="60">
        <f>Tablo2[[#This Row],[ÇAP mm]]/Tablo2[[#This Row],[Et Kalınlığı 2]]</f>
        <v>49.118705035971232</v>
      </c>
      <c r="W33" s="60">
        <f>Tablo2[[#This Row],[ÇAP mm]]/Tablo2[[#This Row],[Et Kalınlığı 3]]</f>
        <v>38.519040902679833</v>
      </c>
      <c r="X33" s="61">
        <f>Tablo2[[#This Row],[ÇAP mm]]/Tablo2[[#This Row],[Et Kalınlığı 4]]</f>
        <v>31.247139588100687</v>
      </c>
      <c r="Y33" s="174">
        <f>Tablo2[[#This Row],[ÇAP mm]]/Tablo2[[#This Row],[Et Kalınlığı 5]]</f>
        <v>31.247139588100687</v>
      </c>
      <c r="Z33" s="8">
        <f>Tablo2[[#This Row],[ÇAP mm]]*0.015/2</f>
        <v>2.0482499999999999</v>
      </c>
      <c r="AA33" s="8">
        <f>Tablo2[[#This Row],[ÇAP mm]]*0.02</f>
        <v>5.4620000000000006</v>
      </c>
      <c r="AB33" s="8">
        <f>Tablo2[[#This Row],[ÇAP mm]]*0.015/2</f>
        <v>2.0482499999999999</v>
      </c>
      <c r="AC33" s="8">
        <f>Tablo2[[#This Row],[ÇAP mm]]*0.02</f>
        <v>5.4620000000000006</v>
      </c>
      <c r="AD33" s="8">
        <f>Tablo2[[#This Row],[ÇAP mm]]*0.015/2</f>
        <v>2.0482499999999999</v>
      </c>
      <c r="AE33" s="8">
        <f>Tablo2[[#This Row],[ÇAP mm]]*0.02</f>
        <v>5.4620000000000006</v>
      </c>
      <c r="AF33" s="8">
        <f>IF(Tablo2[[#This Row],[ÇAP mm]]/Tablo2[[#This Row],[Et Kalınlığı 4]]&lt;75,Tablo2[[#This Row],[ÇAP mm]]*0.015/2,"Anlaşmaya bağlıdır.")</f>
        <v>2.0482499999999999</v>
      </c>
      <c r="AG33" s="64">
        <f>Tablo2[[#This Row],[ÇAP mm]]*0.02</f>
        <v>5.4620000000000006</v>
      </c>
      <c r="AH33" s="8">
        <f>IF(Tablo2[[#This Row],[ÇAP mm]]/Tablo2[[#This Row],[Et Kalınlığı 5]]&lt;75,Tablo2[[#This Row],[ÇAP mm]]*0.015/2,"Anlaşmaya bağlıdır.")</f>
        <v>2.0482499999999999</v>
      </c>
      <c r="AI33" s="8">
        <f>Tablo2[[#This Row],[ÇAP mm]]*0.02</f>
        <v>5.4620000000000006</v>
      </c>
      <c r="AJ33" s="11">
        <f>IF(40*Tablo2[[#This Row],[Et Kalınlığı ]]&lt;485,Tablo2[[#This Row],[Et Kalınlığı ]]*40,485)</f>
        <v>206.4</v>
      </c>
      <c r="AK33" s="5">
        <f>1940*POWER(ROUND(AJ33,-1),0.2)/POWER(Tablo2[[#This Row],[Tensile Mpa]],0.9)</f>
        <v>23.856419206054618</v>
      </c>
      <c r="AL33" s="5">
        <f>IF(40*Tablo2[[#This Row],[Et Kalınlığı 2]]&lt;485,Tablo2[[#This Row],[Et Kalınlığı ]]*40,485)</f>
        <v>206.4</v>
      </c>
      <c r="AM33" s="5">
        <f>1940*POWER(ROUND(Tablo1[[#This Row],[Axc mm22]],-1),0.2)/POWER(Tablo2[[#This Row],[Tensile Mpa]],0.9)</f>
        <v>23.856419206054618</v>
      </c>
      <c r="AN33" s="5">
        <f>IF(40*Tablo2[[#This Row],[Et Kalınlığı 3]]&lt;485,Tablo2[[#This Row],[Et Kalınlığı ]]*40,485)</f>
        <v>206.4</v>
      </c>
      <c r="AO33" s="5">
        <f>1940*POWER(ROUND(Tablo1[[#This Row],[Axc mm23]],-1),0.2)/POWER(Tablo2[[#This Row],[Tensile Mpa]],0.9)</f>
        <v>23.856419206054618</v>
      </c>
      <c r="AP33" s="5">
        <f>IF(40*Tablo2[[#This Row],[Et Kalınlığı 4]]&lt;485,Tablo2[[#This Row],[Et Kalınlığı 4]]*40,485)</f>
        <v>349.6</v>
      </c>
      <c r="AQ33" s="12">
        <f>1940*POWER(ROUND(Tablo1[[#This Row],[Axc mm24]],-1),0.2)/POWER(Tablo2[[#This Row],[Tensile Mpa]],0.9)</f>
        <v>26.422566983048181</v>
      </c>
      <c r="AR33" s="5">
        <f>IF(40*Tablo2[[#This Row],[Et Kalınlığı 5]]&lt;485,Tablo2[[#This Row],[Et Kalınlığı 4]]*40,485)</f>
        <v>349.6</v>
      </c>
      <c r="AS33" s="64">
        <f>1940*POWER(ROUND(Tablo1[[#This Row],[Axc mm25]],-1),0.2)/POWER(Tablo2[[#This Row],[Tensile Mpa]],0.9)</f>
        <v>26.422566983048181</v>
      </c>
    </row>
    <row r="34" spans="2:45" x14ac:dyDescent="0.2">
      <c r="B34" s="43" t="s">
        <v>19</v>
      </c>
      <c r="C34" s="4">
        <v>323.89999999999998</v>
      </c>
      <c r="D34" s="4" t="s">
        <v>20</v>
      </c>
      <c r="E34" s="44">
        <v>52200</v>
      </c>
      <c r="F34" s="45">
        <v>460</v>
      </c>
      <c r="G34" s="49">
        <v>5.16</v>
      </c>
      <c r="H34" s="50">
        <f>2*Tablo2[[#This Row],[SMYS Psi]]*Tablo2[[#This Row],[Et Kalınlığı ]]/Tablo2[[#This Row],[ÇAP mm]]/14.50377</f>
        <v>114.67225375369679</v>
      </c>
      <c r="I34" s="51">
        <v>6.35</v>
      </c>
      <c r="J34" s="50">
        <f>2*Tablo2[[#This Row],[SMYS Psi]]*Tablo2[[#This Row],[Et Kalınlığı 2]]/Tablo2[[#This Row],[ÇAP mm]]/14.50377</f>
        <v>141.11798669301834</v>
      </c>
      <c r="K34" s="51">
        <v>7.14</v>
      </c>
      <c r="L34" s="50">
        <f>2*Tablo2[[#This Row],[SMYS Psi]]*Tablo2[[#This Row],[Et Kalınlığı 3]]/Tablo2[[#This Row],[ÇAP mm]]/14.50377</f>
        <v>158.6743976359293</v>
      </c>
      <c r="M34" s="51">
        <v>8.3800000000000008</v>
      </c>
      <c r="N34" s="52">
        <f>2*Tablo2[[#This Row],[SMYS Psi]]*Tablo2[[#This Row],[Et Kalınlığı 4]]/Tablo2[[#This Row],[ÇAP mm]]/14.50377</f>
        <v>186.23129582480217</v>
      </c>
      <c r="O34" s="51">
        <v>9.5299999999999994</v>
      </c>
      <c r="P34" s="50">
        <f>2*Tablo2[[#This Row],[SMYS Psi]]*Tablo2[[#This Row],[Et Kalınlığı 5]]/Tablo2[[#This Row],[ÇAP mm]]/14.50377</f>
        <v>211.7880965644826</v>
      </c>
      <c r="Q34" s="17">
        <f>IF(Tablo2[[#This Row],[ÇAP mm]]*0.005-1.6&lt;0,Tablo2[[#This Row],[ÇAP mm]]*1.005,Tablo2[[#This Row],[ÇAP mm]]+1.6)</f>
        <v>325.5</v>
      </c>
      <c r="R34" s="3">
        <f>IF(Tablo2[[#This Row],[ÇAP mm]]*0.005-1.6&lt;0,Tablo2[[#This Row],[ÇAP mm]]*0.995,Tablo2[[#This Row],[ÇAP mm]]-1.6)</f>
        <v>322.29999999999995</v>
      </c>
      <c r="S34" s="3">
        <f>IF(Tablo2[[#This Row],[ÇAP mm]]*0.0075-3.2&lt;0,Tablo2[[#This Row],[ÇAP mm]]*1.0075,Tablo2[[#This Row],[ÇAP mm]]+3.2)</f>
        <v>326.32925</v>
      </c>
      <c r="T34" s="19">
        <f>IF(Tablo2[[#This Row],[ÇAP mm]]*0.005-3.2&lt;0,Tablo2[[#This Row],[ÇAP mm]]*0.9925,Tablo2[[#This Row],[ÇAP mm]]-3.2)</f>
        <v>321.47075000000001</v>
      </c>
      <c r="U34" s="173">
        <f>Tablo2[[#This Row],[ÇAP mm]]/Tablo2[[#This Row],[Et Kalınlığı ]]</f>
        <v>62.771317829457359</v>
      </c>
      <c r="V34" s="60">
        <f>Tablo2[[#This Row],[ÇAP mm]]/Tablo2[[#This Row],[Et Kalınlığı 2]]</f>
        <v>51.00787401574803</v>
      </c>
      <c r="W34" s="60">
        <f>Tablo2[[#This Row],[ÇAP mm]]/Tablo2[[#This Row],[Et Kalınlığı 3]]</f>
        <v>45.364145658263304</v>
      </c>
      <c r="X34" s="61">
        <f>Tablo2[[#This Row],[ÇAP mm]]/Tablo2[[#This Row],[Et Kalınlığı 4]]</f>
        <v>38.651551312649161</v>
      </c>
      <c r="Y34" s="174">
        <f>Tablo2[[#This Row],[ÇAP mm]]/Tablo2[[#This Row],[Et Kalınlığı 5]]</f>
        <v>33.987408184679957</v>
      </c>
      <c r="Z34" s="8">
        <f>Tablo2[[#This Row],[ÇAP mm]]*0.015/2</f>
        <v>2.4292499999999997</v>
      </c>
      <c r="AA34" s="8">
        <f>Tablo2[[#This Row],[ÇAP mm]]*0.02</f>
        <v>6.4779999999999998</v>
      </c>
      <c r="AB34" s="8">
        <f>Tablo2[[#This Row],[ÇAP mm]]*0.015/2</f>
        <v>2.4292499999999997</v>
      </c>
      <c r="AC34" s="8">
        <f>Tablo2[[#This Row],[ÇAP mm]]*0.02</f>
        <v>6.4779999999999998</v>
      </c>
      <c r="AD34" s="8">
        <f>Tablo2[[#This Row],[ÇAP mm]]*0.015/2</f>
        <v>2.4292499999999997</v>
      </c>
      <c r="AE34" s="8">
        <f>Tablo2[[#This Row],[ÇAP mm]]*0.02</f>
        <v>6.4779999999999998</v>
      </c>
      <c r="AF34" s="8">
        <f>IF(Tablo2[[#This Row],[ÇAP mm]]/Tablo2[[#This Row],[Et Kalınlığı 4]]&lt;75,Tablo2[[#This Row],[ÇAP mm]]*0.015/2,"Anlaşmaya bağlıdır.")</f>
        <v>2.4292499999999997</v>
      </c>
      <c r="AG34" s="64">
        <f>Tablo2[[#This Row],[ÇAP mm]]*0.02</f>
        <v>6.4779999999999998</v>
      </c>
      <c r="AH34" s="8">
        <f>IF(Tablo2[[#This Row],[ÇAP mm]]/Tablo2[[#This Row],[Et Kalınlığı 5]]&lt;75,Tablo2[[#This Row],[ÇAP mm]]*0.015/2,"Anlaşmaya bağlıdır.")</f>
        <v>2.4292499999999997</v>
      </c>
      <c r="AI34" s="8">
        <f>Tablo2[[#This Row],[ÇAP mm]]*0.02</f>
        <v>6.4779999999999998</v>
      </c>
      <c r="AJ34" s="11">
        <f>IF(40*Tablo2[[#This Row],[Et Kalınlığı ]]&lt;485,Tablo2[[#This Row],[Et Kalınlığı ]]*40,485)</f>
        <v>206.4</v>
      </c>
      <c r="AK34" s="5">
        <f>1940*POWER(ROUND(AJ34,-1),0.2)/POWER(Tablo2[[#This Row],[Tensile Mpa]],0.9)</f>
        <v>22.686293185077698</v>
      </c>
      <c r="AL34" s="5">
        <f>IF(40*Tablo2[[#This Row],[Et Kalınlığı 2]]&lt;485,Tablo2[[#This Row],[Et Kalınlığı ]]*40,485)</f>
        <v>206.4</v>
      </c>
      <c r="AM34" s="5">
        <f>1940*POWER(ROUND(Tablo1[[#This Row],[Axc mm22]],-1),0.2)/POWER(Tablo2[[#This Row],[Tensile Mpa]],0.9)</f>
        <v>22.686293185077698</v>
      </c>
      <c r="AN34" s="5">
        <f>IF(40*Tablo2[[#This Row],[Et Kalınlığı 3]]&lt;485,Tablo2[[#This Row],[Et Kalınlığı ]]*40,485)</f>
        <v>206.4</v>
      </c>
      <c r="AO34" s="5">
        <f>1940*POWER(ROUND(Tablo1[[#This Row],[Axc mm23]],-1),0.2)/POWER(Tablo2[[#This Row],[Tensile Mpa]],0.9)</f>
        <v>22.686293185077698</v>
      </c>
      <c r="AP34" s="5">
        <f>IF(40*Tablo2[[#This Row],[Et Kalınlığı 4]]&lt;485,Tablo2[[#This Row],[Et Kalınlığı 4]]*40,485)</f>
        <v>335.20000000000005</v>
      </c>
      <c r="AQ34" s="12">
        <f>1940*POWER(ROUND(Tablo1[[#This Row],[Axc mm24]],-1),0.2)/POWER(Tablo2[[#This Row],[Tensile Mpa]],0.9)</f>
        <v>24.981324733197201</v>
      </c>
      <c r="AR34" s="5">
        <f>IF(40*Tablo2[[#This Row],[Et Kalınlığı 5]]&lt;485,Tablo2[[#This Row],[Et Kalınlığı 4]]*40,485)</f>
        <v>335.20000000000005</v>
      </c>
      <c r="AS34" s="64">
        <f>1940*POWER(ROUND(Tablo1[[#This Row],[Axc mm25]],-1),0.2)/POWER(Tablo2[[#This Row],[Tensile Mpa]],0.9)</f>
        <v>24.981324733197201</v>
      </c>
    </row>
    <row r="35" spans="2:45" x14ac:dyDescent="0.2">
      <c r="B35" s="43" t="s">
        <v>21</v>
      </c>
      <c r="C35" s="4">
        <v>355.6</v>
      </c>
      <c r="D35" s="4" t="s">
        <v>20</v>
      </c>
      <c r="E35" s="44">
        <v>52200</v>
      </c>
      <c r="F35" s="45">
        <v>460</v>
      </c>
      <c r="G35" s="49">
        <v>5.16</v>
      </c>
      <c r="H35" s="50">
        <f>2*Tablo2[[#This Row],[SMYS Psi]]*Tablo2[[#This Row],[Et Kalınlığı ]]/Tablo2[[#This Row],[ÇAP mm]]/14.50377</f>
        <v>104.4497834387581</v>
      </c>
      <c r="I35" s="51">
        <v>6.35</v>
      </c>
      <c r="J35" s="50">
        <f>2*Tablo2[[#This Row],[SMYS Psi]]*Tablo2[[#This Row],[Et Kalınlığı 2]]/Tablo2[[#This Row],[ÇAP mm]]/14.50377</f>
        <v>128.5380086891694</v>
      </c>
      <c r="K35" s="51">
        <v>7.92</v>
      </c>
      <c r="L35" s="50">
        <f>2*Tablo2[[#This Row],[SMYS Psi]]*Tablo2[[#This Row],[Et Kalınlığı 3]]/Tablo2[[#This Row],[ÇAP mm]]/14.50377</f>
        <v>160.31827225483804</v>
      </c>
      <c r="M35" s="51">
        <v>9.5299999999999994</v>
      </c>
      <c r="N35" s="52">
        <f>2*Tablo2[[#This Row],[SMYS Psi]]*Tablo2[[#This Row],[Et Kalınlığı 4]]/Tablo2[[#This Row],[ÇAP mm]]/14.50377</f>
        <v>192.90822406421796</v>
      </c>
      <c r="O35" s="51">
        <v>10.31</v>
      </c>
      <c r="P35" s="50">
        <f>2*Tablo2[[#This Row],[SMYS Psi]]*Tablo2[[#This Row],[Et Kalınlığı 5]]/Tablo2[[#This Row],[ÇAP mm]]/14.50377</f>
        <v>208.69714481658841</v>
      </c>
      <c r="Q35" s="17">
        <f>IF(Tablo2[[#This Row],[ÇAP mm]]*0.005-1.6&lt;0,Tablo2[[#This Row],[ÇAP mm]]*1.005,Tablo2[[#This Row],[ÇAP mm]]+1.6)</f>
        <v>357.20000000000005</v>
      </c>
      <c r="R35" s="3">
        <f>IF(Tablo2[[#This Row],[ÇAP mm]]*0.005-1.6&lt;0,Tablo2[[#This Row],[ÇAP mm]]*0.995,Tablo2[[#This Row],[ÇAP mm]]-1.6)</f>
        <v>354</v>
      </c>
      <c r="S35" s="3">
        <f>IF(Tablo2[[#This Row],[ÇAP mm]]*0.0075-3.2&lt;0,Tablo2[[#This Row],[ÇAP mm]]*1.0075,Tablo2[[#This Row],[ÇAP mm]]+3.2)</f>
        <v>358.26700000000005</v>
      </c>
      <c r="T35" s="19">
        <f>IF(Tablo2[[#This Row],[ÇAP mm]]*0.005-3.2&lt;0,Tablo2[[#This Row],[ÇAP mm]]*0.9925,Tablo2[[#This Row],[ÇAP mm]]-3.2)</f>
        <v>352.93300000000005</v>
      </c>
      <c r="U35" s="173">
        <f>Tablo2[[#This Row],[ÇAP mm]]/Tablo2[[#This Row],[Et Kalınlığı ]]</f>
        <v>68.914728682170548</v>
      </c>
      <c r="V35" s="60">
        <f>Tablo2[[#This Row],[ÇAP mm]]/Tablo2[[#This Row],[Et Kalınlığı 2]]</f>
        <v>56.000000000000007</v>
      </c>
      <c r="W35" s="60">
        <f>Tablo2[[#This Row],[ÇAP mm]]/Tablo2[[#This Row],[Et Kalınlığı 3]]</f>
        <v>44.898989898989903</v>
      </c>
      <c r="X35" s="61">
        <f>Tablo2[[#This Row],[ÇAP mm]]/Tablo2[[#This Row],[Et Kalınlığı 4]]</f>
        <v>37.313746065057714</v>
      </c>
      <c r="Y35" s="174">
        <f>Tablo2[[#This Row],[ÇAP mm]]/Tablo2[[#This Row],[Et Kalınlığı 5]]</f>
        <v>34.490785645004848</v>
      </c>
      <c r="Z35" s="8">
        <f>Tablo2[[#This Row],[ÇAP mm]]*0.015/2</f>
        <v>2.6670000000000003</v>
      </c>
      <c r="AA35" s="8">
        <f>Tablo2[[#This Row],[ÇAP mm]]*0.02</f>
        <v>7.112000000000001</v>
      </c>
      <c r="AB35" s="8">
        <f>Tablo2[[#This Row],[ÇAP mm]]*0.015/2</f>
        <v>2.6670000000000003</v>
      </c>
      <c r="AC35" s="8">
        <f>Tablo2[[#This Row],[ÇAP mm]]*0.02</f>
        <v>7.112000000000001</v>
      </c>
      <c r="AD35" s="8">
        <f>Tablo2[[#This Row],[ÇAP mm]]*0.015/2</f>
        <v>2.6670000000000003</v>
      </c>
      <c r="AE35" s="8">
        <f>Tablo2[[#This Row],[ÇAP mm]]*0.02</f>
        <v>7.112000000000001</v>
      </c>
      <c r="AF35" s="8">
        <f>IF(Tablo2[[#This Row],[ÇAP mm]]/Tablo2[[#This Row],[Et Kalınlığı 4]]&lt;75,Tablo2[[#This Row],[ÇAP mm]]*0.015/2,"Anlaşmaya bağlıdır.")</f>
        <v>2.6670000000000003</v>
      </c>
      <c r="AG35" s="64">
        <f>Tablo2[[#This Row],[ÇAP mm]]*0.02</f>
        <v>7.112000000000001</v>
      </c>
      <c r="AH35" s="8">
        <f>IF(Tablo2[[#This Row],[ÇAP mm]]/Tablo2[[#This Row],[Et Kalınlığı 5]]&lt;75,Tablo2[[#This Row],[ÇAP mm]]*0.015/2,"Anlaşmaya bağlıdır.")</f>
        <v>2.6670000000000003</v>
      </c>
      <c r="AI35" s="8">
        <f>Tablo2[[#This Row],[ÇAP mm]]*0.02</f>
        <v>7.112000000000001</v>
      </c>
      <c r="AJ35" s="11">
        <f>IF(40*Tablo2[[#This Row],[Et Kalınlığı ]]&lt;485,Tablo2[[#This Row],[Et Kalınlığı ]]*40,485)</f>
        <v>206.4</v>
      </c>
      <c r="AK35" s="5">
        <f>1940*POWER(ROUND(AJ35,-1),0.2)/POWER(Tablo2[[#This Row],[Tensile Mpa]],0.9)</f>
        <v>22.686293185077698</v>
      </c>
      <c r="AL35" s="5">
        <f>IF(40*Tablo2[[#This Row],[Et Kalınlığı 2]]&lt;485,Tablo2[[#This Row],[Et Kalınlığı ]]*40,485)</f>
        <v>206.4</v>
      </c>
      <c r="AM35" s="5">
        <f>1940*POWER(ROUND(Tablo1[[#This Row],[Axc mm22]],-1),0.2)/POWER(Tablo2[[#This Row],[Tensile Mpa]],0.9)</f>
        <v>22.686293185077698</v>
      </c>
      <c r="AN35" s="5">
        <f>IF(40*Tablo2[[#This Row],[Et Kalınlığı 3]]&lt;485,Tablo2[[#This Row],[Et Kalınlığı ]]*40,485)</f>
        <v>206.4</v>
      </c>
      <c r="AO35" s="5">
        <f>1940*POWER(ROUND(Tablo1[[#This Row],[Axc mm23]],-1),0.2)/POWER(Tablo2[[#This Row],[Tensile Mpa]],0.9)</f>
        <v>22.686293185077698</v>
      </c>
      <c r="AP35" s="5">
        <f>IF(40*Tablo2[[#This Row],[Et Kalınlığı 4]]&lt;485,Tablo2[[#This Row],[Et Kalınlığı 4]]*40,485)</f>
        <v>381.2</v>
      </c>
      <c r="AQ35" s="12">
        <f>1940*POWER(ROUND(Tablo1[[#This Row],[Axc mm24]],-1),0.2)/POWER(Tablo2[[#This Row],[Tensile Mpa]],0.9)</f>
        <v>25.543264513362288</v>
      </c>
      <c r="AR35" s="5">
        <f>IF(40*Tablo2[[#This Row],[Et Kalınlığı 5]]&lt;485,Tablo2[[#This Row],[Et Kalınlığı 4]]*40,485)</f>
        <v>381.2</v>
      </c>
      <c r="AS35" s="64">
        <f>1940*POWER(ROUND(Tablo1[[#This Row],[Axc mm25]],-1),0.2)/POWER(Tablo2[[#This Row],[Tensile Mpa]],0.9)</f>
        <v>25.543264513362288</v>
      </c>
    </row>
    <row r="36" spans="2:45" x14ac:dyDescent="0.2">
      <c r="B36" s="43" t="s">
        <v>22</v>
      </c>
      <c r="C36" s="4">
        <v>406.4</v>
      </c>
      <c r="D36" s="4" t="s">
        <v>23</v>
      </c>
      <c r="E36" s="44">
        <v>60200</v>
      </c>
      <c r="F36" s="45">
        <v>520</v>
      </c>
      <c r="G36" s="49">
        <v>5.16</v>
      </c>
      <c r="H36" s="50">
        <f>2*Tablo2[[#This Row],[SMYS Psi]]*Tablo2[[#This Row],[Et Kalınlığı ]]/Tablo2[[#This Row],[ÇAP mm]]/14.50377</f>
        <v>105.40023644897671</v>
      </c>
      <c r="I36" s="51">
        <v>6.35</v>
      </c>
      <c r="J36" s="50">
        <f>2*Tablo2[[#This Row],[SMYS Psi]]*Tablo2[[#This Row],[Et Kalınlığı 2]]/Tablo2[[#This Row],[ÇAP mm]]/14.50377</f>
        <v>129.70765531996165</v>
      </c>
      <c r="K36" s="51">
        <v>7.92</v>
      </c>
      <c r="L36" s="50">
        <f>2*Tablo2[[#This Row],[SMYS Psi]]*Tablo2[[#This Row],[Et Kalınlığı 3]]/Tablo2[[#This Row],[ÇAP mm]]/14.50377</f>
        <v>161.77710710773169</v>
      </c>
      <c r="M36" s="51">
        <v>9.5299999999999994</v>
      </c>
      <c r="N36" s="52">
        <f>2*Tablo2[[#This Row],[SMYS Psi]]*Tablo2[[#This Row],[Et Kalınlığı 4]]/Tablo2[[#This Row],[ÇAP mm]]/14.50377</f>
        <v>194.66361499200542</v>
      </c>
      <c r="O36" s="51">
        <v>10.31</v>
      </c>
      <c r="P36" s="50">
        <f>2*Tablo2[[#This Row],[SMYS Psi]]*Tablo2[[#This Row],[Et Kalınlığı 5]]/Tablo2[[#This Row],[ÇAP mm]]/14.50377</f>
        <v>210.59620887382749</v>
      </c>
      <c r="Q36" s="17">
        <f>IF(Tablo2[[#This Row],[ÇAP mm]]*0.005-1.6&lt;0,Tablo2[[#This Row],[ÇAP mm]]*1.005,Tablo2[[#This Row],[ÇAP mm]]+1.6)</f>
        <v>408</v>
      </c>
      <c r="R36" s="3">
        <f>IF(Tablo2[[#This Row],[ÇAP mm]]*0.005-1.6&lt;0,Tablo2[[#This Row],[ÇAP mm]]*0.995,Tablo2[[#This Row],[ÇAP mm]]-1.6)</f>
        <v>404.79999999999995</v>
      </c>
      <c r="S36" s="3">
        <f>IF(Tablo2[[#This Row],[ÇAP mm]]*0.0075-3.2&lt;0,Tablo2[[#This Row],[ÇAP mm]]*1.0075,Tablo2[[#This Row],[ÇAP mm]]+3.2)</f>
        <v>409.44799999999998</v>
      </c>
      <c r="T36" s="19">
        <f>IF(Tablo2[[#This Row],[ÇAP mm]]*0.005-3.2&lt;0,Tablo2[[#This Row],[ÇAP mm]]*0.9925,Tablo2[[#This Row],[ÇAP mm]]-3.2)</f>
        <v>403.35199999999998</v>
      </c>
      <c r="U36" s="173">
        <f>Tablo2[[#This Row],[ÇAP mm]]/Tablo2[[#This Row],[Et Kalınlığı ]]</f>
        <v>78.759689922480618</v>
      </c>
      <c r="V36" s="60">
        <f>Tablo2[[#This Row],[ÇAP mm]]/Tablo2[[#This Row],[Et Kalınlığı 2]]</f>
        <v>64</v>
      </c>
      <c r="W36" s="60">
        <f>Tablo2[[#This Row],[ÇAP mm]]/Tablo2[[#This Row],[Et Kalınlığı 3]]</f>
        <v>51.313131313131308</v>
      </c>
      <c r="X36" s="61">
        <f>Tablo2[[#This Row],[ÇAP mm]]/Tablo2[[#This Row],[Et Kalınlığı 4]]</f>
        <v>42.644281217208814</v>
      </c>
      <c r="Y36" s="174">
        <f>Tablo2[[#This Row],[ÇAP mm]]/Tablo2[[#This Row],[Et Kalınlığı 5]]</f>
        <v>39.418040737148395</v>
      </c>
      <c r="Z36" s="8">
        <f>Tablo2[[#This Row],[ÇAP mm]]*0.015/2</f>
        <v>3.0479999999999996</v>
      </c>
      <c r="AA36" s="8">
        <f>Tablo2[[#This Row],[ÇAP mm]]*0.02</f>
        <v>8.1280000000000001</v>
      </c>
      <c r="AB36" s="8">
        <f>Tablo2[[#This Row],[ÇAP mm]]*0.015/2</f>
        <v>3.0479999999999996</v>
      </c>
      <c r="AC36" s="8">
        <f>Tablo2[[#This Row],[ÇAP mm]]*0.02</f>
        <v>8.1280000000000001</v>
      </c>
      <c r="AD36" s="8">
        <f>Tablo2[[#This Row],[ÇAP mm]]*0.015/2</f>
        <v>3.0479999999999996</v>
      </c>
      <c r="AE36" s="8">
        <f>Tablo2[[#This Row],[ÇAP mm]]*0.02</f>
        <v>8.1280000000000001</v>
      </c>
      <c r="AF36" s="8">
        <f>IF(Tablo2[[#This Row],[ÇAP mm]]/Tablo2[[#This Row],[Et Kalınlığı 4]]&lt;75,Tablo2[[#This Row],[ÇAP mm]]*0.015/2,"Anlaşmaya bağlıdır.")</f>
        <v>3.0479999999999996</v>
      </c>
      <c r="AG36" s="64">
        <f>Tablo2[[#This Row],[ÇAP mm]]*0.02</f>
        <v>8.1280000000000001</v>
      </c>
      <c r="AH36" s="8">
        <f>IF(Tablo2[[#This Row],[ÇAP mm]]/Tablo2[[#This Row],[Et Kalınlığı 5]]&lt;75,Tablo2[[#This Row],[ÇAP mm]]*0.015/2,"Anlaşmaya bağlıdır.")</f>
        <v>3.0479999999999996</v>
      </c>
      <c r="AI36" s="8">
        <f>Tablo2[[#This Row],[ÇAP mm]]*0.02</f>
        <v>8.1280000000000001</v>
      </c>
      <c r="AJ36" s="11">
        <f>IF(40*Tablo2[[#This Row],[Et Kalınlığı ]]&lt;485,Tablo2[[#This Row],[Et Kalınlığı ]]*40,485)</f>
        <v>206.4</v>
      </c>
      <c r="AK36" s="5">
        <f>1940*POWER(ROUND(AJ36,-1),0.2)/POWER(Tablo2[[#This Row],[Tensile Mpa]],0.9)</f>
        <v>20.316204681560613</v>
      </c>
      <c r="AL36" s="5">
        <f>IF(40*Tablo2[[#This Row],[Et Kalınlığı 2]]&lt;485,Tablo2[[#This Row],[Et Kalınlığı ]]*40,485)</f>
        <v>206.4</v>
      </c>
      <c r="AM36" s="5">
        <f>1940*POWER(ROUND(Tablo1[[#This Row],[Axc mm22]],-1),0.2)/POWER(Tablo2[[#This Row],[Tensile Mpa]],0.9)</f>
        <v>20.316204681560613</v>
      </c>
      <c r="AN36" s="5">
        <f>IF(40*Tablo2[[#This Row],[Et Kalınlığı 3]]&lt;485,Tablo2[[#This Row],[Et Kalınlığı ]]*40,485)</f>
        <v>206.4</v>
      </c>
      <c r="AO36" s="5">
        <f>1940*POWER(ROUND(Tablo1[[#This Row],[Axc mm23]],-1),0.2)/POWER(Tablo2[[#This Row],[Tensile Mpa]],0.9)</f>
        <v>20.316204681560613</v>
      </c>
      <c r="AP36" s="5">
        <f>IF(40*Tablo2[[#This Row],[Et Kalınlığı 4]]&lt;485,Tablo2[[#This Row],[Et Kalınlığı 4]]*40,485)</f>
        <v>381.2</v>
      </c>
      <c r="AQ36" s="12">
        <f>1940*POWER(ROUND(Tablo1[[#This Row],[Axc mm24]],-1),0.2)/POWER(Tablo2[[#This Row],[Tensile Mpa]],0.9)</f>
        <v>22.874701735321626</v>
      </c>
      <c r="AR36" s="5">
        <f>IF(40*Tablo2[[#This Row],[Et Kalınlığı 5]]&lt;485,Tablo2[[#This Row],[Et Kalınlığı 4]]*40,485)</f>
        <v>381.2</v>
      </c>
      <c r="AS36" s="64">
        <f>1940*POWER(ROUND(Tablo1[[#This Row],[Axc mm25]],-1),0.2)/POWER(Tablo2[[#This Row],[Tensile Mpa]],0.9)</f>
        <v>22.874701735321626</v>
      </c>
    </row>
    <row r="37" spans="2:45" x14ac:dyDescent="0.2">
      <c r="B37" s="43" t="s">
        <v>24</v>
      </c>
      <c r="C37" s="4">
        <v>457</v>
      </c>
      <c r="D37" s="4" t="s">
        <v>25</v>
      </c>
      <c r="E37" s="44">
        <v>65300</v>
      </c>
      <c r="F37" s="45">
        <v>535</v>
      </c>
      <c r="G37" s="49">
        <v>5.56</v>
      </c>
      <c r="H37" s="50">
        <f>2*Tablo2[[#This Row],[SMYS Psi]]*Tablo2[[#This Row],[Et Kalınlığı ]]/Tablo2[[#This Row],[ÇAP mm]]/14.50377</f>
        <v>109.55213969879037</v>
      </c>
      <c r="I37" s="51">
        <v>6.35</v>
      </c>
      <c r="J37" s="50">
        <f>2*Tablo2[[#This Row],[SMYS Psi]]*Tablo2[[#This Row],[Et Kalınlığı 2]]/Tablo2[[#This Row],[ÇAP mm]]/14.50377</f>
        <v>125.11800127469763</v>
      </c>
      <c r="K37" s="51">
        <v>7.92</v>
      </c>
      <c r="L37" s="50">
        <f>2*Tablo2[[#This Row],[SMYS Psi]]*Tablo2[[#This Row],[Et Kalınlığı 3]]/Tablo2[[#This Row],[ÇAP mm]]/14.50377</f>
        <v>156.05268820403231</v>
      </c>
      <c r="M37" s="51">
        <v>9.5299999999999994</v>
      </c>
      <c r="N37" s="52">
        <f>2*Tablo2[[#This Row],[SMYS Psi]]*Tablo2[[#This Row],[Et Kalınlığı 4]]/Tablo2[[#This Row],[ÇAP mm]]/14.50377</f>
        <v>187.77552002328636</v>
      </c>
      <c r="O37" s="51">
        <v>10.31</v>
      </c>
      <c r="P37" s="50">
        <f>2*Tablo2[[#This Row],[SMYS Psi]]*Tablo2[[#This Row],[Et Kalınlığı 5]]/Tablo2[[#This Row],[ÇAP mm]]/14.50377</f>
        <v>203.1443453767138</v>
      </c>
      <c r="Q37" s="17">
        <f>IF(Tablo2[[#This Row],[ÇAP mm]]*0.005-1.6&lt;0,Tablo2[[#This Row],[ÇAP mm]]*1.005,Tablo2[[#This Row],[ÇAP mm]]+1.6)</f>
        <v>458.6</v>
      </c>
      <c r="R37" s="3">
        <f>IF(Tablo2[[#This Row],[ÇAP mm]]*0.005-1.6&lt;0,Tablo2[[#This Row],[ÇAP mm]]*0.995,Tablo2[[#This Row],[ÇAP mm]]-1.6)</f>
        <v>455.4</v>
      </c>
      <c r="S37" s="3">
        <f>IF(Tablo2[[#This Row],[ÇAP mm]]*0.0075-3.2&lt;0,Tablo2[[#This Row],[ÇAP mm]]*1.0075,Tablo2[[#This Row],[ÇAP mm]]+3.2)</f>
        <v>460.2</v>
      </c>
      <c r="T37" s="19">
        <f>IF(Tablo2[[#This Row],[ÇAP mm]]*0.005-3.2&lt;0,Tablo2[[#This Row],[ÇAP mm]]*0.9925,Tablo2[[#This Row],[ÇAP mm]]-3.2)</f>
        <v>453.57250000000005</v>
      </c>
      <c r="U37" s="173">
        <f>Tablo2[[#This Row],[ÇAP mm]]/Tablo2[[#This Row],[Et Kalınlığı ]]</f>
        <v>82.194244604316552</v>
      </c>
      <c r="V37" s="60">
        <f>Tablo2[[#This Row],[ÇAP mm]]/Tablo2[[#This Row],[Et Kalınlığı 2]]</f>
        <v>71.968503937007881</v>
      </c>
      <c r="W37" s="60">
        <f>Tablo2[[#This Row],[ÇAP mm]]/Tablo2[[#This Row],[Et Kalınlığı 3]]</f>
        <v>57.702020202020201</v>
      </c>
      <c r="X37" s="61">
        <f>Tablo2[[#This Row],[ÇAP mm]]/Tablo2[[#This Row],[Et Kalınlığı 4]]</f>
        <v>47.953830010493185</v>
      </c>
      <c r="Y37" s="174">
        <f>Tablo2[[#This Row],[ÇAP mm]]/Tablo2[[#This Row],[Et Kalınlığı 5]]</f>
        <v>44.325897187196894</v>
      </c>
      <c r="Z37" s="8">
        <f>Tablo2[[#This Row],[ÇAP mm]]*0.015/2</f>
        <v>3.4274999999999998</v>
      </c>
      <c r="AA37" s="8">
        <f>Tablo2[[#This Row],[ÇAP mm]]*0.02</f>
        <v>9.14</v>
      </c>
      <c r="AB37" s="8">
        <f>Tablo2[[#This Row],[ÇAP mm]]*0.015/2</f>
        <v>3.4274999999999998</v>
      </c>
      <c r="AC37" s="8">
        <f>Tablo2[[#This Row],[ÇAP mm]]*0.02</f>
        <v>9.14</v>
      </c>
      <c r="AD37" s="8">
        <f>Tablo2[[#This Row],[ÇAP mm]]*0.015/2</f>
        <v>3.4274999999999998</v>
      </c>
      <c r="AE37" s="8">
        <f>Tablo2[[#This Row],[ÇAP mm]]*0.02</f>
        <v>9.14</v>
      </c>
      <c r="AF37" s="8">
        <f>IF(Tablo2[[#This Row],[ÇAP mm]]/Tablo2[[#This Row],[Et Kalınlığı 4]]&lt;75,Tablo2[[#This Row],[ÇAP mm]]*0.015/2,"Anlaşmaya bağlıdır.")</f>
        <v>3.4274999999999998</v>
      </c>
      <c r="AG37" s="64">
        <f>Tablo2[[#This Row],[ÇAP mm]]*0.02</f>
        <v>9.14</v>
      </c>
      <c r="AH37" s="8">
        <f>IF(Tablo2[[#This Row],[ÇAP mm]]/Tablo2[[#This Row],[Et Kalınlığı 5]]&lt;75,Tablo2[[#This Row],[ÇAP mm]]*0.015/2,"Anlaşmaya bağlıdır.")</f>
        <v>3.4274999999999998</v>
      </c>
      <c r="AI37" s="8">
        <f>Tablo2[[#This Row],[ÇAP mm]]*0.02</f>
        <v>9.14</v>
      </c>
      <c r="AJ37" s="11">
        <f>IF(40*Tablo2[[#This Row],[Et Kalınlığı ]]&lt;485,Tablo2[[#This Row],[Et Kalınlığı ]]*40,485)</f>
        <v>222.39999999999998</v>
      </c>
      <c r="AK37" s="5">
        <f>1940*POWER(ROUND(AJ37,-1),0.2)/POWER(Tablo2[[#This Row],[Tensile Mpa]],0.9)</f>
        <v>19.987931953757798</v>
      </c>
      <c r="AL37" s="5">
        <f>IF(40*Tablo2[[#This Row],[Et Kalınlığı 2]]&lt;485,Tablo2[[#This Row],[Et Kalınlığı ]]*40,485)</f>
        <v>222.39999999999998</v>
      </c>
      <c r="AM37" s="5">
        <f>1940*POWER(ROUND(Tablo1[[#This Row],[Axc mm22]],-1),0.2)/POWER(Tablo2[[#This Row],[Tensile Mpa]],0.9)</f>
        <v>19.987931953757798</v>
      </c>
      <c r="AN37" s="5">
        <f>IF(40*Tablo2[[#This Row],[Et Kalınlığı 3]]&lt;485,Tablo2[[#This Row],[Et Kalınlığı ]]*40,485)</f>
        <v>222.39999999999998</v>
      </c>
      <c r="AO37" s="5">
        <f>1940*POWER(ROUND(Tablo1[[#This Row],[Axc mm23]],-1),0.2)/POWER(Tablo2[[#This Row],[Tensile Mpa]],0.9)</f>
        <v>19.987931953757798</v>
      </c>
      <c r="AP37" s="5">
        <f>IF(40*Tablo2[[#This Row],[Et Kalınlığı 4]]&lt;485,Tablo2[[#This Row],[Et Kalınlığı 4]]*40,485)</f>
        <v>381.2</v>
      </c>
      <c r="AQ37" s="12">
        <f>1940*POWER(ROUND(Tablo1[[#This Row],[Axc mm24]],-1),0.2)/POWER(Tablo2[[#This Row],[Tensile Mpa]],0.9)</f>
        <v>22.296672016370039</v>
      </c>
      <c r="AR37" s="5">
        <f>IF(40*Tablo2[[#This Row],[Et Kalınlığı 5]]&lt;485,Tablo2[[#This Row],[Et Kalınlığı 4]]*40,485)</f>
        <v>381.2</v>
      </c>
      <c r="AS37" s="64">
        <f>1940*POWER(ROUND(Tablo1[[#This Row],[Axc mm25]],-1),0.2)/POWER(Tablo2[[#This Row],[Tensile Mpa]],0.9)</f>
        <v>22.296672016370039</v>
      </c>
    </row>
    <row r="38" spans="2:45" x14ac:dyDescent="0.2">
      <c r="B38" s="43" t="s">
        <v>26</v>
      </c>
      <c r="C38" s="4">
        <v>508</v>
      </c>
      <c r="D38" s="4" t="s">
        <v>25</v>
      </c>
      <c r="E38" s="44">
        <v>65300</v>
      </c>
      <c r="F38" s="45">
        <v>535</v>
      </c>
      <c r="G38" s="49">
        <v>6.35</v>
      </c>
      <c r="H38" s="50">
        <f>2*Tablo2[[#This Row],[SMYS Psi]]*Tablo2[[#This Row],[Et Kalınlığı ]]/Tablo2[[#This Row],[ÇAP mm]]/14.50377</f>
        <v>112.55694209160791</v>
      </c>
      <c r="I38" s="51">
        <v>7.14</v>
      </c>
      <c r="J38" s="50">
        <f>2*Tablo2[[#This Row],[SMYS Psi]]*Tablo2[[#This Row],[Et Kalınlığı 2]]/Tablo2[[#This Row],[ÇAP mm]]/14.50377</f>
        <v>126.56008921796544</v>
      </c>
      <c r="K38" s="51">
        <v>8.74</v>
      </c>
      <c r="L38" s="50">
        <f>2*Tablo2[[#This Row],[SMYS Psi]]*Tablo2[[#This Row],[Et Kalınlığı 3]]/Tablo2[[#This Row],[ÇAP mm]]/14.50377</f>
        <v>154.92089352451231</v>
      </c>
      <c r="M38" s="51">
        <v>10.31</v>
      </c>
      <c r="N38" s="52">
        <f>2*Tablo2[[#This Row],[SMYS Psi]]*Tablo2[[#This Row],[Et Kalınlığı 4]]/Tablo2[[#This Row],[ÇAP mm]]/14.50377</f>
        <v>182.74993275031142</v>
      </c>
      <c r="O38" s="51">
        <v>11.13</v>
      </c>
      <c r="P38" s="50">
        <f>2*Tablo2[[#This Row],[SMYS Psi]]*Tablo2[[#This Row],[Et Kalınlığı 5]]/Tablo2[[#This Row],[ÇAP mm]]/14.50377</f>
        <v>197.28484495741671</v>
      </c>
      <c r="Q38" s="17">
        <f>IF(Tablo2[[#This Row],[ÇAP mm]]*0.005-1.6&lt;0,Tablo2[[#This Row],[ÇAP mm]]*1.005,Tablo2[[#This Row],[ÇAP mm]]+1.6)</f>
        <v>509.6</v>
      </c>
      <c r="R38" s="3">
        <f>IF(Tablo2[[#This Row],[ÇAP mm]]*0.005-1.6&lt;0,Tablo2[[#This Row],[ÇAP mm]]*0.995,Tablo2[[#This Row],[ÇAP mm]]-1.6)</f>
        <v>506.4</v>
      </c>
      <c r="S38" s="3">
        <f>IF(Tablo2[[#This Row],[ÇAP mm]]*0.0075-3.2&lt;0,Tablo2[[#This Row],[ÇAP mm]]*1.0075,Tablo2[[#This Row],[ÇAP mm]]+3.2)</f>
        <v>511.2</v>
      </c>
      <c r="T38" s="19">
        <f>IF(Tablo2[[#This Row],[ÇAP mm]]*0.005-3.2&lt;0,Tablo2[[#This Row],[ÇAP mm]]*0.9925,Tablo2[[#This Row],[ÇAP mm]]-3.2)</f>
        <v>504.19</v>
      </c>
      <c r="U38" s="173">
        <f>Tablo2[[#This Row],[ÇAP mm]]/Tablo2[[#This Row],[Et Kalınlığı ]]</f>
        <v>80</v>
      </c>
      <c r="V38" s="60">
        <f>Tablo2[[#This Row],[ÇAP mm]]/Tablo2[[#This Row],[Et Kalınlığı 2]]</f>
        <v>71.148459383753504</v>
      </c>
      <c r="W38" s="60">
        <f>Tablo2[[#This Row],[ÇAP mm]]/Tablo2[[#This Row],[Et Kalınlığı 3]]</f>
        <v>58.12356979405034</v>
      </c>
      <c r="X38" s="61">
        <f>Tablo2[[#This Row],[ÇAP mm]]/Tablo2[[#This Row],[Et Kalınlığı 4]]</f>
        <v>49.272550921435496</v>
      </c>
      <c r="Y38" s="174">
        <f>Tablo2[[#This Row],[ÇAP mm]]/Tablo2[[#This Row],[Et Kalınlığı 5]]</f>
        <v>45.642407906558844</v>
      </c>
      <c r="Z38" s="8">
        <f>Tablo2[[#This Row],[ÇAP mm]]*0.015/2</f>
        <v>3.81</v>
      </c>
      <c r="AA38" s="8">
        <f>Tablo2[[#This Row],[ÇAP mm]]*0.02</f>
        <v>10.16</v>
      </c>
      <c r="AB38" s="8">
        <f>Tablo2[[#This Row],[ÇAP mm]]*0.015/2</f>
        <v>3.81</v>
      </c>
      <c r="AC38" s="8">
        <f>Tablo2[[#This Row],[ÇAP mm]]*0.02</f>
        <v>10.16</v>
      </c>
      <c r="AD38" s="8">
        <f>Tablo2[[#This Row],[ÇAP mm]]*0.015/2</f>
        <v>3.81</v>
      </c>
      <c r="AE38" s="8">
        <f>Tablo2[[#This Row],[ÇAP mm]]*0.02</f>
        <v>10.16</v>
      </c>
      <c r="AF38" s="8">
        <f>IF(Tablo2[[#This Row],[ÇAP mm]]/Tablo2[[#This Row],[Et Kalınlığı 4]]&lt;75,Tablo2[[#This Row],[ÇAP mm]]*0.015/2,"Anlaşmaya bağlıdır.")</f>
        <v>3.81</v>
      </c>
      <c r="AG38" s="64">
        <f>Tablo2[[#This Row],[ÇAP mm]]*0.02</f>
        <v>10.16</v>
      </c>
      <c r="AH38" s="8">
        <f>IF(Tablo2[[#This Row],[ÇAP mm]]/Tablo2[[#This Row],[Et Kalınlığı 5]]&lt;75,Tablo2[[#This Row],[ÇAP mm]]*0.015/2,"Anlaşmaya bağlıdır.")</f>
        <v>3.81</v>
      </c>
      <c r="AI38" s="8">
        <f>Tablo2[[#This Row],[ÇAP mm]]*0.02</f>
        <v>10.16</v>
      </c>
      <c r="AJ38" s="11">
        <f>IF(40*Tablo2[[#This Row],[Et Kalınlığı ]]&lt;485,Tablo2[[#This Row],[Et Kalınlığı ]]*40,485)</f>
        <v>254</v>
      </c>
      <c r="AK38" s="5">
        <f>1940*POWER(ROUND(AJ38,-1),0.2)/POWER(Tablo2[[#This Row],[Tensile Mpa]],0.9)</f>
        <v>20.505545534157321</v>
      </c>
      <c r="AL38" s="5">
        <f>IF(40*Tablo2[[#This Row],[Et Kalınlığı 2]]&lt;485,Tablo2[[#This Row],[Et Kalınlığı ]]*40,485)</f>
        <v>254</v>
      </c>
      <c r="AM38" s="5">
        <f>1940*POWER(ROUND(Tablo1[[#This Row],[Axc mm22]],-1),0.2)/POWER(Tablo2[[#This Row],[Tensile Mpa]],0.9)</f>
        <v>20.505545534157321</v>
      </c>
      <c r="AN38" s="5">
        <f>IF(40*Tablo2[[#This Row],[Et Kalınlığı 3]]&lt;485,Tablo2[[#This Row],[Et Kalınlığı ]]*40,485)</f>
        <v>254</v>
      </c>
      <c r="AO38" s="5">
        <f>1940*POWER(ROUND(Tablo1[[#This Row],[Axc mm23]],-1),0.2)/POWER(Tablo2[[#This Row],[Tensile Mpa]],0.9)</f>
        <v>20.505545534157321</v>
      </c>
      <c r="AP38" s="5">
        <f>IF(40*Tablo2[[#This Row],[Et Kalınlığı 4]]&lt;485,Tablo2[[#This Row],[Et Kalınlığı 4]]*40,485)</f>
        <v>412.40000000000003</v>
      </c>
      <c r="AQ38" s="12">
        <f>1940*POWER(ROUND(Tablo1[[#This Row],[Axc mm24]],-1),0.2)/POWER(Tablo2[[#This Row],[Tensile Mpa]],0.9)</f>
        <v>22.638106434627545</v>
      </c>
      <c r="AR38" s="5">
        <f>IF(40*Tablo2[[#This Row],[Et Kalınlığı 5]]&lt;485,Tablo2[[#This Row],[Et Kalınlığı 4]]*40,485)</f>
        <v>412.40000000000003</v>
      </c>
      <c r="AS38" s="64">
        <f>1940*POWER(ROUND(Tablo1[[#This Row],[Axc mm25]],-1),0.2)/POWER(Tablo2[[#This Row],[Tensile Mpa]],0.9)</f>
        <v>22.638106434627545</v>
      </c>
    </row>
    <row r="39" spans="2:45" x14ac:dyDescent="0.2">
      <c r="B39" s="43" t="s">
        <v>27</v>
      </c>
      <c r="C39" s="4">
        <v>559</v>
      </c>
      <c r="D39" s="4" t="s">
        <v>25</v>
      </c>
      <c r="E39" s="44">
        <v>65300</v>
      </c>
      <c r="F39" s="45">
        <v>535</v>
      </c>
      <c r="G39" s="49">
        <v>7.14</v>
      </c>
      <c r="H39" s="50">
        <f>2*Tablo2[[#This Row],[SMYS Psi]]*Tablo2[[#This Row],[Et Kalınlığı ]]/Tablo2[[#This Row],[ÇAP mm]]/14.50377</f>
        <v>115.01346211578969</v>
      </c>
      <c r="I39" s="51">
        <v>7.92</v>
      </c>
      <c r="J39" s="50">
        <f>2*Tablo2[[#This Row],[SMYS Psi]]*Tablo2[[#This Row],[Et Kalınlığı 2]]/Tablo2[[#This Row],[ÇAP mm]]/14.50377</f>
        <v>127.57795797717849</v>
      </c>
      <c r="K39" s="51">
        <v>9.5299999999999994</v>
      </c>
      <c r="L39" s="50">
        <f>2*Tablo2[[#This Row],[SMYS Psi]]*Tablo2[[#This Row],[Et Kalınlığı 3]]/Tablo2[[#This Row],[ÇAP mm]]/14.50377</f>
        <v>153.51236610132716</v>
      </c>
      <c r="M39" s="51">
        <v>11.13</v>
      </c>
      <c r="N39" s="52">
        <f>2*Tablo2[[#This Row],[SMYS Psi]]*Tablo2[[#This Row],[Et Kalınlığı 4]]/Tablo2[[#This Row],[ÇAP mm]]/14.50377</f>
        <v>179.28569094520157</v>
      </c>
      <c r="O39" s="51">
        <v>11.97</v>
      </c>
      <c r="P39" s="50">
        <f>2*Tablo2[[#This Row],[SMYS Psi]]*Tablo2[[#This Row],[Et Kalınlığı 5]]/Tablo2[[#This Row],[ÇAP mm]]/14.50377</f>
        <v>192.81668648823566</v>
      </c>
      <c r="Q39" s="17">
        <f>IF(Tablo2[[#This Row],[ÇAP mm]]*0.005-1.6&lt;0,Tablo2[[#This Row],[ÇAP mm]]*1.005,Tablo2[[#This Row],[ÇAP mm]]+1.6)</f>
        <v>560.6</v>
      </c>
      <c r="R39" s="3">
        <f>IF(Tablo2[[#This Row],[ÇAP mm]]*0.005-1.6&lt;0,Tablo2[[#This Row],[ÇAP mm]]*0.995,Tablo2[[#This Row],[ÇAP mm]]-1.6)</f>
        <v>557.4</v>
      </c>
      <c r="S39" s="3">
        <f>IF(Tablo2[[#This Row],[ÇAP mm]]*0.0075-3.2&lt;0,Tablo2[[#This Row],[ÇAP mm]]*1.0075,Tablo2[[#This Row],[ÇAP mm]]+3.2)</f>
        <v>562.20000000000005</v>
      </c>
      <c r="T39" s="19">
        <f>IF(Tablo2[[#This Row],[ÇAP mm]]*0.005-3.2&lt;0,Tablo2[[#This Row],[ÇAP mm]]*0.9925,Tablo2[[#This Row],[ÇAP mm]]-3.2)</f>
        <v>554.8075</v>
      </c>
      <c r="U39" s="173">
        <f>Tablo2[[#This Row],[ÇAP mm]]/Tablo2[[#This Row],[Et Kalınlığı ]]</f>
        <v>78.291316526610643</v>
      </c>
      <c r="V39" s="60">
        <f>Tablo2[[#This Row],[ÇAP mm]]/Tablo2[[#This Row],[Et Kalınlığı 2]]</f>
        <v>70.580808080808083</v>
      </c>
      <c r="W39" s="60">
        <f>Tablo2[[#This Row],[ÇAP mm]]/Tablo2[[#This Row],[Et Kalınlığı 3]]</f>
        <v>58.656873032528857</v>
      </c>
      <c r="X39" s="61">
        <f>Tablo2[[#This Row],[ÇAP mm]]/Tablo2[[#This Row],[Et Kalınlığı 4]]</f>
        <v>50.224618149146444</v>
      </c>
      <c r="Y39" s="174">
        <f>Tablo2[[#This Row],[ÇAP mm]]/Tablo2[[#This Row],[Et Kalınlığı 5]]</f>
        <v>46.7000835421888</v>
      </c>
      <c r="Z39" s="8">
        <f>Tablo2[[#This Row],[ÇAP mm]]*0.015/2</f>
        <v>4.1924999999999999</v>
      </c>
      <c r="AA39" s="8">
        <f>Tablo2[[#This Row],[ÇAP mm]]*0.02</f>
        <v>11.18</v>
      </c>
      <c r="AB39" s="8">
        <f>Tablo2[[#This Row],[ÇAP mm]]*0.015/2</f>
        <v>4.1924999999999999</v>
      </c>
      <c r="AC39" s="8">
        <f>Tablo2[[#This Row],[ÇAP mm]]*0.02</f>
        <v>11.18</v>
      </c>
      <c r="AD39" s="8">
        <f>Tablo2[[#This Row],[ÇAP mm]]*0.015/2</f>
        <v>4.1924999999999999</v>
      </c>
      <c r="AE39" s="8">
        <f>Tablo2[[#This Row],[ÇAP mm]]*0.02</f>
        <v>11.18</v>
      </c>
      <c r="AF39" s="8">
        <f>IF(Tablo2[[#This Row],[ÇAP mm]]/Tablo2[[#This Row],[Et Kalınlığı 4]]&lt;75,Tablo2[[#This Row],[ÇAP mm]]*0.015/2,"Anlaşmaya bağlıdır.")</f>
        <v>4.1924999999999999</v>
      </c>
      <c r="AG39" s="64">
        <f>Tablo2[[#This Row],[ÇAP mm]]*0.02</f>
        <v>11.18</v>
      </c>
      <c r="AH39" s="8">
        <f>IF(Tablo2[[#This Row],[ÇAP mm]]/Tablo2[[#This Row],[Et Kalınlığı 5]]&lt;75,Tablo2[[#This Row],[ÇAP mm]]*0.015/2,"Anlaşmaya bağlıdır.")</f>
        <v>4.1924999999999999</v>
      </c>
      <c r="AI39" s="8">
        <f>Tablo2[[#This Row],[ÇAP mm]]*0.02</f>
        <v>11.18</v>
      </c>
      <c r="AJ39" s="11">
        <f>IF(40*Tablo2[[#This Row],[Et Kalınlığı ]]&lt;485,Tablo2[[#This Row],[Et Kalınlığı ]]*40,485)</f>
        <v>285.59999999999997</v>
      </c>
      <c r="AK39" s="5">
        <f>1940*POWER(ROUND(AJ39,-1),0.2)/POWER(Tablo2[[#This Row],[Tensile Mpa]],0.9)</f>
        <v>21.123356353126937</v>
      </c>
      <c r="AL39" s="5">
        <f>IF(40*Tablo2[[#This Row],[Et Kalınlığı 2]]&lt;485,Tablo2[[#This Row],[Et Kalınlığı ]]*40,485)</f>
        <v>285.59999999999997</v>
      </c>
      <c r="AM39" s="5">
        <f>1940*POWER(ROUND(Tablo1[[#This Row],[Axc mm22]],-1),0.2)/POWER(Tablo2[[#This Row],[Tensile Mpa]],0.9)</f>
        <v>21.123356353126937</v>
      </c>
      <c r="AN39" s="5">
        <f>IF(40*Tablo2[[#This Row],[Et Kalınlığı 3]]&lt;485,Tablo2[[#This Row],[Et Kalınlığı ]]*40,485)</f>
        <v>285.59999999999997</v>
      </c>
      <c r="AO39" s="5">
        <f>1940*POWER(ROUND(Tablo1[[#This Row],[Axc mm23]],-1),0.2)/POWER(Tablo2[[#This Row],[Tensile Mpa]],0.9)</f>
        <v>21.123356353126937</v>
      </c>
      <c r="AP39" s="5">
        <f>IF(40*Tablo2[[#This Row],[Et Kalınlığı 4]]&lt;485,Tablo2[[#This Row],[Et Kalınlığı 4]]*40,485)</f>
        <v>445.20000000000005</v>
      </c>
      <c r="AQ39" s="12">
        <f>1940*POWER(ROUND(Tablo1[[#This Row],[Axc mm24]],-1),0.2)/POWER(Tablo2[[#This Row],[Tensile Mpa]],0.9)</f>
        <v>23.063532637401686</v>
      </c>
      <c r="AR39" s="5">
        <f>IF(40*Tablo2[[#This Row],[Et Kalınlığı 5]]&lt;485,Tablo2[[#This Row],[Et Kalınlığı 4]]*40,485)</f>
        <v>445.20000000000005</v>
      </c>
      <c r="AS39" s="64">
        <f>1940*POWER(ROUND(Tablo1[[#This Row],[Axc mm25]],-1),0.2)/POWER(Tablo2[[#This Row],[Tensile Mpa]],0.9)</f>
        <v>23.063532637401686</v>
      </c>
    </row>
    <row r="40" spans="2:45" x14ac:dyDescent="0.2">
      <c r="B40" s="43" t="s">
        <v>28</v>
      </c>
      <c r="C40" s="4">
        <v>610</v>
      </c>
      <c r="D40" s="4" t="s">
        <v>25</v>
      </c>
      <c r="E40" s="44">
        <v>65300</v>
      </c>
      <c r="F40" s="45">
        <v>535</v>
      </c>
      <c r="G40" s="49">
        <v>7.14</v>
      </c>
      <c r="H40" s="50">
        <f>2*Tablo2[[#This Row],[SMYS Psi]]*Tablo2[[#This Row],[Et Kalınlığı ]]/Tablo2[[#This Row],[ÇAP mm]]/14.50377</f>
        <v>105.39758249627285</v>
      </c>
      <c r="I40" s="51">
        <v>8.74</v>
      </c>
      <c r="J40" s="50">
        <f>2*Tablo2[[#This Row],[SMYS Psi]]*Tablo2[[#This Row],[Et Kalınlığı 2]]/Tablo2[[#This Row],[ÇAP mm]]/14.50377</f>
        <v>129.01608837779057</v>
      </c>
      <c r="K40" s="51">
        <v>10.31</v>
      </c>
      <c r="L40" s="50">
        <f>2*Tablo2[[#This Row],[SMYS Psi]]*Tablo2[[#This Row],[Et Kalınlığı 3]]/Tablo2[[#This Row],[ÇAP mm]]/14.50377</f>
        <v>152.19174727402984</v>
      </c>
      <c r="M40" s="51">
        <v>11.97</v>
      </c>
      <c r="N40" s="52">
        <f>2*Tablo2[[#This Row],[SMYS Psi]]*Tablo2[[#This Row],[Et Kalınlığı 4]]/Tablo2[[#This Row],[ÇAP mm]]/14.50377</f>
        <v>176.6959471261045</v>
      </c>
      <c r="O40" s="51">
        <v>12.7</v>
      </c>
      <c r="P40" s="50">
        <f>2*Tablo2[[#This Row],[SMYS Psi]]*Tablo2[[#This Row],[Et Kalınlığı 5]]/Tablo2[[#This Row],[ÇAP mm]]/14.50377</f>
        <v>187.47189043454694</v>
      </c>
      <c r="Q40" s="17">
        <f>IF(Tablo2[[#This Row],[ÇAP mm]]*0.005-1.6&lt;0,Tablo2[[#This Row],[ÇAP mm]]*1.005,Tablo2[[#This Row],[ÇAP mm]]+1.6)</f>
        <v>611.6</v>
      </c>
      <c r="R40" s="3">
        <f>IF(Tablo2[[#This Row],[ÇAP mm]]*0.005-1.6&lt;0,Tablo2[[#This Row],[ÇAP mm]]*0.995,Tablo2[[#This Row],[ÇAP mm]]-1.6)</f>
        <v>608.4</v>
      </c>
      <c r="S40" s="3">
        <f>IF(Tablo2[[#This Row],[ÇAP mm]]*0.0075-3.2&lt;0,Tablo2[[#This Row],[ÇAP mm]]*1.0075,Tablo2[[#This Row],[ÇAP mm]]+3.2)</f>
        <v>613.20000000000005</v>
      </c>
      <c r="T40" s="19">
        <f>IF(Tablo2[[#This Row],[ÇAP mm]]*0.005-3.2&lt;0,Tablo2[[#This Row],[ÇAP mm]]*0.9925,Tablo2[[#This Row],[ÇAP mm]]-3.2)</f>
        <v>605.42500000000007</v>
      </c>
      <c r="U40" s="173">
        <f>Tablo2[[#This Row],[ÇAP mm]]/Tablo2[[#This Row],[Et Kalınlığı ]]</f>
        <v>85.434173669467796</v>
      </c>
      <c r="V40" s="60">
        <f>Tablo2[[#This Row],[ÇAP mm]]/Tablo2[[#This Row],[Et Kalınlığı 2]]</f>
        <v>69.794050343249424</v>
      </c>
      <c r="W40" s="60">
        <f>Tablo2[[#This Row],[ÇAP mm]]/Tablo2[[#This Row],[Et Kalınlığı 3]]</f>
        <v>59.165858389912707</v>
      </c>
      <c r="X40" s="61">
        <f>Tablo2[[#This Row],[ÇAP mm]]/Tablo2[[#This Row],[Et Kalınlığı 4]]</f>
        <v>50.960735171261483</v>
      </c>
      <c r="Y40" s="174">
        <f>Tablo2[[#This Row],[ÇAP mm]]/Tablo2[[#This Row],[Et Kalınlığı 5]]</f>
        <v>48.031496062992126</v>
      </c>
      <c r="Z40" s="8">
        <f>Tablo2[[#This Row],[ÇAP mm]]*0.015/2</f>
        <v>4.5750000000000002</v>
      </c>
      <c r="AA40" s="8">
        <f>Tablo2[[#This Row],[ÇAP mm]]*0.02</f>
        <v>12.200000000000001</v>
      </c>
      <c r="AB40" s="8">
        <f>Tablo2[[#This Row],[ÇAP mm]]*0.015/2</f>
        <v>4.5750000000000002</v>
      </c>
      <c r="AC40" s="8">
        <f>Tablo2[[#This Row],[ÇAP mm]]*0.02</f>
        <v>12.200000000000001</v>
      </c>
      <c r="AD40" s="8">
        <f>Tablo2[[#This Row],[ÇAP mm]]*0.015/2</f>
        <v>4.5750000000000002</v>
      </c>
      <c r="AE40" s="8">
        <f>Tablo2[[#This Row],[ÇAP mm]]*0.02</f>
        <v>12.200000000000001</v>
      </c>
      <c r="AF40" s="8">
        <f>IF(Tablo2[[#This Row],[ÇAP mm]]/Tablo2[[#This Row],[Et Kalınlığı 4]]&lt;75,Tablo2[[#This Row],[ÇAP mm]]*0.015/2,"Anlaşmaya bağlıdır.")</f>
        <v>4.5750000000000002</v>
      </c>
      <c r="AG40" s="64">
        <f>Tablo2[[#This Row],[ÇAP mm]]*0.02</f>
        <v>12.200000000000001</v>
      </c>
      <c r="AH40" s="8">
        <f>IF(Tablo2[[#This Row],[ÇAP mm]]/Tablo2[[#This Row],[Et Kalınlığı 4]]&lt;75,Tablo2[[#This Row],[ÇAP mm]]*0.015/2,"Anlaşmaya bağlıdır.")</f>
        <v>4.5750000000000002</v>
      </c>
      <c r="AI40" s="8">
        <f>Tablo2[[#This Row],[ÇAP mm]]*0.02</f>
        <v>12.200000000000001</v>
      </c>
      <c r="AJ40" s="11">
        <f>IF(40*Tablo2[[#This Row],[Et Kalınlığı ]]&lt;485,Tablo2[[#This Row],[Et Kalınlığı ]]*40,485)</f>
        <v>285.59999999999997</v>
      </c>
      <c r="AK40" s="5">
        <f>1940*POWER(ROUND(AJ40,-1),0.2)/POWER(Tablo2[[#This Row],[Tensile Mpa]],0.9)</f>
        <v>21.123356353126937</v>
      </c>
      <c r="AL40" s="5">
        <f>IF(40*Tablo2[[#This Row],[Et Kalınlığı 2]]&lt;485,Tablo2[[#This Row],[Et Kalınlığı ]]*40,485)</f>
        <v>285.59999999999997</v>
      </c>
      <c r="AM40" s="5">
        <f>1940*POWER(ROUND(Tablo1[[#This Row],[Axc mm22]],-1),0.2)/POWER(Tablo2[[#This Row],[Tensile Mpa]],0.9)</f>
        <v>21.123356353126937</v>
      </c>
      <c r="AN40" s="5">
        <f>IF(40*Tablo2[[#This Row],[Et Kalınlığı 3]]&lt;485,Tablo2[[#This Row],[Et Kalınlığı ]]*40,485)</f>
        <v>285.59999999999997</v>
      </c>
      <c r="AO40" s="5">
        <f>1940*POWER(ROUND(Tablo1[[#This Row],[Axc mm23]],-1),0.2)/POWER(Tablo2[[#This Row],[Tensile Mpa]],0.9)</f>
        <v>21.123356353126937</v>
      </c>
      <c r="AP40" s="5">
        <f>IF(40*Tablo2[[#This Row],[Et Kalınlığı 4]]&lt;485,Tablo2[[#This Row],[Et Kalınlığı 4]]*40,485)</f>
        <v>478.8</v>
      </c>
      <c r="AQ40" s="12">
        <f>1940*POWER(ROUND(Tablo1[[#This Row],[Axc mm24]],-1),0.2)/POWER(Tablo2[[#This Row],[Tensile Mpa]],0.9)</f>
        <v>23.363159482445862</v>
      </c>
      <c r="AR40" s="5">
        <f>IF(40*Tablo2[[#This Row],[Et Kalınlığı 5]]&lt;485,Tablo2[[#This Row],[Et Kalınlığı 4]]*40,485)</f>
        <v>485</v>
      </c>
      <c r="AS40" s="64">
        <f>1940*POWER(ROUND(Tablo1[[#This Row],[Axc mm25]],-1),0.2)/POWER(Tablo2[[#This Row],[Tensile Mpa]],0.9)</f>
        <v>23.459704754158476</v>
      </c>
    </row>
    <row r="41" spans="2:45" x14ac:dyDescent="0.2">
      <c r="B41" s="43" t="s">
        <v>29</v>
      </c>
      <c r="C41" s="4">
        <v>762</v>
      </c>
      <c r="D41" s="4" t="s">
        <v>25</v>
      </c>
      <c r="E41" s="44">
        <v>65300</v>
      </c>
      <c r="F41" s="45">
        <v>535</v>
      </c>
      <c r="G41" s="49">
        <v>9.5299999999999994</v>
      </c>
      <c r="H41" s="50">
        <f>2*Tablo2[[#This Row],[SMYS Psi]]*Tablo2[[#This Row],[Et Kalınlığı ]]/Tablo2[[#This Row],[ÇAP mm]]/14.50377</f>
        <v>112.61602710057988</v>
      </c>
      <c r="I41" s="51">
        <v>11.13</v>
      </c>
      <c r="J41" s="50">
        <f>2*Tablo2[[#This Row],[SMYS Psi]]*Tablo2[[#This Row],[Et Kalınlığı 2]]/Tablo2[[#This Row],[ÇAP mm]]/14.50377</f>
        <v>131.52322997161113</v>
      </c>
      <c r="K41" s="51">
        <v>12.7</v>
      </c>
      <c r="L41" s="50">
        <f>2*Tablo2[[#This Row],[SMYS Psi]]*Tablo2[[#This Row],[Et Kalınlığı 3]]/Tablo2[[#This Row],[ÇAP mm]]/14.50377</f>
        <v>150.07592278881054</v>
      </c>
      <c r="M41" s="51">
        <v>14.27</v>
      </c>
      <c r="N41" s="52">
        <f>2*Tablo2[[#This Row],[SMYS Psi]]*Tablo2[[#This Row],[Et Kalınlığı 4]]/Tablo2[[#This Row],[ÇAP mm]]/14.50377</f>
        <v>168.62861560600996</v>
      </c>
      <c r="O41" s="51">
        <v>15.88</v>
      </c>
      <c r="P41" s="50">
        <f>2*Tablo2[[#This Row],[SMYS Psi]]*Tablo2[[#This Row],[Et Kalınlığı 5]]/Tablo2[[#This Row],[ÇAP mm]]/14.50377</f>
        <v>187.65398849498516</v>
      </c>
      <c r="Q41" s="17">
        <f>Tablo2[[#This Row],[ÇAP mm]]+1.6</f>
        <v>763.6</v>
      </c>
      <c r="R41" s="3">
        <f>Tablo2[[#This Row],[ÇAP mm]]-1.6</f>
        <v>760.4</v>
      </c>
      <c r="S41" s="3">
        <f>IF(Tablo2[[#This Row],[ÇAP mm]]*0.005-4&lt;0,Tablo2[[#This Row],[ÇAP mm]]*1.005,Tablo2[[#This Row],[ÇAP mm]]+4)</f>
        <v>765.81</v>
      </c>
      <c r="T41" s="19">
        <f>IF(Tablo2[[#This Row],[ÇAP mm]]*0.005-4&lt;0,Tablo2[[#This Row],[ÇAP mm]]*0.995,Tablo2[[#This Row],[ÇAP mm]]+4)</f>
        <v>758.18999999999994</v>
      </c>
      <c r="U41" s="173">
        <f>Tablo2[[#This Row],[ÇAP mm]]/Tablo2[[#This Row],[Et Kalınlığı ]]</f>
        <v>79.958027282266528</v>
      </c>
      <c r="V41" s="60">
        <f>Tablo2[[#This Row],[ÇAP mm]]/Tablo2[[#This Row],[Et Kalınlığı 2]]</f>
        <v>68.463611859838267</v>
      </c>
      <c r="W41" s="60">
        <f>Tablo2[[#This Row],[ÇAP mm]]/Tablo2[[#This Row],[Et Kalınlığı 3]]</f>
        <v>60</v>
      </c>
      <c r="X41" s="61">
        <f>Tablo2[[#This Row],[ÇAP mm]]/Tablo2[[#This Row],[Et Kalınlığı 4]]</f>
        <v>53.398738612473721</v>
      </c>
      <c r="Y41" s="174">
        <f>Tablo2[[#This Row],[ÇAP mm]]/Tablo2[[#This Row],[Et Kalınlığı 5]]</f>
        <v>47.984886649874056</v>
      </c>
      <c r="Z41" s="7" t="str">
        <f>IF(Tablo2[[#This Row],[ÇAP mm]]/Tablo2[[#This Row],[Et Kalınlığı ]]&lt;75,Tablo2[[#This Row],[ÇAP mm]]*0.01/2,"Anlaşmaya bağlıdır.")</f>
        <v>Anlaşmaya bağlıdır.</v>
      </c>
      <c r="AA41" s="7" t="str">
        <f>IF(Tablo2[[#This Row],[ÇAP mm]]/Tablo2[[#This Row],[Et Kalınlığı ]]&lt;75,Tablo2[[#This Row],[ÇAP mm]]*0.015,"Anlaşmaya bağlıdır.")</f>
        <v>Anlaşmaya bağlıdır.</v>
      </c>
      <c r="AB41" s="8">
        <f>IF(Tablo2[[#This Row],[ÇAP mm]]/Tablo2[[#This Row],[Et Kalınlığı 2]]&lt;75,Tablo2[[#This Row],[ÇAP mm]]*0.01/2,"Anlaşmaya bağlıdır.")</f>
        <v>3.81</v>
      </c>
      <c r="AC41" s="8">
        <f>IF(Tablo2[[#This Row],[ÇAP mm]]/Tablo2[[#This Row],[Et Kalınlığı 2]]&lt;75,Tablo2[[#This Row],[ÇAP mm]]*0.015,"Anlaşmaya bağlıdır.")</f>
        <v>11.43</v>
      </c>
      <c r="AD41" s="8">
        <f>IF(Tablo2[[#This Row],[ÇAP mm]]/Tablo2[[#This Row],[Et Kalınlığı 3]]&lt;75,Tablo2[[#This Row],[ÇAP mm]]*0.01/2,"Anlaşmaya bağlıdır.")</f>
        <v>3.81</v>
      </c>
      <c r="AE41" s="8">
        <f>IF(Tablo2[[#This Row],[ÇAP mm]]/Tablo2[[#This Row],[Et Kalınlığı 3]]&lt;75,Tablo2[[#This Row],[ÇAP mm]]*0.015,"Anlaşmaya bağlıdır.")</f>
        <v>11.43</v>
      </c>
      <c r="AF41" s="8">
        <f>IF(Tablo2[[#This Row],[ÇAP mm]]/Tablo2[[#This Row],[Et Kalınlığı 4]]&lt;75,Tablo2[[#This Row],[ÇAP mm]]*0.015/2,"Anlaşmaya bağlıdır.")</f>
        <v>5.7149999999999999</v>
      </c>
      <c r="AG41" s="64">
        <f>IF(Tablo2[[#This Row],[ÇAP mm]]/Tablo2[[#This Row],[Et Kalınlığı 4]]&lt;75,Tablo2[[#This Row],[ÇAP mm]]*0.015,"Anlaşmaya bağlıdır.")</f>
        <v>11.43</v>
      </c>
      <c r="AH41" s="8">
        <f>IF(Tablo2[[#This Row],[ÇAP mm]]/Tablo2[[#This Row],[Et Kalınlığı 4]]&lt;75,Tablo2[[#This Row],[ÇAP mm]]*0.015/2,"Anlaşmaya bağlıdır.")</f>
        <v>5.7149999999999999</v>
      </c>
      <c r="AI41" s="8">
        <f>IF(Tablo2[[#This Row],[ÇAP mm]]/Tablo2[[#This Row],[Et Kalınlığı 5]]&lt;75,Tablo2[[#This Row],[ÇAP mm]]*0.015,"Anlaşmaya bağlıdır.")</f>
        <v>11.43</v>
      </c>
      <c r="AJ41" s="11">
        <f>IF(40*Tablo2[[#This Row],[Et Kalınlığı ]]&lt;485,Tablo2[[#This Row],[Et Kalınlığı ]]*40,485)</f>
        <v>381.2</v>
      </c>
      <c r="AK41" s="5">
        <f>1940*POWER(ROUND(AJ41,-1),0.2)/POWER(Tablo2[[#This Row],[Tensile Mpa]],0.9)</f>
        <v>22.296672016370039</v>
      </c>
      <c r="AL41" s="5">
        <f>IF(40*Tablo2[[#This Row],[Et Kalınlığı 2]]&lt;485,Tablo2[[#This Row],[Et Kalınlığı ]]*40,485)</f>
        <v>381.2</v>
      </c>
      <c r="AM41" s="5">
        <f>1940*POWER(ROUND(Tablo1[[#This Row],[Axc mm22]],-1),0.2)/POWER(Tablo2[[#This Row],[Tensile Mpa]],0.9)</f>
        <v>22.296672016370039</v>
      </c>
      <c r="AN41" s="5">
        <f>IF(40*Tablo2[[#This Row],[Et Kalınlığı 3]]&lt;485,Tablo2[[#This Row],[Et Kalınlığı ]]*40,485)</f>
        <v>485</v>
      </c>
      <c r="AO41" s="5">
        <f>1940*POWER(ROUND(Tablo1[[#This Row],[Axc mm23]],-1),0.2)/POWER(Tablo2[[#This Row],[Tensile Mpa]],0.9)</f>
        <v>23.459704754158476</v>
      </c>
      <c r="AP41" s="5">
        <f>IF(40*Tablo2[[#This Row],[Et Kalınlığı 4]]&lt;485,Tablo2[[#This Row],[Et Kalınlığı 4]]*40,485)</f>
        <v>485</v>
      </c>
      <c r="AQ41" s="12">
        <f>1940*POWER(ROUND(Tablo1[[#This Row],[Axc mm24]],-1),0.2)/POWER(Tablo2[[#This Row],[Tensile Mpa]],0.9)</f>
        <v>23.459704754158476</v>
      </c>
      <c r="AR41" s="5">
        <f>IF(40*Tablo2[[#This Row],[Et Kalınlığı 5]]&lt;485,Tablo2[[#This Row],[Et Kalınlığı 4]]*40,485)</f>
        <v>485</v>
      </c>
      <c r="AS41" s="64">
        <f>1940*POWER(ROUND(Tablo1[[#This Row],[Axc mm25]],-1),0.2)/POWER(Tablo2[[#This Row],[Tensile Mpa]],0.9)</f>
        <v>23.459704754158476</v>
      </c>
    </row>
    <row r="42" spans="2:45" x14ac:dyDescent="0.2">
      <c r="B42" s="43" t="s">
        <v>30</v>
      </c>
      <c r="C42" s="4">
        <v>813</v>
      </c>
      <c r="D42" s="4" t="s">
        <v>25</v>
      </c>
      <c r="E42" s="44">
        <v>65300</v>
      </c>
      <c r="F42" s="45">
        <v>535</v>
      </c>
      <c r="G42" s="49">
        <v>9.5299999999999994</v>
      </c>
      <c r="H42" s="50">
        <f>2*Tablo2[[#This Row],[SMYS Psi]]*Tablo2[[#This Row],[Et Kalınlığı ]]/Tablo2[[#This Row],[ÇAP mm]]/14.50377</f>
        <v>105.55155307582025</v>
      </c>
      <c r="I42" s="51">
        <v>11.91</v>
      </c>
      <c r="J42" s="50">
        <f>2*Tablo2[[#This Row],[SMYS Psi]]*Tablo2[[#This Row],[Et Kalınlığı 2]]/Tablo2[[#This Row],[ÇAP mm]]/14.50377</f>
        <v>131.91175206012795</v>
      </c>
      <c r="K42" s="51">
        <v>14.27</v>
      </c>
      <c r="L42" s="50">
        <f>2*Tablo2[[#This Row],[SMYS Psi]]*Tablo2[[#This Row],[Et Kalınlığı 3]]/Tablo2[[#This Row],[ÇAP mm]]/14.50377</f>
        <v>158.05043676725657</v>
      </c>
      <c r="M42" s="51">
        <v>15.88</v>
      </c>
      <c r="N42" s="52">
        <f>2*Tablo2[[#This Row],[SMYS Psi]]*Tablo2[[#This Row],[Et Kalınlığı 4]]/Tablo2[[#This Row],[ÇAP mm]]/14.50377</f>
        <v>175.8823360801706</v>
      </c>
      <c r="O42" s="51">
        <v>17.48</v>
      </c>
      <c r="P42" s="50">
        <f>2*Tablo2[[#This Row],[SMYS Psi]]*Tablo2[[#This Row],[Et Kalınlığı 5]]/Tablo2[[#This Row],[ÇAP mm]]/14.50377</f>
        <v>193.60347825449509</v>
      </c>
      <c r="Q42" s="17">
        <f>Tablo2[[#This Row],[ÇAP mm]]+1.6</f>
        <v>814.6</v>
      </c>
      <c r="R42" s="3">
        <f>Tablo2[[#This Row],[ÇAP mm]]-1.6</f>
        <v>811.4</v>
      </c>
      <c r="S42" s="4">
        <f>IF(Tablo2[[#This Row],[ÇAP mm]]*0.005-4&lt;0,Tablo2[[#This Row],[ÇAP mm]]*1.005,Tablo2[[#This Row],[ÇAP mm]]+4)</f>
        <v>817</v>
      </c>
      <c r="T42" s="18">
        <f>IF(Tablo2[[#This Row],[ÇAP mm]]*0.005-4&lt;0,Tablo2[[#This Row],[ÇAP mm]]*0.995,Tablo2[[#This Row],[ÇAP mm]]-4)</f>
        <v>809</v>
      </c>
      <c r="U42" s="173">
        <f>Tablo2[[#This Row],[ÇAP mm]]/Tablo2[[#This Row],[Et Kalınlığı ]]</f>
        <v>85.309548793284364</v>
      </c>
      <c r="V42" s="60">
        <f>Tablo2[[#This Row],[ÇAP mm]]/Tablo2[[#This Row],[Et Kalınlığı 2]]</f>
        <v>68.261964735516372</v>
      </c>
      <c r="W42" s="60">
        <f>Tablo2[[#This Row],[ÇAP mm]]/Tablo2[[#This Row],[Et Kalınlığı 3]]</f>
        <v>56.972669936930629</v>
      </c>
      <c r="X42" s="61">
        <f>Tablo2[[#This Row],[ÇAP mm]]/Tablo2[[#This Row],[Et Kalınlığı 4]]</f>
        <v>51.196473551637276</v>
      </c>
      <c r="Y42" s="174">
        <f>Tablo2[[#This Row],[ÇAP mm]]/Tablo2[[#This Row],[Et Kalınlığı 5]]</f>
        <v>46.51029748283753</v>
      </c>
      <c r="Z42" s="7" t="str">
        <f>IF(Tablo2[[#This Row],[ÇAP mm]]/Tablo2[[#This Row],[Et Kalınlığı ]]&lt;75,Tablo2[[#This Row],[ÇAP mm]]*0.01/2,"Anlaşmaya bağlıdır.")</f>
        <v>Anlaşmaya bağlıdır.</v>
      </c>
      <c r="AA42" s="7" t="str">
        <f>IF(Tablo2[[#This Row],[ÇAP mm]]/Tablo2[[#This Row],[Et Kalınlığı ]]&lt;75,Tablo2[[#This Row],[ÇAP mm]]*0.015/2,"Anlaşmaya bağlıdır.")</f>
        <v>Anlaşmaya bağlıdır.</v>
      </c>
      <c r="AB42" s="8">
        <f>IF(Tablo2[[#This Row],[ÇAP mm]]/Tablo2[[#This Row],[Et Kalınlığı 2]]&lt;75,Tablo2[[#This Row],[ÇAP mm]]*0.01/2,"Anlaşmaya bağlıdır.")</f>
        <v>4.0650000000000004</v>
      </c>
      <c r="AC42" s="8">
        <f>IF(Tablo2[[#This Row],[ÇAP mm]]/Tablo2[[#This Row],[Et Kalınlığı 2]]&lt;75,Tablo2[[#This Row],[ÇAP mm]]*0.015,"Anlaşmaya bağlıdır.")</f>
        <v>12.195</v>
      </c>
      <c r="AD42" s="8">
        <f>IF(Tablo2[[#This Row],[ÇAP mm]]/Tablo2[[#This Row],[Et Kalınlığı 3]]&lt;75,Tablo2[[#This Row],[ÇAP mm]]*0.01/2,"Anlaşmaya bağlıdır.")</f>
        <v>4.0650000000000004</v>
      </c>
      <c r="AE42" s="8">
        <f>IF(Tablo2[[#This Row],[ÇAP mm]]/Tablo2[[#This Row],[Et Kalınlığı 3]]&lt;75,Tablo2[[#This Row],[ÇAP mm]]*0.015,"Anlaşmaya bağlıdır.")</f>
        <v>12.195</v>
      </c>
      <c r="AF42" s="8">
        <f>IF(Tablo2[[#This Row],[ÇAP mm]]/Tablo2[[#This Row],[Et Kalınlığı 4]]&lt;75,Tablo2[[#This Row],[ÇAP mm]]*0.015/2,"Anlaşmaya bağlıdır.")</f>
        <v>6.0975000000000001</v>
      </c>
      <c r="AG42" s="64">
        <f>IF(Tablo2[[#This Row],[ÇAP mm]]/Tablo2[[#This Row],[Et Kalınlığı 4]]&lt;75,Tablo2[[#This Row],[ÇAP mm]]*0.015,"Anlaşmaya bağlıdır.")</f>
        <v>12.195</v>
      </c>
      <c r="AH42" s="8">
        <f>IF(Tablo2[[#This Row],[ÇAP mm]]/Tablo2[[#This Row],[Et Kalınlığı 4]]&lt;75,Tablo2[[#This Row],[ÇAP mm]]*0.015/2,"Anlaşmaya bağlıdır.")</f>
        <v>6.0975000000000001</v>
      </c>
      <c r="AI42" s="8">
        <f>IF(Tablo2[[#This Row],[ÇAP mm]]/Tablo2[[#This Row],[Et Kalınlığı 5]]&lt;75,Tablo2[[#This Row],[ÇAP mm]]*0.015,"Anlaşmaya bağlıdır.")</f>
        <v>12.195</v>
      </c>
      <c r="AJ42" s="11">
        <f>IF(40*Tablo2[[#This Row],[Et Kalınlığı ]]&lt;485,Tablo2[[#This Row],[Et Kalınlığı ]]*40,485)</f>
        <v>381.2</v>
      </c>
      <c r="AK42" s="5">
        <f>1940*POWER(ROUND(AJ42,-1),0.2)/POWER(Tablo2[[#This Row],[Tensile Mpa]],0.9)</f>
        <v>22.296672016370039</v>
      </c>
      <c r="AL42" s="5">
        <f>IF(40*Tablo2[[#This Row],[Et Kalınlığı 2]]&lt;485,Tablo2[[#This Row],[Et Kalınlığı ]]*40,485)</f>
        <v>381.2</v>
      </c>
      <c r="AM42" s="5">
        <f>1940*POWER(ROUND(Tablo1[[#This Row],[Axc mm22]],-1),0.2)/POWER(Tablo2[[#This Row],[Tensile Mpa]],0.9)</f>
        <v>22.296672016370039</v>
      </c>
      <c r="AN42" s="5">
        <f>IF(40*Tablo2[[#This Row],[Et Kalınlığı 3]]&lt;485,Tablo2[[#This Row],[Et Kalınlığı ]]*40,485)</f>
        <v>485</v>
      </c>
      <c r="AO42" s="5">
        <f>1940*POWER(ROUND(Tablo1[[#This Row],[Axc mm23]],-1),0.2)/POWER(Tablo2[[#This Row],[Tensile Mpa]],0.9)</f>
        <v>23.459704754158476</v>
      </c>
      <c r="AP42" s="5">
        <f>IF(40*Tablo2[[#This Row],[Et Kalınlığı 4]]&lt;485,Tablo2[[#This Row],[Et Kalınlığı 4]]*40,485)</f>
        <v>485</v>
      </c>
      <c r="AQ42" s="12">
        <f>1940*POWER(ROUND(Tablo1[[#This Row],[Axc mm24]],-1),0.2)/POWER(Tablo2[[#This Row],[Tensile Mpa]],0.9)</f>
        <v>23.459704754158476</v>
      </c>
      <c r="AR42" s="5">
        <f>IF(40*Tablo2[[#This Row],[Et Kalınlığı 5]]&lt;485,Tablo2[[#This Row],[Et Kalınlığı 4]]*40,485)</f>
        <v>485</v>
      </c>
      <c r="AS42" s="64">
        <f>1940*POWER(ROUND(Tablo1[[#This Row],[Axc mm25]],-1),0.2)/POWER(Tablo2[[#This Row],[Tensile Mpa]],0.9)</f>
        <v>23.459704754158476</v>
      </c>
    </row>
    <row r="43" spans="2:45" x14ac:dyDescent="0.2">
      <c r="B43" s="43" t="s">
        <v>31</v>
      </c>
      <c r="C43" s="4">
        <v>864</v>
      </c>
      <c r="D43" s="4" t="s">
        <v>25</v>
      </c>
      <c r="E43" s="44">
        <v>65300</v>
      </c>
      <c r="F43" s="45">
        <v>535</v>
      </c>
      <c r="G43" s="49">
        <v>10.31</v>
      </c>
      <c r="H43" s="50">
        <f>2*Tablo2[[#This Row],[SMYS Psi]]*Tablo2[[#This Row],[Et Kalınlığı ]]/Tablo2[[#This Row],[ÇAP mm]]/14.50377</f>
        <v>107.45019194115534</v>
      </c>
      <c r="I43" s="51">
        <v>12.7</v>
      </c>
      <c r="J43" s="50">
        <f>2*Tablo2[[#This Row],[SMYS Psi]]*Tablo2[[#This Row],[Et Kalınlığı 2]]/Tablo2[[#This Row],[ÇAP mm]]/14.50377</f>
        <v>132.35862634846487</v>
      </c>
      <c r="K43" s="51">
        <v>15.88</v>
      </c>
      <c r="L43" s="50">
        <f>2*Tablo2[[#This Row],[SMYS Psi]]*Tablo2[[#This Row],[Et Kalınlığı 3]]/Tablo2[[#This Row],[ÇAP mm]]/14.50377</f>
        <v>165.50039263099384</v>
      </c>
      <c r="M43" s="51">
        <v>15.88</v>
      </c>
      <c r="N43" s="52">
        <f>2*Tablo2[[#This Row],[SMYS Psi]]*Tablo2[[#This Row],[Et Kalınlığı 4]]/Tablo2[[#This Row],[ÇAP mm]]/14.50377</f>
        <v>165.50039263099384</v>
      </c>
      <c r="O43" s="51">
        <v>17.48</v>
      </c>
      <c r="P43" s="50">
        <f>2*Tablo2[[#This Row],[SMYS Psi]]*Tablo2[[#This Row],[Et Kalınlığı 5]]/Tablo2[[#This Row],[ÇAP mm]]/14.50377</f>
        <v>182.17549516308389</v>
      </c>
      <c r="Q43" s="17">
        <f>Tablo2[[#This Row],[ÇAP mm]]+1.6</f>
        <v>865.6</v>
      </c>
      <c r="R43" s="3">
        <f>Tablo2[[#This Row],[ÇAP mm]]-1.6</f>
        <v>862.4</v>
      </c>
      <c r="S43" s="4">
        <f>IF(Tablo2[[#This Row],[ÇAP mm]]*0.005-4&lt;0,Tablo2[[#This Row],[ÇAP mm]]*1.005,Tablo2[[#This Row],[ÇAP mm]]+4)</f>
        <v>868</v>
      </c>
      <c r="T43" s="18">
        <f>IF(Tablo2[[#This Row],[ÇAP mm]]*0.005-4&lt;0,Tablo2[[#This Row],[ÇAP mm]]*0.995,Tablo2[[#This Row],[ÇAP mm]]-4)</f>
        <v>860</v>
      </c>
      <c r="U43" s="173">
        <f>Tablo2[[#This Row],[ÇAP mm]]/Tablo2[[#This Row],[Et Kalınlığı ]]</f>
        <v>83.802133850630455</v>
      </c>
      <c r="V43" s="60">
        <f>Tablo2[[#This Row],[ÇAP mm]]/Tablo2[[#This Row],[Et Kalınlığı 2]]</f>
        <v>68.031496062992133</v>
      </c>
      <c r="W43" s="60">
        <f>Tablo2[[#This Row],[ÇAP mm]]/Tablo2[[#This Row],[Et Kalınlığı 3]]</f>
        <v>54.408060453400502</v>
      </c>
      <c r="X43" s="61">
        <f>Tablo2[[#This Row],[ÇAP mm]]/Tablo2[[#This Row],[Et Kalınlığı 4]]</f>
        <v>54.408060453400502</v>
      </c>
      <c r="Y43" s="174">
        <f>Tablo2[[#This Row],[ÇAP mm]]/Tablo2[[#This Row],[Et Kalınlığı 5]]</f>
        <v>49.427917620137301</v>
      </c>
      <c r="Z43" s="7" t="str">
        <f>IF(Tablo2[[#This Row],[ÇAP mm]]/Tablo2[[#This Row],[Et Kalınlığı ]]&lt;75,Tablo2[[#This Row],[ÇAP mm]]*0.01/2,"Anlaşmaya bağlıdır.")</f>
        <v>Anlaşmaya bağlıdır.</v>
      </c>
      <c r="AA43" s="7" t="str">
        <f>IF(Tablo2[[#This Row],[ÇAP mm]]/Tablo2[[#This Row],[Et Kalınlığı ]]&lt;75,Tablo2[[#This Row],[ÇAP mm]]*0.015/2,"Anlaşmaya bağlıdır.")</f>
        <v>Anlaşmaya bağlıdır.</v>
      </c>
      <c r="AB43" s="8">
        <f>IF(Tablo2[[#This Row],[ÇAP mm]]/Tablo2[[#This Row],[Et Kalınlığı 2]]&lt;75,Tablo2[[#This Row],[ÇAP mm]]*0.01/2,"Anlaşmaya bağlıdır.")</f>
        <v>4.32</v>
      </c>
      <c r="AC43" s="8">
        <f>IF(Tablo2[[#This Row],[ÇAP mm]]/Tablo2[[#This Row],[Et Kalınlığı 2]]&lt;75,Tablo2[[#This Row],[ÇAP mm]]*0.015,"Anlaşmaya bağlıdır.")</f>
        <v>12.959999999999999</v>
      </c>
      <c r="AD43" s="8">
        <f>IF(Tablo2[[#This Row],[ÇAP mm]]/Tablo2[[#This Row],[Et Kalınlığı 3]]&lt;75,Tablo2[[#This Row],[ÇAP mm]]*0.01/2,"Anlaşmaya bağlıdır.")</f>
        <v>4.32</v>
      </c>
      <c r="AE43" s="8">
        <f>IF(Tablo2[[#This Row],[ÇAP mm]]/Tablo2[[#This Row],[Et Kalınlığı 3]]&lt;75,Tablo2[[#This Row],[ÇAP mm]]*0.015,"Anlaşmaya bağlıdır.")</f>
        <v>12.959999999999999</v>
      </c>
      <c r="AF43" s="8">
        <f>IF(Tablo2[[#This Row],[ÇAP mm]]/Tablo2[[#This Row],[Et Kalınlığı 4]]&lt;75,Tablo2[[#This Row],[ÇAP mm]]*0.015/2,"Anlaşmaya bağlıdır.")</f>
        <v>6.4799999999999995</v>
      </c>
      <c r="AG43" s="64">
        <f>IF(Tablo2[[#This Row],[ÇAP mm]]/Tablo2[[#This Row],[Et Kalınlığı 4]]&lt;75,Tablo2[[#This Row],[ÇAP mm]]*0.015,"Anlaşmaya bağlıdır.")</f>
        <v>12.959999999999999</v>
      </c>
      <c r="AH43" s="8">
        <f>IF(Tablo2[[#This Row],[ÇAP mm]]/Tablo2[[#This Row],[Et Kalınlığı 4]]&lt;75,Tablo2[[#This Row],[ÇAP mm]]*0.015/2,"Anlaşmaya bağlıdır.")</f>
        <v>6.4799999999999995</v>
      </c>
      <c r="AI43" s="8">
        <f>IF(Tablo2[[#This Row],[ÇAP mm]]/Tablo2[[#This Row],[Et Kalınlığı 5]]&lt;75,Tablo2[[#This Row],[ÇAP mm]]*0.015,"Anlaşmaya bağlıdır.")</f>
        <v>12.959999999999999</v>
      </c>
      <c r="AJ43" s="11">
        <f>IF(40*Tablo2[[#This Row],[Et Kalınlığı ]]&lt;485,Tablo2[[#This Row],[Et Kalınlığı ]]*40,485)</f>
        <v>412.40000000000003</v>
      </c>
      <c r="AK43" s="5">
        <f>1940*POWER(ROUND(AJ43,-1),0.2)/POWER(Tablo2[[#This Row],[Tensile Mpa]],0.9)</f>
        <v>22.638106434627545</v>
      </c>
      <c r="AL43" s="5">
        <f>IF(40*Tablo2[[#This Row],[Et Kalınlığı 2]]&lt;485,Tablo2[[#This Row],[Et Kalınlığı ]]*40,485)</f>
        <v>485</v>
      </c>
      <c r="AM43" s="5">
        <f>1940*POWER(ROUND(Tablo1[[#This Row],[Axc mm22]],-1),0.2)/POWER(Tablo2[[#This Row],[Tensile Mpa]],0.9)</f>
        <v>23.459704754158476</v>
      </c>
      <c r="AN43" s="5">
        <f>IF(40*Tablo2[[#This Row],[Et Kalınlığı 3]]&lt;485,Tablo2[[#This Row],[Et Kalınlığı ]]*40,485)</f>
        <v>485</v>
      </c>
      <c r="AO43" s="5">
        <f>1940*POWER(ROUND(Tablo1[[#This Row],[Axc mm23]],-1),0.2)/POWER(Tablo2[[#This Row],[Tensile Mpa]],0.9)</f>
        <v>23.459704754158476</v>
      </c>
      <c r="AP43" s="5">
        <f>IF(40*Tablo2[[#This Row],[Et Kalınlığı 4]]&lt;485,Tablo2[[#This Row],[Et Kalınlığı 4]]*40,485)</f>
        <v>485</v>
      </c>
      <c r="AQ43" s="12">
        <f>1940*POWER(ROUND(Tablo1[[#This Row],[Axc mm24]],-1),0.2)/POWER(Tablo2[[#This Row],[Tensile Mpa]],0.9)</f>
        <v>23.459704754158476</v>
      </c>
      <c r="AR43" s="5">
        <f>IF(40*Tablo2[[#This Row],[Et Kalınlığı 5]]&lt;485,Tablo2[[#This Row],[Et Kalınlığı 4]]*40,485)</f>
        <v>485</v>
      </c>
      <c r="AS43" s="64">
        <f>1940*POWER(ROUND(Tablo1[[#This Row],[Axc mm25]],-1),0.2)/POWER(Tablo2[[#This Row],[Tensile Mpa]],0.9)</f>
        <v>23.459704754158476</v>
      </c>
    </row>
    <row r="44" spans="2:45" x14ac:dyDescent="0.2">
      <c r="B44" s="43" t="s">
        <v>32</v>
      </c>
      <c r="C44" s="4">
        <v>914</v>
      </c>
      <c r="D44" s="4" t="s">
        <v>25</v>
      </c>
      <c r="E44" s="44">
        <v>65300</v>
      </c>
      <c r="F44" s="45">
        <v>535</v>
      </c>
      <c r="G44" s="49">
        <v>11.13</v>
      </c>
      <c r="H44" s="50">
        <f>2*Tablo2[[#This Row],[SMYS Psi]]*Tablo2[[#This Row],[Et Kalınlığı ]]/Tablo2[[#This Row],[ÇAP mm]]/14.50377</f>
        <v>109.65065781003028</v>
      </c>
      <c r="I44" s="51">
        <v>12.7</v>
      </c>
      <c r="J44" s="50">
        <f>2*Tablo2[[#This Row],[SMYS Psi]]*Tablo2[[#This Row],[Et Kalınlığı 2]]/Tablo2[[#This Row],[ÇAP mm]]/14.50377</f>
        <v>125.11800127469763</v>
      </c>
      <c r="K44" s="51">
        <v>15.88</v>
      </c>
      <c r="L44" s="50">
        <f>2*Tablo2[[#This Row],[SMYS Psi]]*Tablo2[[#This Row],[Et Kalınlığı 3]]/Tablo2[[#This Row],[ÇAP mm]]/14.50377</f>
        <v>156.44676064899198</v>
      </c>
      <c r="M44" s="51">
        <v>17.48</v>
      </c>
      <c r="N44" s="52">
        <f>2*Tablo2[[#This Row],[SMYS Psi]]*Tablo2[[#This Row],[Et Kalınlığı 4]]/Tablo2[[#This Row],[ÇAP mm]]/14.50377</f>
        <v>172.2096584473791</v>
      </c>
      <c r="O44" s="51">
        <v>19.05</v>
      </c>
      <c r="P44" s="50">
        <f>2*Tablo2[[#This Row],[SMYS Psi]]*Tablo2[[#This Row],[Et Kalınlığı 5]]/Tablo2[[#This Row],[ÇAP mm]]/14.50377</f>
        <v>187.67700191204645</v>
      </c>
      <c r="Q44" s="17">
        <f>Tablo2[[#This Row],[ÇAP mm]]+1.6</f>
        <v>915.6</v>
      </c>
      <c r="R44" s="3">
        <f>Tablo2[[#This Row],[ÇAP mm]]-1.6</f>
        <v>912.4</v>
      </c>
      <c r="S44" s="4">
        <f>IF(Tablo2[[#This Row],[ÇAP mm]]*0.005-4&lt;0,Tablo2[[#This Row],[ÇAP mm]]*1.005,Tablo2[[#This Row],[ÇAP mm]]+4)</f>
        <v>918</v>
      </c>
      <c r="T44" s="18">
        <f>IF(Tablo2[[#This Row],[ÇAP mm]]*0.005-4&lt;0,Tablo2[[#This Row],[ÇAP mm]]*0.995,Tablo2[[#This Row],[ÇAP mm]]-4)</f>
        <v>910</v>
      </c>
      <c r="U44" s="173">
        <f>Tablo2[[#This Row],[ÇAP mm]]/Tablo2[[#This Row],[Et Kalınlığı ]]</f>
        <v>82.120395327942489</v>
      </c>
      <c r="V44" s="60">
        <f>Tablo2[[#This Row],[ÇAP mm]]/Tablo2[[#This Row],[Et Kalınlığı 2]]</f>
        <v>71.968503937007881</v>
      </c>
      <c r="W44" s="60">
        <f>Tablo2[[#This Row],[ÇAP mm]]/Tablo2[[#This Row],[Et Kalınlığı 3]]</f>
        <v>57.556675062972289</v>
      </c>
      <c r="X44" s="61">
        <f>Tablo2[[#This Row],[ÇAP mm]]/Tablo2[[#This Row],[Et Kalınlığı 4]]</f>
        <v>52.288329519450798</v>
      </c>
      <c r="Y44" s="174">
        <f>Tablo2[[#This Row],[ÇAP mm]]/Tablo2[[#This Row],[Et Kalınlığı 5]]</f>
        <v>47.979002624671914</v>
      </c>
      <c r="Z44" s="7" t="str">
        <f>IF(Tablo2[[#This Row],[ÇAP mm]]/Tablo2[[#This Row],[Et Kalınlığı ]]&lt;75,Tablo2[[#This Row],[ÇAP mm]]*0.01/2,"Anlaşmaya bağlıdır.")</f>
        <v>Anlaşmaya bağlıdır.</v>
      </c>
      <c r="AA44" s="7" t="str">
        <f>IF(Tablo2[[#This Row],[ÇAP mm]]/Tablo2[[#This Row],[Et Kalınlığı ]]&lt;75,Tablo2[[#This Row],[ÇAP mm]]*0.015/2,"Anlaşmaya bağlıdır.")</f>
        <v>Anlaşmaya bağlıdır.</v>
      </c>
      <c r="AB44" s="8">
        <f>IF(Tablo2[[#This Row],[ÇAP mm]]/Tablo2[[#This Row],[Et Kalınlığı 2]]&lt;75,Tablo2[[#This Row],[ÇAP mm]]*0.01/2,"Anlaşmaya bağlıdır.")</f>
        <v>4.57</v>
      </c>
      <c r="AC44" s="8">
        <f>IF(Tablo2[[#This Row],[ÇAP mm]]/Tablo2[[#This Row],[Et Kalınlığı 2]]&lt;75,Tablo2[[#This Row],[ÇAP mm]]*0.015,"Anlaşmaya bağlıdır.")</f>
        <v>13.709999999999999</v>
      </c>
      <c r="AD44" s="8">
        <f>IF(Tablo2[[#This Row],[ÇAP mm]]/Tablo2[[#This Row],[Et Kalınlığı 3]]&lt;75,Tablo2[[#This Row],[ÇAP mm]]*0.01/2,"Anlaşmaya bağlıdır.")</f>
        <v>4.57</v>
      </c>
      <c r="AE44" s="8">
        <f>IF(Tablo2[[#This Row],[ÇAP mm]]/Tablo2[[#This Row],[Et Kalınlığı 3]]&lt;75,Tablo2[[#This Row],[ÇAP mm]]*0.015,"Anlaşmaya bağlıdır.")</f>
        <v>13.709999999999999</v>
      </c>
      <c r="AF44" s="8">
        <f>IF(Tablo2[[#This Row],[ÇAP mm]]/Tablo2[[#This Row],[Et Kalınlığı 4]]&lt;75,Tablo2[[#This Row],[ÇAP mm]]*0.015/2,"Anlaşmaya bağlıdır.")</f>
        <v>6.8549999999999995</v>
      </c>
      <c r="AG44" s="64">
        <f>IF(Tablo2[[#This Row],[ÇAP mm]]/Tablo2[[#This Row],[Et Kalınlığı 4]]&lt;75,Tablo2[[#This Row],[ÇAP mm]]*0.015,"Anlaşmaya bağlıdır.")</f>
        <v>13.709999999999999</v>
      </c>
      <c r="AH44" s="8">
        <f>IF(Tablo2[[#This Row],[ÇAP mm]]/Tablo2[[#This Row],[Et Kalınlığı 4]]&lt;75,Tablo2[[#This Row],[ÇAP mm]]*0.015/2,"Anlaşmaya bağlıdır.")</f>
        <v>6.8549999999999995</v>
      </c>
      <c r="AI44" s="8">
        <f>IF(Tablo2[[#This Row],[ÇAP mm]]/Tablo2[[#This Row],[Et Kalınlığı 5]]&lt;75,Tablo2[[#This Row],[ÇAP mm]]*0.015,"Anlaşmaya bağlıdır.")</f>
        <v>13.709999999999999</v>
      </c>
      <c r="AJ44" s="11">
        <f>IF(40*Tablo2[[#This Row],[Et Kalınlığı ]]&lt;485,Tablo2[[#This Row],[Et Kalınlığı ]]*40,485)</f>
        <v>445.20000000000005</v>
      </c>
      <c r="AK44" s="5">
        <f>1940*POWER(ROUND(AJ44,-1),0.2)/POWER(Tablo2[[#This Row],[Tensile Mpa]],0.9)</f>
        <v>23.063532637401686</v>
      </c>
      <c r="AL44" s="5">
        <f>IF(40*Tablo2[[#This Row],[Et Kalınlığı 2]]&lt;485,Tablo2[[#This Row],[Et Kalınlığı ]]*40,485)</f>
        <v>485</v>
      </c>
      <c r="AM44" s="5">
        <f>1940*POWER(ROUND(Tablo1[[#This Row],[Axc mm22]],-1),0.2)/POWER(Tablo2[[#This Row],[Tensile Mpa]],0.9)</f>
        <v>23.459704754158476</v>
      </c>
      <c r="AN44" s="5">
        <f>IF(40*Tablo2[[#This Row],[Et Kalınlığı 3]]&lt;485,Tablo2[[#This Row],[Et Kalınlığı ]]*40,485)</f>
        <v>485</v>
      </c>
      <c r="AO44" s="5">
        <f>1940*POWER(ROUND(Tablo1[[#This Row],[Axc mm23]],-1),0.2)/POWER(Tablo2[[#This Row],[Tensile Mpa]],0.9)</f>
        <v>23.459704754158476</v>
      </c>
      <c r="AP44" s="5">
        <f>IF(40*Tablo2[[#This Row],[Et Kalınlığı 4]]&lt;485,Tablo2[[#This Row],[Et Kalınlığı 4]]*40,485)</f>
        <v>485</v>
      </c>
      <c r="AQ44" s="12">
        <f>1940*POWER(ROUND(Tablo1[[#This Row],[Axc mm24]],-1),0.2)/POWER(Tablo2[[#This Row],[Tensile Mpa]],0.9)</f>
        <v>23.459704754158476</v>
      </c>
      <c r="AR44" s="5">
        <f>IF(40*Tablo2[[#This Row],[Et Kalınlığı 5]]&lt;485,Tablo2[[#This Row],[Et Kalınlığı 4]]*40,485)</f>
        <v>485</v>
      </c>
      <c r="AS44" s="64">
        <f>1940*POWER(ROUND(Tablo1[[#This Row],[Axc mm25]],-1),0.2)/POWER(Tablo2[[#This Row],[Tensile Mpa]],0.9)</f>
        <v>23.459704754158476</v>
      </c>
    </row>
    <row r="45" spans="2:45" x14ac:dyDescent="0.2">
      <c r="B45" s="43" t="s">
        <v>33</v>
      </c>
      <c r="C45" s="4">
        <v>965</v>
      </c>
      <c r="D45" s="4" t="s">
        <v>25</v>
      </c>
      <c r="E45" s="44">
        <v>65300</v>
      </c>
      <c r="F45" s="45">
        <v>535</v>
      </c>
      <c r="G45" s="49">
        <v>11.91</v>
      </c>
      <c r="H45" s="50">
        <f>2*Tablo2[[#This Row],[SMYS Psi]]*Tablo2[[#This Row],[Et Kalınlığı ]]/Tablo2[[#This Row],[ÇAP mm]]/14.50377</f>
        <v>111.13394240920624</v>
      </c>
      <c r="I45" s="51">
        <v>14.27</v>
      </c>
      <c r="J45" s="50">
        <f>2*Tablo2[[#This Row],[SMYS Psi]]*Tablo2[[#This Row],[Et Kalınlığı 2]]/Tablo2[[#This Row],[ÇAP mm]]/14.50377</f>
        <v>133.15544569096332</v>
      </c>
      <c r="K45" s="51">
        <v>17.48</v>
      </c>
      <c r="L45" s="50">
        <f>2*Tablo2[[#This Row],[SMYS Psi]]*Tablo2[[#This Row],[Et Kalınlığı 3]]/Tablo2[[#This Row],[ÇAP mm]]/14.50377</f>
        <v>163.10842261233626</v>
      </c>
      <c r="M45" s="51">
        <v>19.05</v>
      </c>
      <c r="N45" s="52">
        <f>2*Tablo2[[#This Row],[SMYS Psi]]*Tablo2[[#This Row],[Et Kalınlığı 4]]/Tablo2[[#This Row],[ÇAP mm]]/14.50377</f>
        <v>177.75832098197975</v>
      </c>
      <c r="O45" s="51">
        <v>20.62</v>
      </c>
      <c r="P45" s="50">
        <f>2*Tablo2[[#This Row],[SMYS Psi]]*Tablo2[[#This Row],[Et Kalınlığı 5]]/Tablo2[[#This Row],[ÇAP mm]]/14.50377</f>
        <v>192.40821935162322</v>
      </c>
      <c r="Q45" s="17">
        <f>Tablo2[[#This Row],[ÇAP mm]]+1.6</f>
        <v>966.6</v>
      </c>
      <c r="R45" s="3">
        <f>Tablo2[[#This Row],[ÇAP mm]]-1.6</f>
        <v>963.4</v>
      </c>
      <c r="S45" s="4">
        <f>IF(Tablo2[[#This Row],[ÇAP mm]]*0.005-4&lt;0,Tablo2[[#This Row],[ÇAP mm]]*1.005,Tablo2[[#This Row],[ÇAP mm]]+4)</f>
        <v>969</v>
      </c>
      <c r="T45" s="18">
        <f>IF(Tablo2[[#This Row],[ÇAP mm]]*0.005-4&lt;0,Tablo2[[#This Row],[ÇAP mm]]*0.995,Tablo2[[#This Row],[ÇAP mm]]-4)</f>
        <v>961</v>
      </c>
      <c r="U45" s="173">
        <f>Tablo2[[#This Row],[ÇAP mm]]/Tablo2[[#This Row],[Et Kalınlığı ]]</f>
        <v>81.02434928631402</v>
      </c>
      <c r="V45" s="60">
        <f>Tablo2[[#This Row],[ÇAP mm]]/Tablo2[[#This Row],[Et Kalınlığı 2]]</f>
        <v>67.624386825508054</v>
      </c>
      <c r="W45" s="60">
        <f>Tablo2[[#This Row],[ÇAP mm]]/Tablo2[[#This Row],[Et Kalınlığı 3]]</f>
        <v>55.205949656750569</v>
      </c>
      <c r="X45" s="61">
        <f>Tablo2[[#This Row],[ÇAP mm]]/Tablo2[[#This Row],[Et Kalınlığı 4]]</f>
        <v>50.656167979002625</v>
      </c>
      <c r="Y45" s="174">
        <f>Tablo2[[#This Row],[ÇAP mm]]/Tablo2[[#This Row],[Et Kalınlığı 5]]</f>
        <v>46.799224054316198</v>
      </c>
      <c r="Z45" s="7" t="str">
        <f>IF(Tablo2[[#This Row],[ÇAP mm]]/Tablo2[[#This Row],[Et Kalınlığı ]]&lt;75,Tablo2[[#This Row],[ÇAP mm]]*0.01/2,"Anlaşmaya bağlıdır.")</f>
        <v>Anlaşmaya bağlıdır.</v>
      </c>
      <c r="AA45" s="7" t="str">
        <f>IF(Tablo2[[#This Row],[ÇAP mm]]/Tablo2[[#This Row],[Et Kalınlığı ]]&lt;75,Tablo2[[#This Row],[ÇAP mm]]*0.015/2,"Anlaşmaya bağlıdır.")</f>
        <v>Anlaşmaya bağlıdır.</v>
      </c>
      <c r="AB45" s="8">
        <f>IF(Tablo2[[#This Row],[ÇAP mm]]/Tablo2[[#This Row],[Et Kalınlığı 2]]&lt;75,Tablo2[[#This Row],[ÇAP mm]]*0.01/2,"Anlaşmaya bağlıdır.")</f>
        <v>4.8250000000000002</v>
      </c>
      <c r="AC45" s="8">
        <f>IF(Tablo2[[#This Row],[ÇAP mm]]/Tablo2[[#This Row],[Et Kalınlığı 2]]&lt;75,Tablo2[[#This Row],[ÇAP mm]]*0.015,"Anlaşmaya bağlıdır.")</f>
        <v>14.475</v>
      </c>
      <c r="AD45" s="8">
        <f>IF(Tablo2[[#This Row],[ÇAP mm]]/Tablo2[[#This Row],[Et Kalınlığı 3]]&lt;75,Tablo2[[#This Row],[ÇAP mm]]*0.01/2,"Anlaşmaya bağlıdır.")</f>
        <v>4.8250000000000002</v>
      </c>
      <c r="AE45" s="8">
        <f>IF(Tablo2[[#This Row],[ÇAP mm]]/Tablo2[[#This Row],[Et Kalınlığı 3]]&lt;75,Tablo2[[#This Row],[ÇAP mm]]*0.015,"Anlaşmaya bağlıdır.")</f>
        <v>14.475</v>
      </c>
      <c r="AF45" s="8">
        <f>IF(Tablo2[[#This Row],[ÇAP mm]]/Tablo2[[#This Row],[Et Kalınlığı 4]]&lt;75,Tablo2[[#This Row],[ÇAP mm]]*0.015/2,"Anlaşmaya bağlıdır.")</f>
        <v>7.2374999999999998</v>
      </c>
      <c r="AG45" s="64">
        <f>IF(Tablo2[[#This Row],[ÇAP mm]]/Tablo2[[#This Row],[Et Kalınlığı 4]]&lt;75,Tablo2[[#This Row],[ÇAP mm]]*0.015,"Anlaşmaya bağlıdır.")</f>
        <v>14.475</v>
      </c>
      <c r="AH45" s="8">
        <f>IF(Tablo2[[#This Row],[ÇAP mm]]/Tablo2[[#This Row],[Et Kalınlığı 4]]&lt;75,Tablo2[[#This Row],[ÇAP mm]]*0.015/2,"Anlaşmaya bağlıdır.")</f>
        <v>7.2374999999999998</v>
      </c>
      <c r="AI45" s="8">
        <f>IF(Tablo2[[#This Row],[ÇAP mm]]/Tablo2[[#This Row],[Et Kalınlığı 5]]&lt;75,Tablo2[[#This Row],[ÇAP mm]]*0.015,"Anlaşmaya bağlıdır.")</f>
        <v>14.475</v>
      </c>
      <c r="AJ45" s="11">
        <f>IF(40*Tablo2[[#This Row],[Et Kalınlığı ]]&lt;485,Tablo2[[#This Row],[Et Kalınlığı ]]*40,485)</f>
        <v>476.4</v>
      </c>
      <c r="AK45" s="5">
        <f>1940*POWER(ROUND(AJ45,-1),0.2)/POWER(Tablo2[[#This Row],[Tensile Mpa]],0.9)</f>
        <v>23.363159482445862</v>
      </c>
      <c r="AL45" s="5">
        <f>IF(40*Tablo2[[#This Row],[Et Kalınlığı 2]]&lt;485,Tablo2[[#This Row],[Et Kalınlığı ]]*40,485)</f>
        <v>485</v>
      </c>
      <c r="AM45" s="5">
        <f>1940*POWER(ROUND(Tablo1[[#This Row],[Axc mm22]],-1),0.2)/POWER(Tablo2[[#This Row],[Tensile Mpa]],0.9)</f>
        <v>23.459704754158476</v>
      </c>
      <c r="AN45" s="5">
        <f>IF(40*Tablo2[[#This Row],[Et Kalınlığı 3]]&lt;485,Tablo2[[#This Row],[Et Kalınlığı ]]*40,485)</f>
        <v>485</v>
      </c>
      <c r="AO45" s="5">
        <f>1940*POWER(ROUND(Tablo1[[#This Row],[Axc mm23]],-1),0.2)/POWER(Tablo2[[#This Row],[Tensile Mpa]],0.9)</f>
        <v>23.459704754158476</v>
      </c>
      <c r="AP45" s="5">
        <f>IF(40*Tablo2[[#This Row],[Et Kalınlığı 4]]&lt;485,Tablo2[[#This Row],[Et Kalınlığı 4]]*40,485)</f>
        <v>485</v>
      </c>
      <c r="AQ45" s="12">
        <f>1940*POWER(ROUND(Tablo1[[#This Row],[Axc mm24]],-1),0.2)/POWER(Tablo2[[#This Row],[Tensile Mpa]],0.9)</f>
        <v>23.459704754158476</v>
      </c>
      <c r="AR45" s="5">
        <f>IF(40*Tablo2[[#This Row],[Et Kalınlığı 5]]&lt;485,Tablo2[[#This Row],[Et Kalınlığı 4]]*40,485)</f>
        <v>485</v>
      </c>
      <c r="AS45" s="64">
        <f>1940*POWER(ROUND(Tablo1[[#This Row],[Axc mm25]],-1),0.2)/POWER(Tablo2[[#This Row],[Tensile Mpa]],0.9)</f>
        <v>23.459704754158476</v>
      </c>
    </row>
    <row r="46" spans="2:45" x14ac:dyDescent="0.2">
      <c r="B46" s="43" t="s">
        <v>34</v>
      </c>
      <c r="C46" s="4">
        <v>1016</v>
      </c>
      <c r="D46" s="4" t="s">
        <v>25</v>
      </c>
      <c r="E46" s="44">
        <v>65300</v>
      </c>
      <c r="F46" s="45">
        <v>535</v>
      </c>
      <c r="G46" s="49">
        <v>11.91</v>
      </c>
      <c r="H46" s="50">
        <f>2*Tablo2[[#This Row],[SMYS Psi]]*Tablo2[[#This Row],[Et Kalınlığı ]]/Tablo2[[#This Row],[ÇAP mm]]/14.50377</f>
        <v>105.55536852842916</v>
      </c>
      <c r="I46" s="51">
        <v>14.27</v>
      </c>
      <c r="J46" s="50">
        <f>2*Tablo2[[#This Row],[SMYS Psi]]*Tablo2[[#This Row],[Et Kalınlığı 2]]/Tablo2[[#This Row],[ÇAP mm]]/14.50377</f>
        <v>126.47146170450748</v>
      </c>
      <c r="K46" s="51">
        <v>17.48</v>
      </c>
      <c r="L46" s="50">
        <f>2*Tablo2[[#This Row],[SMYS Psi]]*Tablo2[[#This Row],[Et Kalınlığı 3]]/Tablo2[[#This Row],[ÇAP mm]]/14.50377</f>
        <v>154.92089352451231</v>
      </c>
      <c r="M46" s="51">
        <v>19.05</v>
      </c>
      <c r="N46" s="52">
        <f>2*Tablo2[[#This Row],[SMYS Psi]]*Tablo2[[#This Row],[Et Kalınlığı 4]]/Tablo2[[#This Row],[ÇAP mm]]/14.50377</f>
        <v>168.83541313741188</v>
      </c>
      <c r="O46" s="51">
        <v>20.62</v>
      </c>
      <c r="P46" s="50">
        <f>2*Tablo2[[#This Row],[SMYS Psi]]*Tablo2[[#This Row],[Et Kalınlığı 5]]/Tablo2[[#This Row],[ÇAP mm]]/14.50377</f>
        <v>182.74993275031142</v>
      </c>
      <c r="Q46" s="17">
        <f>Tablo2[[#This Row],[ÇAP mm]]+1.6</f>
        <v>1017.6</v>
      </c>
      <c r="R46" s="3">
        <f>Tablo2[[#This Row],[ÇAP mm]]-1.6</f>
        <v>1014.4</v>
      </c>
      <c r="S46" s="4">
        <f>IF(Tablo2[[#This Row],[ÇAP mm]]*0.005-4&lt;0,Tablo2[[#This Row],[ÇAP mm]]*1.005,Tablo2[[#This Row],[ÇAP mm]]+4)</f>
        <v>1020</v>
      </c>
      <c r="T46" s="18">
        <f>IF(Tablo2[[#This Row],[ÇAP mm]]*0.005-4&lt;0,Tablo2[[#This Row],[ÇAP mm]]*0.995,Tablo2[[#This Row],[ÇAP mm]]-4)</f>
        <v>1012</v>
      </c>
      <c r="U46" s="173">
        <f>Tablo2[[#This Row],[ÇAP mm]]/Tablo2[[#This Row],[Et Kalınlığı ]]</f>
        <v>85.306465155331651</v>
      </c>
      <c r="V46" s="60">
        <f>Tablo2[[#This Row],[ÇAP mm]]/Tablo2[[#This Row],[Et Kalınlığı 2]]</f>
        <v>71.198318149964962</v>
      </c>
      <c r="W46" s="60">
        <f>Tablo2[[#This Row],[ÇAP mm]]/Tablo2[[#This Row],[Et Kalınlığı 3]]</f>
        <v>58.12356979405034</v>
      </c>
      <c r="X46" s="61">
        <f>Tablo2[[#This Row],[ÇAP mm]]/Tablo2[[#This Row],[Et Kalınlığı 4]]</f>
        <v>53.333333333333329</v>
      </c>
      <c r="Y46" s="174">
        <f>Tablo2[[#This Row],[ÇAP mm]]/Tablo2[[#This Row],[Et Kalınlığı 5]]</f>
        <v>49.272550921435496</v>
      </c>
      <c r="Z46" s="7" t="str">
        <f>IF(Tablo2[[#This Row],[ÇAP mm]]/Tablo2[[#This Row],[Et Kalınlığı ]]&lt;75,Tablo2[[#This Row],[ÇAP mm]]*0.01/2,"Anlaşmaya bağlıdır.")</f>
        <v>Anlaşmaya bağlıdır.</v>
      </c>
      <c r="AA46" s="7" t="str">
        <f>IF(Tablo2[[#This Row],[ÇAP mm]]/Tablo2[[#This Row],[Et Kalınlığı ]]&lt;75,Tablo2[[#This Row],[ÇAP mm]]*0.015/2,"Anlaşmaya bağlıdır.")</f>
        <v>Anlaşmaya bağlıdır.</v>
      </c>
      <c r="AB46" s="8">
        <f>IF(Tablo2[[#This Row],[ÇAP mm]]/Tablo2[[#This Row],[Et Kalınlığı 2]]&lt;75,Tablo2[[#This Row],[ÇAP mm]]*0.01/2,"Anlaşmaya bağlıdır.")</f>
        <v>5.08</v>
      </c>
      <c r="AC46" s="8">
        <f>IF(Tablo2[[#This Row],[ÇAP mm]]/Tablo2[[#This Row],[Et Kalınlığı 2]]&lt;75,Tablo2[[#This Row],[ÇAP mm]]*0.015,"Anlaşmaya bağlıdır.")</f>
        <v>15.24</v>
      </c>
      <c r="AD46" s="8">
        <f>IF(Tablo2[[#This Row],[ÇAP mm]]/Tablo2[[#This Row],[Et Kalınlığı 3]]&lt;75,Tablo2[[#This Row],[ÇAP mm]]*0.01/2,"Anlaşmaya bağlıdır.")</f>
        <v>5.08</v>
      </c>
      <c r="AE46" s="8">
        <f>IF(Tablo2[[#This Row],[ÇAP mm]]/Tablo2[[#This Row],[Et Kalınlığı 3]]&lt;75,Tablo2[[#This Row],[ÇAP mm]]*0.015,"Anlaşmaya bağlıdır.")</f>
        <v>15.24</v>
      </c>
      <c r="AF46" s="8">
        <f>IF(Tablo2[[#This Row],[ÇAP mm]]/Tablo2[[#This Row],[Et Kalınlığı 4]]&lt;75,Tablo2[[#This Row],[ÇAP mm]]*0.015/2,"Anlaşmaya bağlıdır.")</f>
        <v>7.62</v>
      </c>
      <c r="AG46" s="64">
        <f>IF(Tablo2[[#This Row],[ÇAP mm]]/Tablo2[[#This Row],[Et Kalınlığı 4]]&lt;75,Tablo2[[#This Row],[ÇAP mm]]*0.015,"Anlaşmaya bağlıdır.")</f>
        <v>15.24</v>
      </c>
      <c r="AH46" s="8">
        <f>IF(Tablo2[[#This Row],[ÇAP mm]]/Tablo2[[#This Row],[Et Kalınlığı 4]]&lt;75,Tablo2[[#This Row],[ÇAP mm]]*0.015/2,"Anlaşmaya bağlıdır.")</f>
        <v>7.62</v>
      </c>
      <c r="AI46" s="8">
        <f>IF(Tablo2[[#This Row],[ÇAP mm]]/Tablo2[[#This Row],[Et Kalınlığı 5]]&lt;75,Tablo2[[#This Row],[ÇAP mm]]*0.015,"Anlaşmaya bağlıdır.")</f>
        <v>15.24</v>
      </c>
      <c r="AJ46" s="11">
        <f>IF(40*Tablo2[[#This Row],[Et Kalınlığı ]]&lt;485,Tablo2[[#This Row],[Et Kalınlığı ]]*40,485)</f>
        <v>476.4</v>
      </c>
      <c r="AK46" s="5">
        <f>1940*POWER(ROUND(AJ46,-1),0.2)/POWER(Tablo2[[#This Row],[Tensile Mpa]],0.9)</f>
        <v>23.363159482445862</v>
      </c>
      <c r="AL46" s="5">
        <f>IF(40*Tablo2[[#This Row],[Et Kalınlığı 2]]&lt;485,Tablo2[[#This Row],[Et Kalınlığı ]]*40,485)</f>
        <v>485</v>
      </c>
      <c r="AM46" s="5">
        <f>1940*POWER(ROUND(Tablo1[[#This Row],[Axc mm22]],-1),0.2)/POWER(Tablo2[[#This Row],[Tensile Mpa]],0.9)</f>
        <v>23.459704754158476</v>
      </c>
      <c r="AN46" s="5">
        <f>IF(40*Tablo2[[#This Row],[Et Kalınlığı 3]]&lt;485,Tablo2[[#This Row],[Et Kalınlığı ]]*40,485)</f>
        <v>485</v>
      </c>
      <c r="AO46" s="5">
        <f>1940*POWER(ROUND(Tablo1[[#This Row],[Axc mm23]],-1),0.2)/POWER(Tablo2[[#This Row],[Tensile Mpa]],0.9)</f>
        <v>23.459704754158476</v>
      </c>
      <c r="AP46" s="5">
        <f>IF(40*Tablo2[[#This Row],[Et Kalınlığı 4]]&lt;485,Tablo2[[#This Row],[Et Kalınlığı 4]]*40,485)</f>
        <v>485</v>
      </c>
      <c r="AQ46" s="12">
        <f>1940*POWER(ROUND(Tablo1[[#This Row],[Axc mm24]],-1),0.2)/POWER(Tablo2[[#This Row],[Tensile Mpa]],0.9)</f>
        <v>23.459704754158476</v>
      </c>
      <c r="AR46" s="5">
        <f>IF(40*Tablo2[[#This Row],[Et Kalınlığı 5]]&lt;485,Tablo2[[#This Row],[Et Kalınlığı 4]]*40,485)</f>
        <v>485</v>
      </c>
      <c r="AS46" s="64">
        <f>1940*POWER(ROUND(Tablo1[[#This Row],[Axc mm25]],-1),0.2)/POWER(Tablo2[[#This Row],[Tensile Mpa]],0.9)</f>
        <v>23.459704754158476</v>
      </c>
    </row>
    <row r="47" spans="2:45" x14ac:dyDescent="0.2">
      <c r="B47" s="43" t="s">
        <v>35</v>
      </c>
      <c r="C47" s="4">
        <v>1067</v>
      </c>
      <c r="D47" s="4" t="s">
        <v>25</v>
      </c>
      <c r="E47" s="44">
        <v>65300</v>
      </c>
      <c r="F47" s="45">
        <v>535</v>
      </c>
      <c r="G47" s="49">
        <v>12.7</v>
      </c>
      <c r="H47" s="50">
        <f>2*Tablo2[[#This Row],[SMYS Psi]]*Tablo2[[#This Row],[Et Kalınlığı ]]/Tablo2[[#This Row],[ÇAP mm]]/14.50377</f>
        <v>107.17699453146545</v>
      </c>
      <c r="I47" s="51">
        <v>15.88</v>
      </c>
      <c r="J47" s="50">
        <f>2*Tablo2[[#This Row],[SMYS Psi]]*Tablo2[[#This Row],[Et Kalınlığı 2]]/Tablo2[[#This Row],[ÇAP mm]]/14.50377</f>
        <v>134.01343883147018</v>
      </c>
      <c r="K47" s="51">
        <v>19.05</v>
      </c>
      <c r="L47" s="50">
        <f>2*Tablo2[[#This Row],[SMYS Psi]]*Tablo2[[#This Row],[Et Kalınlığı 3]]/Tablo2[[#This Row],[ÇAP mm]]/14.50377</f>
        <v>160.76549179719819</v>
      </c>
      <c r="M47" s="51">
        <v>20.62</v>
      </c>
      <c r="N47" s="52">
        <f>2*Tablo2[[#This Row],[SMYS Psi]]*Tablo2[[#This Row],[Et Kalınlığı 4]]/Tablo2[[#This Row],[ÇAP mm]]/14.50377</f>
        <v>174.01493127864705</v>
      </c>
      <c r="O47" s="51">
        <v>22.23</v>
      </c>
      <c r="P47" s="50">
        <f>2*Tablo2[[#This Row],[SMYS Psi]]*Tablo2[[#This Row],[Et Kalınlığı 5]]/Tablo2[[#This Row],[ÇAP mm]]/14.50377</f>
        <v>187.60193609720292</v>
      </c>
      <c r="Q47" s="17">
        <f>Tablo2[[#This Row],[ÇAP mm]]+1.6</f>
        <v>1068.5999999999999</v>
      </c>
      <c r="R47" s="3">
        <f>Tablo2[[#This Row],[ÇAP mm]]-1.6</f>
        <v>1065.4000000000001</v>
      </c>
      <c r="S47" s="4">
        <f>IF(Tablo2[[#This Row],[ÇAP mm]]*0.005-4&lt;0,Tablo2[[#This Row],[ÇAP mm]]*1.005,Tablo2[[#This Row],[ÇAP mm]]+4)</f>
        <v>1071</v>
      </c>
      <c r="T47" s="18">
        <f>IF(Tablo2[[#This Row],[ÇAP mm]]*0.005-4&lt;0,Tablo2[[#This Row],[ÇAP mm]]*0.995,Tablo2[[#This Row],[ÇAP mm]]-4)</f>
        <v>1063</v>
      </c>
      <c r="U47" s="173">
        <f>Tablo2[[#This Row],[ÇAP mm]]/Tablo2[[#This Row],[Et Kalınlığı ]]</f>
        <v>84.015748031496074</v>
      </c>
      <c r="V47" s="60">
        <f>Tablo2[[#This Row],[ÇAP mm]]/Tablo2[[#This Row],[Et Kalınlığı 2]]</f>
        <v>67.191435768261968</v>
      </c>
      <c r="W47" s="60">
        <f>Tablo2[[#This Row],[ÇAP mm]]/Tablo2[[#This Row],[Et Kalınlığı 3]]</f>
        <v>56.01049868766404</v>
      </c>
      <c r="X47" s="61">
        <f>Tablo2[[#This Row],[ÇAP mm]]/Tablo2[[#This Row],[Et Kalınlığı 4]]</f>
        <v>51.7458777885548</v>
      </c>
      <c r="Y47" s="174">
        <f>Tablo2[[#This Row],[ÇAP mm]]/Tablo2[[#This Row],[Et Kalınlığı 5]]</f>
        <v>47.998200629779575</v>
      </c>
      <c r="Z47" s="7" t="str">
        <f>IF(Tablo2[[#This Row],[ÇAP mm]]/Tablo2[[#This Row],[Et Kalınlığı ]]&lt;75,Tablo2[[#This Row],[ÇAP mm]]*0.01/2,"Anlaşmaya bağlıdır.")</f>
        <v>Anlaşmaya bağlıdır.</v>
      </c>
      <c r="AA47" s="7" t="str">
        <f>IF(Tablo2[[#This Row],[ÇAP mm]]/Tablo2[[#This Row],[Et Kalınlığı ]]&lt;75,Tablo2[[#This Row],[ÇAP mm]]*0.015/2,"Anlaşmaya bağlıdır.")</f>
        <v>Anlaşmaya bağlıdır.</v>
      </c>
      <c r="AB47" s="8">
        <f>IF(Tablo2[[#This Row],[ÇAP mm]]/Tablo2[[#This Row],[Et Kalınlığı 2]]&lt;75,Tablo2[[#This Row],[ÇAP mm]]*0.01/2,"Anlaşmaya bağlıdır.")</f>
        <v>5.335</v>
      </c>
      <c r="AC47" s="8">
        <f>IF(Tablo2[[#This Row],[ÇAP mm]]/Tablo2[[#This Row],[Et Kalınlığı 2]]&lt;75,Tablo2[[#This Row],[ÇAP mm]]*0.015,"Anlaşmaya bağlıdır.")</f>
        <v>16.004999999999999</v>
      </c>
      <c r="AD47" s="8">
        <f>IF(Tablo2[[#This Row],[ÇAP mm]]/Tablo2[[#This Row],[Et Kalınlığı 3]]&lt;75,Tablo2[[#This Row],[ÇAP mm]]*0.01/2,"Anlaşmaya bağlıdır.")</f>
        <v>5.335</v>
      </c>
      <c r="AE47" s="8">
        <f>IF(Tablo2[[#This Row],[ÇAP mm]]/Tablo2[[#This Row],[Et Kalınlığı 3]]&lt;75,Tablo2[[#This Row],[ÇAP mm]]*0.015,"Anlaşmaya bağlıdır.")</f>
        <v>16.004999999999999</v>
      </c>
      <c r="AF47" s="8">
        <f>IF(Tablo2[[#This Row],[ÇAP mm]]/Tablo2[[#This Row],[Et Kalınlığı 4]]&lt;75,Tablo2[[#This Row],[ÇAP mm]]*0.015/2,"Anlaşmaya bağlıdır.")</f>
        <v>8.0024999999999995</v>
      </c>
      <c r="AG47" s="64">
        <f>IF(Tablo2[[#This Row],[ÇAP mm]]/Tablo2[[#This Row],[Et Kalınlığı 4]]&lt;75,Tablo2[[#This Row],[ÇAP mm]]*0.015,"Anlaşmaya bağlıdır.")</f>
        <v>16.004999999999999</v>
      </c>
      <c r="AH47" s="8">
        <f>IF(Tablo2[[#This Row],[ÇAP mm]]/Tablo2[[#This Row],[Et Kalınlığı 4]]&lt;75,Tablo2[[#This Row],[ÇAP mm]]*0.015/2,"Anlaşmaya bağlıdır.")</f>
        <v>8.0024999999999995</v>
      </c>
      <c r="AI47" s="8">
        <f>IF(Tablo2[[#This Row],[ÇAP mm]]/Tablo2[[#This Row],[Et Kalınlığı 5]]&lt;75,Tablo2[[#This Row],[ÇAP mm]]*0.015,"Anlaşmaya bağlıdır.")</f>
        <v>16.004999999999999</v>
      </c>
      <c r="AJ47" s="11">
        <f>IF(40*Tablo2[[#This Row],[Et Kalınlığı ]]&lt;485,Tablo2[[#This Row],[Et Kalınlığı ]]*40,485)</f>
        <v>485</v>
      </c>
      <c r="AK47" s="5">
        <f>1940*POWER(ROUND(AJ47,-1),0.2)/POWER(Tablo2[[#This Row],[Tensile Mpa]],0.9)</f>
        <v>23.459704754158476</v>
      </c>
      <c r="AL47" s="5">
        <f>IF(40*Tablo2[[#This Row],[Et Kalınlığı 2]]&lt;485,Tablo2[[#This Row],[Et Kalınlığı ]]*40,485)</f>
        <v>485</v>
      </c>
      <c r="AM47" s="5">
        <f>1940*POWER(ROUND(Tablo1[[#This Row],[Axc mm22]],-1),0.2)/POWER(Tablo2[[#This Row],[Tensile Mpa]],0.9)</f>
        <v>23.459704754158476</v>
      </c>
      <c r="AN47" s="5">
        <f>IF(40*Tablo2[[#This Row],[Et Kalınlığı 3]]&lt;485,Tablo2[[#This Row],[Et Kalınlığı ]]*40,485)</f>
        <v>485</v>
      </c>
      <c r="AO47" s="5">
        <f>1940*POWER(ROUND(Tablo1[[#This Row],[Axc mm23]],-1),0.2)/POWER(Tablo2[[#This Row],[Tensile Mpa]],0.9)</f>
        <v>23.459704754158476</v>
      </c>
      <c r="AP47" s="5">
        <f>IF(40*Tablo2[[#This Row],[Et Kalınlığı 4]]&lt;485,Tablo2[[#This Row],[Et Kalınlığı 4]]*40,485)</f>
        <v>485</v>
      </c>
      <c r="AQ47" s="12">
        <f>1940*POWER(ROUND(Tablo1[[#This Row],[Axc mm24]],-1),0.2)/POWER(Tablo2[[#This Row],[Tensile Mpa]],0.9)</f>
        <v>23.459704754158476</v>
      </c>
      <c r="AR47" s="5">
        <f>IF(40*Tablo2[[#This Row],[Et Kalınlığı 5]]&lt;485,Tablo2[[#This Row],[Et Kalınlığı 4]]*40,485)</f>
        <v>485</v>
      </c>
      <c r="AS47" s="64">
        <f>1940*POWER(ROUND(Tablo1[[#This Row],[Axc mm25]],-1),0.2)/POWER(Tablo2[[#This Row],[Tensile Mpa]],0.9)</f>
        <v>23.459704754158476</v>
      </c>
    </row>
    <row r="48" spans="2:45" x14ac:dyDescent="0.2">
      <c r="B48" s="43" t="s">
        <v>36</v>
      </c>
      <c r="C48" s="4">
        <v>1118</v>
      </c>
      <c r="D48" s="4" t="s">
        <v>25</v>
      </c>
      <c r="E48" s="44">
        <v>65300</v>
      </c>
      <c r="F48" s="45">
        <v>535</v>
      </c>
      <c r="G48" s="49">
        <v>14.27</v>
      </c>
      <c r="H48" s="50">
        <f>2*Tablo2[[#This Row],[SMYS Psi]]*Tablo2[[#This Row],[Et Kalınlığı ]]/Tablo2[[#This Row],[ÇAP mm]]/14.50377</f>
        <v>114.93292047565259</v>
      </c>
      <c r="I48" s="51">
        <v>15.88</v>
      </c>
      <c r="J48" s="50">
        <f>2*Tablo2[[#This Row],[SMYS Psi]]*Tablo2[[#This Row],[Et Kalınlığı 2]]/Tablo2[[#This Row],[ÇAP mm]]/14.50377</f>
        <v>127.90012453772692</v>
      </c>
      <c r="K48" s="51">
        <v>19.05</v>
      </c>
      <c r="L48" s="50">
        <f>2*Tablo2[[#This Row],[SMYS Psi]]*Tablo2[[#This Row],[Et Kalınlığı 3]]/Tablo2[[#This Row],[ÇAP mm]]/14.50377</f>
        <v>153.43182446119002</v>
      </c>
      <c r="M48" s="51">
        <v>20.62</v>
      </c>
      <c r="N48" s="52">
        <f>2*Tablo2[[#This Row],[SMYS Psi]]*Tablo2[[#This Row],[Et Kalınlığı 4]]/Tablo2[[#This Row],[ÇAP mm]]/14.50377</f>
        <v>166.07686196271592</v>
      </c>
      <c r="O48" s="51">
        <v>22.23</v>
      </c>
      <c r="P48" s="50">
        <f>2*Tablo2[[#This Row],[SMYS Psi]]*Tablo2[[#This Row],[Et Kalınlığı 5]]/Tablo2[[#This Row],[ÇAP mm]]/14.50377</f>
        <v>179.04406602479025</v>
      </c>
      <c r="Q48" s="17">
        <f>Tablo2[[#This Row],[ÇAP mm]]+1.6</f>
        <v>1119.5999999999999</v>
      </c>
      <c r="R48" s="3">
        <f>Tablo2[[#This Row],[ÇAP mm]]-1.6</f>
        <v>1116.4000000000001</v>
      </c>
      <c r="S48" s="4">
        <f>IF(Tablo2[[#This Row],[ÇAP mm]]*0.005-4&lt;0,Tablo2[[#This Row],[ÇAP mm]]*1.005,Tablo2[[#This Row],[ÇAP mm]]+4)</f>
        <v>1122</v>
      </c>
      <c r="T48" s="18">
        <f>IF(Tablo2[[#This Row],[ÇAP mm]]*0.005-4&lt;0,Tablo2[[#This Row],[ÇAP mm]]*0.995,Tablo2[[#This Row],[ÇAP mm]]-4)</f>
        <v>1114</v>
      </c>
      <c r="U48" s="173">
        <f>Tablo2[[#This Row],[ÇAP mm]]/Tablo2[[#This Row],[Et Kalınlığı ]]</f>
        <v>78.346180798878763</v>
      </c>
      <c r="V48" s="60">
        <f>Tablo2[[#This Row],[ÇAP mm]]/Tablo2[[#This Row],[Et Kalınlığı 2]]</f>
        <v>70.40302267002518</v>
      </c>
      <c r="W48" s="60">
        <f>Tablo2[[#This Row],[ÇAP mm]]/Tablo2[[#This Row],[Et Kalınlığı 3]]</f>
        <v>58.687664041994751</v>
      </c>
      <c r="X48" s="61">
        <f>Tablo2[[#This Row],[ÇAP mm]]/Tablo2[[#This Row],[Et Kalınlığı 4]]</f>
        <v>54.219204655674098</v>
      </c>
      <c r="Y48" s="174">
        <f>Tablo2[[#This Row],[ÇAP mm]]/Tablo2[[#This Row],[Et Kalınlığı 5]]</f>
        <v>50.292397660818715</v>
      </c>
      <c r="Z48" s="7" t="str">
        <f>IF(Tablo2[[#This Row],[ÇAP mm]]/Tablo2[[#This Row],[Et Kalınlığı ]]&lt;75,Tablo2[[#This Row],[ÇAP mm]]*0.01/2,"Anlaşmaya bağlıdır.")</f>
        <v>Anlaşmaya bağlıdır.</v>
      </c>
      <c r="AA48" s="7" t="str">
        <f>IF(Tablo2[[#This Row],[ÇAP mm]]/Tablo2[[#This Row],[Et Kalınlığı ]]&lt;75,Tablo2[[#This Row],[ÇAP mm]]*0.015/2,"Anlaşmaya bağlıdır.")</f>
        <v>Anlaşmaya bağlıdır.</v>
      </c>
      <c r="AB48" s="8">
        <f>IF(Tablo2[[#This Row],[ÇAP mm]]/Tablo2[[#This Row],[Et Kalınlığı 2]]&lt;75,Tablo2[[#This Row],[ÇAP mm]]*0.01/2,"Anlaşmaya bağlıdır.")</f>
        <v>5.59</v>
      </c>
      <c r="AC48" s="8">
        <f>IF(Tablo2[[#This Row],[ÇAP mm]]/Tablo2[[#This Row],[Et Kalınlığı 2]]&lt;75,Tablo2[[#This Row],[ÇAP mm]]*0.015,"Anlaşmaya bağlıdır.")</f>
        <v>16.77</v>
      </c>
      <c r="AD48" s="8">
        <f>IF(Tablo2[[#This Row],[ÇAP mm]]/Tablo2[[#This Row],[Et Kalınlığı 3]]&lt;75,Tablo2[[#This Row],[ÇAP mm]]*0.01/2,"Anlaşmaya bağlıdır.")</f>
        <v>5.59</v>
      </c>
      <c r="AE48" s="8">
        <f>IF(Tablo2[[#This Row],[ÇAP mm]]/Tablo2[[#This Row],[Et Kalınlığı 3]]&lt;75,Tablo2[[#This Row],[ÇAP mm]]*0.015,"Anlaşmaya bağlıdır.")</f>
        <v>16.77</v>
      </c>
      <c r="AF48" s="8">
        <f>IF(Tablo2[[#This Row],[ÇAP mm]]/Tablo2[[#This Row],[Et Kalınlığı 4]]&lt;75,Tablo2[[#This Row],[ÇAP mm]]*0.015/2,"Anlaşmaya bağlıdır.")</f>
        <v>8.3849999999999998</v>
      </c>
      <c r="AG48" s="64">
        <f>IF(Tablo2[[#This Row],[ÇAP mm]]/Tablo2[[#This Row],[Et Kalınlığı 4]]&lt;75,Tablo2[[#This Row],[ÇAP mm]]*0.015,"Anlaşmaya bağlıdır.")</f>
        <v>16.77</v>
      </c>
      <c r="AH48" s="8">
        <f>IF(Tablo2[[#This Row],[ÇAP mm]]/Tablo2[[#This Row],[Et Kalınlığı 4]]&lt;75,Tablo2[[#This Row],[ÇAP mm]]*0.015/2,"Anlaşmaya bağlıdır.")</f>
        <v>8.3849999999999998</v>
      </c>
      <c r="AI48" s="8">
        <f>IF(Tablo2[[#This Row],[ÇAP mm]]/Tablo2[[#This Row],[Et Kalınlığı 5]]&lt;75,Tablo2[[#This Row],[ÇAP mm]]*0.015,"Anlaşmaya bağlıdır.")</f>
        <v>16.77</v>
      </c>
      <c r="AJ48" s="11">
        <f>IF(40*Tablo2[[#This Row],[Et Kalınlığı ]]&lt;485,Tablo2[[#This Row],[Et Kalınlığı ]]*40,485)</f>
        <v>485</v>
      </c>
      <c r="AK48" s="5">
        <f>1940*POWER(ROUND(AJ48,-1),0.2)/POWER(Tablo2[[#This Row],[Tensile Mpa]],0.9)</f>
        <v>23.459704754158476</v>
      </c>
      <c r="AL48" s="5">
        <f>IF(40*Tablo2[[#This Row],[Et Kalınlığı 2]]&lt;485,Tablo2[[#This Row],[Et Kalınlığı ]]*40,485)</f>
        <v>485</v>
      </c>
      <c r="AM48" s="5">
        <f>1940*POWER(ROUND(Tablo1[[#This Row],[Axc mm22]],-1),0.2)/POWER(Tablo2[[#This Row],[Tensile Mpa]],0.9)</f>
        <v>23.459704754158476</v>
      </c>
      <c r="AN48" s="5">
        <f>IF(40*Tablo2[[#This Row],[Et Kalınlığı 3]]&lt;485,Tablo2[[#This Row],[Et Kalınlığı ]]*40,485)</f>
        <v>485</v>
      </c>
      <c r="AO48" s="5">
        <f>1940*POWER(ROUND(Tablo1[[#This Row],[Axc mm23]],-1),0.2)/POWER(Tablo2[[#This Row],[Tensile Mpa]],0.9)</f>
        <v>23.459704754158476</v>
      </c>
      <c r="AP48" s="5">
        <f>IF(40*Tablo2[[#This Row],[Et Kalınlığı 4]]&lt;485,Tablo2[[#This Row],[Et Kalınlığı 4]]*40,485)</f>
        <v>485</v>
      </c>
      <c r="AQ48" s="12">
        <f>1940*POWER(ROUND(Tablo1[[#This Row],[Axc mm24]],-1),0.2)/POWER(Tablo2[[#This Row],[Tensile Mpa]],0.9)</f>
        <v>23.459704754158476</v>
      </c>
      <c r="AR48" s="5">
        <f>IF(40*Tablo2[[#This Row],[Et Kalınlığı 5]]&lt;485,Tablo2[[#This Row],[Et Kalınlığı 4]]*40,485)</f>
        <v>485</v>
      </c>
      <c r="AS48" s="64">
        <f>1940*POWER(ROUND(Tablo1[[#This Row],[Axc mm25]],-1),0.2)/POWER(Tablo2[[#This Row],[Tensile Mpa]],0.9)</f>
        <v>23.459704754158476</v>
      </c>
    </row>
    <row r="49" spans="2:45" x14ac:dyDescent="0.2">
      <c r="B49" s="43" t="s">
        <v>37</v>
      </c>
      <c r="C49" s="4">
        <v>1168</v>
      </c>
      <c r="D49" s="4" t="s">
        <v>25</v>
      </c>
      <c r="E49" s="44">
        <v>65300</v>
      </c>
      <c r="F49" s="45">
        <v>535</v>
      </c>
      <c r="G49" s="49">
        <v>14.27</v>
      </c>
      <c r="H49" s="50">
        <f>2*Tablo2[[#This Row],[SMYS Psi]]*Tablo2[[#This Row],[Et Kalınlığı ]]/Tablo2[[#This Row],[ÇAP mm]]/14.50377</f>
        <v>110.01284682515376</v>
      </c>
      <c r="I49" s="51">
        <v>17.48</v>
      </c>
      <c r="J49" s="50">
        <f>2*Tablo2[[#This Row],[SMYS Psi]]*Tablo2[[#This Row],[Et Kalınlığı 2]]/Tablo2[[#This Row],[ÇAP mm]]/14.50377</f>
        <v>134.75995532611688</v>
      </c>
      <c r="K49" s="51">
        <v>20.62</v>
      </c>
      <c r="L49" s="50">
        <f>2*Tablo2[[#This Row],[SMYS Psi]]*Tablo2[[#This Row],[Et Kalınlığı 3]]/Tablo2[[#This Row],[ÇAP mm]]/14.50377</f>
        <v>158.96740725540789</v>
      </c>
      <c r="M49" s="51">
        <v>22.23</v>
      </c>
      <c r="N49" s="52">
        <f>2*Tablo2[[#This Row],[SMYS Psi]]*Tablo2[[#This Row],[Et Kalınlığı 4]]/Tablo2[[#This Row],[ÇAP mm]]/14.50377</f>
        <v>171.37950840386603</v>
      </c>
      <c r="O49" s="51">
        <v>23.83</v>
      </c>
      <c r="P49" s="50">
        <f>2*Tablo2[[#This Row],[SMYS Psi]]*Tablo2[[#This Row],[Et Kalınlığı 5]]/Tablo2[[#This Row],[ÇAP mm]]/14.50377</f>
        <v>183.71451575637101</v>
      </c>
      <c r="Q49" s="17">
        <f>Tablo2[[#This Row],[ÇAP mm]]+1.6</f>
        <v>1169.5999999999999</v>
      </c>
      <c r="R49" s="3">
        <f>Tablo2[[#This Row],[ÇAP mm]]-1.6</f>
        <v>1166.4000000000001</v>
      </c>
      <c r="S49" s="4">
        <f>IF(Tablo2[[#This Row],[ÇAP mm]]*0.005-4&lt;0,Tablo2[[#This Row],[ÇAP mm]]*1.005,Tablo2[[#This Row],[ÇAP mm]]+4)</f>
        <v>1172</v>
      </c>
      <c r="T49" s="18">
        <f>IF(Tablo2[[#This Row],[ÇAP mm]]*0.005-4&lt;0,Tablo2[[#This Row],[ÇAP mm]]*0.995,Tablo2[[#This Row],[ÇAP mm]]-4)</f>
        <v>1164</v>
      </c>
      <c r="U49" s="173">
        <f>Tablo2[[#This Row],[ÇAP mm]]/Tablo2[[#This Row],[Et Kalınlığı ]]</f>
        <v>81.850035038542401</v>
      </c>
      <c r="V49" s="60">
        <f>Tablo2[[#This Row],[ÇAP mm]]/Tablo2[[#This Row],[Et Kalınlığı 2]]</f>
        <v>66.819221967963387</v>
      </c>
      <c r="W49" s="60">
        <f>Tablo2[[#This Row],[ÇAP mm]]/Tablo2[[#This Row],[Et Kalınlığı 3]]</f>
        <v>56.644034917555771</v>
      </c>
      <c r="X49" s="61">
        <f>Tablo2[[#This Row],[ÇAP mm]]/Tablo2[[#This Row],[Et Kalınlığı 4]]</f>
        <v>52.541610436347277</v>
      </c>
      <c r="Y49" s="174">
        <f>Tablo2[[#This Row],[ÇAP mm]]/Tablo2[[#This Row],[Et Kalınlığı 5]]</f>
        <v>49.01384809064205</v>
      </c>
      <c r="Z49" s="7" t="str">
        <f>IF(Tablo2[[#This Row],[ÇAP mm]]/Tablo2[[#This Row],[Et Kalınlığı ]]&lt;75,Tablo2[[#This Row],[ÇAP mm]]*0.01/2,"Anlaşmaya bağlıdır.")</f>
        <v>Anlaşmaya bağlıdır.</v>
      </c>
      <c r="AA49" s="7" t="str">
        <f>IF(Tablo2[[#This Row],[ÇAP mm]]/Tablo2[[#This Row],[Et Kalınlığı ]]&lt;75,Tablo2[[#This Row],[ÇAP mm]]*0.015/2,"Anlaşmaya bağlıdır.")</f>
        <v>Anlaşmaya bağlıdır.</v>
      </c>
      <c r="AB49" s="8">
        <f>IF(Tablo2[[#This Row],[ÇAP mm]]/Tablo2[[#This Row],[Et Kalınlığı 2]]&lt;75,Tablo2[[#This Row],[ÇAP mm]]*0.01/2,"Anlaşmaya bağlıdır.")</f>
        <v>5.84</v>
      </c>
      <c r="AC49" s="8">
        <f>IF(Tablo2[[#This Row],[ÇAP mm]]/Tablo2[[#This Row],[Et Kalınlığı 2]]&lt;75,Tablo2[[#This Row],[ÇAP mm]]*0.015,"Anlaşmaya bağlıdır.")</f>
        <v>17.52</v>
      </c>
      <c r="AD49" s="8">
        <f>IF(Tablo2[[#This Row],[ÇAP mm]]/Tablo2[[#This Row],[Et Kalınlığı 3]]&lt;75,Tablo2[[#This Row],[ÇAP mm]]*0.01/2,"Anlaşmaya bağlıdır.")</f>
        <v>5.84</v>
      </c>
      <c r="AE49" s="8">
        <f>IF(Tablo2[[#This Row],[ÇAP mm]]/Tablo2[[#This Row],[Et Kalınlığı 3]]&lt;75,Tablo2[[#This Row],[ÇAP mm]]*0.015,"Anlaşmaya bağlıdır.")</f>
        <v>17.52</v>
      </c>
      <c r="AF49" s="8">
        <f>IF(Tablo2[[#This Row],[ÇAP mm]]/Tablo2[[#This Row],[Et Kalınlığı 4]]&lt;75,Tablo2[[#This Row],[ÇAP mm]]*0.015/2,"Anlaşmaya bağlıdır.")</f>
        <v>8.76</v>
      </c>
      <c r="AG49" s="64">
        <f>IF(Tablo2[[#This Row],[ÇAP mm]]/Tablo2[[#This Row],[Et Kalınlığı 4]]&lt;75,Tablo2[[#This Row],[ÇAP mm]]*0.015,"Anlaşmaya bağlıdır.")</f>
        <v>17.52</v>
      </c>
      <c r="AH49" s="8">
        <f>IF(Tablo2[[#This Row],[ÇAP mm]]/Tablo2[[#This Row],[Et Kalınlığı 4]]&lt;75,Tablo2[[#This Row],[ÇAP mm]]*0.015/2,"Anlaşmaya bağlıdır.")</f>
        <v>8.76</v>
      </c>
      <c r="AI49" s="8">
        <f>IF(Tablo2[[#This Row],[ÇAP mm]]/Tablo2[[#This Row],[Et Kalınlığı 5]]&lt;75,Tablo2[[#This Row],[ÇAP mm]]*0.015,"Anlaşmaya bağlıdır.")</f>
        <v>17.52</v>
      </c>
      <c r="AJ49" s="11">
        <f>IF(40*Tablo2[[#This Row],[Et Kalınlığı ]]&lt;485,Tablo2[[#This Row],[Et Kalınlığı ]]*40,485)</f>
        <v>485</v>
      </c>
      <c r="AK49" s="5">
        <f>1940*POWER(ROUND(AJ49,-1),0.2)/POWER(Tablo2[[#This Row],[Tensile Mpa]],0.9)</f>
        <v>23.459704754158476</v>
      </c>
      <c r="AL49" s="5">
        <f>IF(40*Tablo2[[#This Row],[Et Kalınlığı 2]]&lt;485,Tablo2[[#This Row],[Et Kalınlığı ]]*40,485)</f>
        <v>485</v>
      </c>
      <c r="AM49" s="5">
        <f>1940*POWER(ROUND(Tablo1[[#This Row],[Axc mm22]],-1),0.2)/POWER(Tablo2[[#This Row],[Tensile Mpa]],0.9)</f>
        <v>23.459704754158476</v>
      </c>
      <c r="AN49" s="5">
        <f>IF(40*Tablo2[[#This Row],[Et Kalınlığı 3]]&lt;485,Tablo2[[#This Row],[Et Kalınlığı ]]*40,485)</f>
        <v>485</v>
      </c>
      <c r="AO49" s="5">
        <f>1940*POWER(ROUND(Tablo1[[#This Row],[Axc mm23]],-1),0.2)/POWER(Tablo2[[#This Row],[Tensile Mpa]],0.9)</f>
        <v>23.459704754158476</v>
      </c>
      <c r="AP49" s="5">
        <f>IF(40*Tablo2[[#This Row],[Et Kalınlığı 4]]&lt;485,Tablo2[[#This Row],[Et Kalınlığı 4]]*40,485)</f>
        <v>485</v>
      </c>
      <c r="AQ49" s="12">
        <f>1940*POWER(ROUND(Tablo1[[#This Row],[Axc mm24]],-1),0.2)/POWER(Tablo2[[#This Row],[Tensile Mpa]],0.9)</f>
        <v>23.459704754158476</v>
      </c>
      <c r="AR49" s="5">
        <f>IF(40*Tablo2[[#This Row],[Et Kalınlığı 5]]&lt;485,Tablo2[[#This Row],[Et Kalınlığı 4]]*40,485)</f>
        <v>485</v>
      </c>
      <c r="AS49" s="64">
        <f>1940*POWER(ROUND(Tablo1[[#This Row],[Axc mm25]],-1),0.2)/POWER(Tablo2[[#This Row],[Tensile Mpa]],0.9)</f>
        <v>23.459704754158476</v>
      </c>
    </row>
    <row r="50" spans="2:45" x14ac:dyDescent="0.2">
      <c r="B50" s="43" t="s">
        <v>38</v>
      </c>
      <c r="C50" s="4">
        <v>1219</v>
      </c>
      <c r="D50" s="4" t="s">
        <v>25</v>
      </c>
      <c r="E50" s="44">
        <v>65300</v>
      </c>
      <c r="F50" s="45">
        <v>535</v>
      </c>
      <c r="G50" s="49">
        <v>14.27</v>
      </c>
      <c r="H50" s="50">
        <f>2*Tablo2[[#This Row],[SMYS Psi]]*Tablo2[[#This Row],[Et Kalınlığı ]]/Tablo2[[#This Row],[ÇAP mm]]/14.50377</f>
        <v>105.410176449368</v>
      </c>
      <c r="I50" s="51">
        <v>17.48</v>
      </c>
      <c r="J50" s="50">
        <f>2*Tablo2[[#This Row],[SMYS Psi]]*Tablo2[[#This Row],[Et Kalınlığı 2]]/Tablo2[[#This Row],[ÇAP mm]]/14.50377</f>
        <v>129.12192602207097</v>
      </c>
      <c r="K50" s="51">
        <v>20.62</v>
      </c>
      <c r="L50" s="50">
        <f>2*Tablo2[[#This Row],[SMYS Psi]]*Tablo2[[#This Row],[Et Kalınlığı 3]]/Tablo2[[#This Row],[ÇAP mm]]/14.50377</f>
        <v>152.31659694365578</v>
      </c>
      <c r="M50" s="51">
        <v>22.23</v>
      </c>
      <c r="N50" s="52">
        <f>2*Tablo2[[#This Row],[SMYS Psi]]*Tablo2[[#This Row],[Et Kalınlığı 4]]/Tablo2[[#This Row],[ÇAP mm]]/14.50377</f>
        <v>164.20940591937284</v>
      </c>
      <c r="O50" s="51">
        <v>23.83</v>
      </c>
      <c r="P50" s="50">
        <f>2*Tablo2[[#This Row],[SMYS Psi]]*Tablo2[[#This Row],[Et Kalınlığı 5]]/Tablo2[[#This Row],[ÇAP mm]]/14.50377</f>
        <v>176.02834651635877</v>
      </c>
      <c r="Q50" s="17">
        <f>Tablo2[[#This Row],[ÇAP mm]]+1.6</f>
        <v>1220.5999999999999</v>
      </c>
      <c r="R50" s="3">
        <f>Tablo2[[#This Row],[ÇAP mm]]-1.6</f>
        <v>1217.4000000000001</v>
      </c>
      <c r="S50" s="4">
        <f>IF(Tablo2[[#This Row],[ÇAP mm]]*0.005-4&lt;0,Tablo2[[#This Row],[ÇAP mm]]*1.005,Tablo2[[#This Row],[ÇAP mm]]+4)</f>
        <v>1223</v>
      </c>
      <c r="T50" s="18">
        <f>IF(Tablo2[[#This Row],[ÇAP mm]]*0.005-4&lt;0,Tablo2[[#This Row],[ÇAP mm]]*0.995,Tablo2[[#This Row],[ÇAP mm]]-4)</f>
        <v>1215</v>
      </c>
      <c r="U50" s="173">
        <f>Tablo2[[#This Row],[ÇAP mm]]/Tablo2[[#This Row],[Et Kalınlığı ]]</f>
        <v>85.423966362999295</v>
      </c>
      <c r="V50" s="60">
        <f>Tablo2[[#This Row],[ÇAP mm]]/Tablo2[[#This Row],[Et Kalınlığı 2]]</f>
        <v>69.73684210526315</v>
      </c>
      <c r="W50" s="60">
        <f>Tablo2[[#This Row],[ÇAP mm]]/Tablo2[[#This Row],[Et Kalınlığı 3]]</f>
        <v>59.117361784675069</v>
      </c>
      <c r="X50" s="61">
        <f>Tablo2[[#This Row],[ÇAP mm]]/Tablo2[[#This Row],[Et Kalınlığı 4]]</f>
        <v>54.835807467386417</v>
      </c>
      <c r="Y50" s="174">
        <f>Tablo2[[#This Row],[ÇAP mm]]/Tablo2[[#This Row],[Et Kalınlığı 5]]</f>
        <v>51.154007553503988</v>
      </c>
      <c r="Z50" s="7" t="str">
        <f>IF(Tablo2[[#This Row],[ÇAP mm]]/Tablo2[[#This Row],[Et Kalınlığı ]]&lt;75,Tablo2[[#This Row],[ÇAP mm]]*0.01/2,"Anlaşmaya bağlıdır.")</f>
        <v>Anlaşmaya bağlıdır.</v>
      </c>
      <c r="AA50" s="7" t="str">
        <f>IF(Tablo2[[#This Row],[ÇAP mm]]/Tablo2[[#This Row],[Et Kalınlığı ]]&lt;75,Tablo2[[#This Row],[ÇAP mm]]*0.015/2,"Anlaşmaya bağlıdır.")</f>
        <v>Anlaşmaya bağlıdır.</v>
      </c>
      <c r="AB50" s="8">
        <f>IF(Tablo2[[#This Row],[ÇAP mm]]/Tablo2[[#This Row],[Et Kalınlığı 2]]&lt;75,Tablo2[[#This Row],[ÇAP mm]]*0.01/2,"Anlaşmaya bağlıdır.")</f>
        <v>6.0949999999999998</v>
      </c>
      <c r="AC50" s="8">
        <f>IF(Tablo2[[#This Row],[ÇAP mm]]/Tablo2[[#This Row],[Et Kalınlığı 2]]&lt;75,Tablo2[[#This Row],[ÇAP mm]]*0.015,"Anlaşmaya bağlıdır.")</f>
        <v>18.285</v>
      </c>
      <c r="AD50" s="8">
        <f>IF(Tablo2[[#This Row],[ÇAP mm]]/Tablo2[[#This Row],[Et Kalınlığı 3]]&lt;75,Tablo2[[#This Row],[ÇAP mm]]*0.01/2,"Anlaşmaya bağlıdır.")</f>
        <v>6.0949999999999998</v>
      </c>
      <c r="AE50" s="8">
        <f>IF(Tablo2[[#This Row],[ÇAP mm]]/Tablo2[[#This Row],[Et Kalınlığı 3]]&lt;75,Tablo2[[#This Row],[ÇAP mm]]*0.015,"Anlaşmaya bağlıdır.")</f>
        <v>18.285</v>
      </c>
      <c r="AF50" s="8">
        <f>IF(Tablo2[[#This Row],[ÇAP mm]]/Tablo2[[#This Row],[Et Kalınlığı 4]]&lt;75,Tablo2[[#This Row],[ÇAP mm]]*0.015/2,"Anlaşmaya bağlıdır.")</f>
        <v>9.1425000000000001</v>
      </c>
      <c r="AG50" s="64">
        <f>IF(Tablo2[[#This Row],[ÇAP mm]]/Tablo2[[#This Row],[Et Kalınlığı 4]]&lt;75,Tablo2[[#This Row],[ÇAP mm]]*0.015,"Anlaşmaya bağlıdır.")</f>
        <v>18.285</v>
      </c>
      <c r="AH50" s="8">
        <f>IF(Tablo2[[#This Row],[ÇAP mm]]/Tablo2[[#This Row],[Et Kalınlığı 4]]&lt;75,Tablo2[[#This Row],[ÇAP mm]]*0.015/2,"Anlaşmaya bağlıdır.")</f>
        <v>9.1425000000000001</v>
      </c>
      <c r="AI50" s="8">
        <f>IF(Tablo2[[#This Row],[ÇAP mm]]/Tablo2[[#This Row],[Et Kalınlığı 5]]&lt;75,Tablo2[[#This Row],[ÇAP mm]]*0.015,"Anlaşmaya bağlıdır.")</f>
        <v>18.285</v>
      </c>
      <c r="AJ50" s="11">
        <f>IF(40*Tablo2[[#This Row],[Et Kalınlığı ]]&lt;485,Tablo2[[#This Row],[Et Kalınlığı ]]*40,485)</f>
        <v>485</v>
      </c>
      <c r="AK50" s="5">
        <f>1940*POWER(ROUND(AJ50,-1),0.2)/POWER(Tablo2[[#This Row],[Tensile Mpa]],0.9)</f>
        <v>23.459704754158476</v>
      </c>
      <c r="AL50" s="5">
        <f>IF(40*Tablo2[[#This Row],[Et Kalınlığı 2]]&lt;485,Tablo2[[#This Row],[Et Kalınlığı ]]*40,485)</f>
        <v>485</v>
      </c>
      <c r="AM50" s="5">
        <f>1940*POWER(ROUND(Tablo1[[#This Row],[Axc mm22]],-1),0.2)/POWER(Tablo2[[#This Row],[Tensile Mpa]],0.9)</f>
        <v>23.459704754158476</v>
      </c>
      <c r="AN50" s="5">
        <f>IF(40*Tablo2[[#This Row],[Et Kalınlığı 3]]&lt;485,Tablo2[[#This Row],[Et Kalınlığı ]]*40,485)</f>
        <v>485</v>
      </c>
      <c r="AO50" s="5">
        <f>1940*POWER(ROUND(Tablo1[[#This Row],[Axc mm23]],-1),0.2)/POWER(Tablo2[[#This Row],[Tensile Mpa]],0.9)</f>
        <v>23.459704754158476</v>
      </c>
      <c r="AP50" s="5">
        <f>IF(40*Tablo2[[#This Row],[Et Kalınlığı 4]]&lt;485,Tablo2[[#This Row],[Et Kalınlığı 4]]*40,485)</f>
        <v>485</v>
      </c>
      <c r="AQ50" s="12">
        <f>1940*POWER(ROUND(Tablo1[[#This Row],[Axc mm24]],-1),0.2)/POWER(Tablo2[[#This Row],[Tensile Mpa]],0.9)</f>
        <v>23.459704754158476</v>
      </c>
      <c r="AR50" s="5">
        <f>IF(40*Tablo2[[#This Row],[Et Kalınlığı 5]]&lt;485,Tablo2[[#This Row],[Et Kalınlığı 4]]*40,485)</f>
        <v>485</v>
      </c>
      <c r="AS50" s="64">
        <f>1940*POWER(ROUND(Tablo1[[#This Row],[Axc mm25]],-1),0.2)/POWER(Tablo2[[#This Row],[Tensile Mpa]],0.9)</f>
        <v>23.459704754158476</v>
      </c>
    </row>
    <row r="51" spans="2:45" ht="15.75" thickBot="1" x14ac:dyDescent="0.25">
      <c r="B51" s="43" t="s">
        <v>39</v>
      </c>
      <c r="C51" s="4">
        <v>1321</v>
      </c>
      <c r="D51" s="4" t="s">
        <v>25</v>
      </c>
      <c r="E51" s="44">
        <v>65300</v>
      </c>
      <c r="F51" s="45">
        <v>535</v>
      </c>
      <c r="G51" s="49">
        <v>15.88</v>
      </c>
      <c r="H51" s="50">
        <v>108.22142454708883</v>
      </c>
      <c r="I51" s="51">
        <v>19.05</v>
      </c>
      <c r="J51" s="50">
        <v>129.82481974949889</v>
      </c>
      <c r="K51" s="51">
        <v>22.23</v>
      </c>
      <c r="L51" s="53">
        <v>151.49636446358846</v>
      </c>
      <c r="M51" s="51">
        <v>23.83</v>
      </c>
      <c r="N51" s="52">
        <v>162.40028633231279</v>
      </c>
      <c r="O51" s="56">
        <v>26.97</v>
      </c>
      <c r="P51" s="50">
        <f>2*Tablo2[[#This Row],[SMYS Psi]]*Tablo2[[#This Row],[Et Kalınlığı 5]]/Tablo2[[#This Row],[ÇAP mm]]/14.50377</f>
        <v>183.84016522093356</v>
      </c>
      <c r="Q51" s="17">
        <f>Tablo2[[#This Row],[ÇAP mm]]+1.6</f>
        <v>1322.6</v>
      </c>
      <c r="R51" s="3">
        <f>Tablo2[[#This Row],[ÇAP mm]]-1.6</f>
        <v>1319.4</v>
      </c>
      <c r="S51" s="4">
        <f>IF(Tablo2[[#This Row],[ÇAP mm]]*0.005-4&lt;0,Tablo2[[#This Row],[ÇAP mm]]*1.005,Tablo2[[#This Row],[ÇAP mm]]+4)</f>
        <v>1325</v>
      </c>
      <c r="T51" s="18">
        <f>IF(Tablo2[[#This Row],[ÇAP mm]]*0.005-4&lt;0,Tablo2[[#This Row],[ÇAP mm]]*0.995,Tablo2[[#This Row],[ÇAP mm]]-4)</f>
        <v>1317</v>
      </c>
      <c r="U51" s="173">
        <f>Tablo2[[#This Row],[ÇAP mm]]/Tablo2[[#This Row],[Et Kalınlığı ]]</f>
        <v>83.186397984886639</v>
      </c>
      <c r="V51" s="60">
        <f>Tablo2[[#This Row],[ÇAP mm]]/Tablo2[[#This Row],[Et Kalınlığı 2]]</f>
        <v>69.343832020997368</v>
      </c>
      <c r="W51" s="60">
        <f>Tablo2[[#This Row],[ÇAP mm]]/Tablo2[[#This Row],[Et Kalınlığı 3]]</f>
        <v>59.424201529464689</v>
      </c>
      <c r="X51" s="61">
        <f>Tablo2[[#This Row],[ÇAP mm]]/Tablo2[[#This Row],[Et Kalınlığı 4]]</f>
        <v>55.43432647922787</v>
      </c>
      <c r="Y51" s="174">
        <f>Tablo2[[#This Row],[ÇAP mm]]/Tablo2[[#This Row],[Et Kalınlığı 5]]</f>
        <v>48.980348535409718</v>
      </c>
      <c r="Z51" s="7" t="str">
        <f>IF(Tablo2[[#This Row],[ÇAP mm]]/Tablo2[[#This Row],[Et Kalınlığı ]]&lt;75,Tablo2[[#This Row],[ÇAP mm]]*0.01/2,"Anlaşmaya bağlıdır.")</f>
        <v>Anlaşmaya bağlıdır.</v>
      </c>
      <c r="AA51" s="7" t="str">
        <f>IF(Tablo2[[#This Row],[ÇAP mm]]/Tablo2[[#This Row],[Et Kalınlığı ]]&lt;75,Tablo2[[#This Row],[ÇAP mm]]*0.015/2,"Anlaşmaya bağlıdır.")</f>
        <v>Anlaşmaya bağlıdır.</v>
      </c>
      <c r="AB51" s="8">
        <f>IF(Tablo2[[#This Row],[ÇAP mm]]/Tablo2[[#This Row],[Et Kalınlığı 2]]&lt;75,Tablo2[[#This Row],[ÇAP mm]]*0.01/2,"Anlaşmaya bağlıdır.")</f>
        <v>6.6050000000000004</v>
      </c>
      <c r="AC51" s="8">
        <f>IF(Tablo2[[#This Row],[ÇAP mm]]/Tablo2[[#This Row],[Et Kalınlığı 2]]&lt;75,Tablo2[[#This Row],[ÇAP mm]]*0.015,"Anlaşmaya bağlıdır.")</f>
        <v>19.814999999999998</v>
      </c>
      <c r="AD51" s="8">
        <f>IF(Tablo2[[#This Row],[ÇAP mm]]/Tablo2[[#This Row],[Et Kalınlığı 3]]&lt;75,Tablo2[[#This Row],[ÇAP mm]]*0.01/2,"Anlaşmaya bağlıdır.")</f>
        <v>6.6050000000000004</v>
      </c>
      <c r="AE51" s="8">
        <f>IF(Tablo2[[#This Row],[ÇAP mm]]/Tablo2[[#This Row],[Et Kalınlığı 3]]&lt;75,Tablo2[[#This Row],[ÇAP mm]]*0.015,"Anlaşmaya bağlıdır.")</f>
        <v>19.814999999999998</v>
      </c>
      <c r="AF51" s="8">
        <f>IF(Tablo2[[#This Row],[ÇAP mm]]/Tablo2[[#This Row],[Et Kalınlığı 4]]&lt;75,Tablo2[[#This Row],[ÇAP mm]]*0.015/2,"Anlaşmaya bağlıdır.")</f>
        <v>9.9074999999999989</v>
      </c>
      <c r="AG51" s="64">
        <f>IF(Tablo2[[#This Row],[ÇAP mm]]/Tablo2[[#This Row],[Et Kalınlığı 4]]&lt;75,Tablo2[[#This Row],[ÇAP mm]]*0.015,"Anlaşmaya bağlıdır.")</f>
        <v>19.814999999999998</v>
      </c>
      <c r="AH51" s="8">
        <f>IF(Tablo2[[#This Row],[ÇAP mm]]/Tablo2[[#This Row],[Et Kalınlığı 4]]&lt;75,Tablo2[[#This Row],[ÇAP mm]]*0.015/2,"Anlaşmaya bağlıdır.")</f>
        <v>9.9074999999999989</v>
      </c>
      <c r="AI51" s="8">
        <f>IF(Tablo2[[#This Row],[ÇAP mm]]/Tablo2[[#This Row],[Et Kalınlığı 5]]&lt;75,Tablo2[[#This Row],[ÇAP mm]]*0.015,"Anlaşmaya bağlıdır.")</f>
        <v>19.814999999999998</v>
      </c>
      <c r="AJ51" s="11">
        <f>IF(40*Tablo2[[#This Row],[Et Kalınlığı ]]&lt;485,Tablo2[[#This Row],[Et Kalınlığı ]]*40,485)</f>
        <v>485</v>
      </c>
      <c r="AK51" s="5">
        <f>1940*POWER(ROUND(AJ51,-1),0.2)/POWER(Tablo2[[#This Row],[Tensile Mpa]],0.9)</f>
        <v>23.459704754158476</v>
      </c>
      <c r="AL51" s="5">
        <f>IF(40*Tablo2[[#This Row],[Et Kalınlığı 2]]&lt;485,Tablo2[[#This Row],[Et Kalınlığı ]]*40,485)</f>
        <v>485</v>
      </c>
      <c r="AM51" s="5">
        <f>1940*POWER(ROUND(Tablo1[[#This Row],[Axc mm22]],-1),0.2)/POWER(Tablo2[[#This Row],[Tensile Mpa]],0.9)</f>
        <v>23.459704754158476</v>
      </c>
      <c r="AN51" s="5">
        <f>IF(40*Tablo2[[#This Row],[Et Kalınlığı 3]]&lt;485,Tablo2[[#This Row],[Et Kalınlığı ]]*40,485)</f>
        <v>485</v>
      </c>
      <c r="AO51" s="5">
        <f>1940*POWER(ROUND(Tablo1[[#This Row],[Axc mm23]],-1),0.2)/POWER(Tablo2[[#This Row],[Tensile Mpa]],0.9)</f>
        <v>23.459704754158476</v>
      </c>
      <c r="AP51" s="5">
        <f>IF(40*Tablo2[[#This Row],[Et Kalınlığı 4]]&lt;485,Tablo2[[#This Row],[Et Kalınlığı 4]]*40,485)</f>
        <v>485</v>
      </c>
      <c r="AQ51" s="12">
        <f>1940*POWER(ROUND(Tablo1[[#This Row],[Axc mm24]],-1),0.2)/POWER(Tablo2[[#This Row],[Tensile Mpa]],0.9)</f>
        <v>23.459704754158476</v>
      </c>
      <c r="AR51" s="5">
        <f>IF(40*Tablo2[[#This Row],[Et Kalınlığı 5]]&lt;485,Tablo2[[#This Row],[Et Kalınlığı 4]]*40,485)</f>
        <v>485</v>
      </c>
      <c r="AS51" s="64">
        <f>1940*POWER(ROUND(Tablo1[[#This Row],[Axc mm25]],-1),0.2)/POWER(Tablo2[[#This Row],[Tensile Mpa]],0.9)</f>
        <v>23.459704754158476</v>
      </c>
    </row>
    <row r="52" spans="2:45" x14ac:dyDescent="0.2">
      <c r="B52" s="43" t="s">
        <v>40</v>
      </c>
      <c r="C52" s="4">
        <v>1422</v>
      </c>
      <c r="D52" s="4" t="s">
        <v>25</v>
      </c>
      <c r="E52" s="44">
        <v>65300</v>
      </c>
      <c r="F52" s="45">
        <v>535</v>
      </c>
      <c r="G52" s="49">
        <v>17.48</v>
      </c>
      <c r="H52" s="50">
        <v>110.6642634425381</v>
      </c>
      <c r="I52" s="51">
        <v>20.62</v>
      </c>
      <c r="J52" s="50">
        <v>130.54331305406956</v>
      </c>
      <c r="K52" s="51">
        <v>23.83</v>
      </c>
      <c r="L52" s="53">
        <v>150.86552619197269</v>
      </c>
      <c r="M52" s="51">
        <v>25.4</v>
      </c>
      <c r="N52" s="52">
        <v>160.80505099773845</v>
      </c>
      <c r="O52" s="53">
        <v>28.58</v>
      </c>
      <c r="P52" s="50">
        <f>2*Tablo2[[#This Row],[SMYS Psi]]*Tablo2[[#This Row],[Et Kalınlığı 5]]/Tablo2[[#This Row],[ÇAP mm]]/14.50377</f>
        <v>180.97763178498758</v>
      </c>
      <c r="Q52" s="17">
        <f>Tablo2[[#This Row],[ÇAP mm]]+1.6</f>
        <v>1423.6</v>
      </c>
      <c r="R52" s="3">
        <f>Tablo2[[#This Row],[ÇAP mm]]-1.6</f>
        <v>1420.4</v>
      </c>
      <c r="S52" s="4">
        <f>IF(Tablo2[[#This Row],[ÇAP mm]]*0.005-4&lt;0,Tablo2[[#This Row],[ÇAP mm]]*1.005,Tablo2[[#This Row],[ÇAP mm]]+4)</f>
        <v>1426</v>
      </c>
      <c r="T52" s="18">
        <f>IF(Tablo2[[#This Row],[ÇAP mm]]*0.005-4&lt;0,Tablo2[[#This Row],[ÇAP mm]]*0.995,Tablo2[[#This Row],[ÇAP mm]]-4)</f>
        <v>1418</v>
      </c>
      <c r="U52" s="173">
        <f>Tablo2[[#This Row],[ÇAP mm]]/Tablo2[[#This Row],[Et Kalınlığı ]]</f>
        <v>81.350114416475975</v>
      </c>
      <c r="V52" s="60">
        <f>Tablo2[[#This Row],[ÇAP mm]]/Tablo2[[#This Row],[Et Kalınlığı 2]]</f>
        <v>68.962172647914642</v>
      </c>
      <c r="W52" s="60">
        <f>Tablo2[[#This Row],[ÇAP mm]]/Tablo2[[#This Row],[Et Kalınlığı 3]]</f>
        <v>59.672681493915235</v>
      </c>
      <c r="X52" s="61">
        <f>Tablo2[[#This Row],[ÇAP mm]]/Tablo2[[#This Row],[Et Kalınlığı 4]]</f>
        <v>55.984251968503941</v>
      </c>
      <c r="Y52" s="174">
        <f>Tablo2[[#This Row],[ÇAP mm]]/Tablo2[[#This Row],[Et Kalınlığı 5]]</f>
        <v>49.755073477956614</v>
      </c>
      <c r="Z52" s="7" t="str">
        <f>IF(Tablo2[[#This Row],[ÇAP mm]]/Tablo2[[#This Row],[Et Kalınlığı ]]&lt;75,Tablo2[[#This Row],[ÇAP mm]]*0.01/2,"Anlaşmaya bağlıdır.")</f>
        <v>Anlaşmaya bağlıdır.</v>
      </c>
      <c r="AA52" s="7" t="str">
        <f>IF(Tablo2[[#This Row],[ÇAP mm]]/Tablo2[[#This Row],[Et Kalınlığı ]]&lt;75,Tablo2[[#This Row],[ÇAP mm]]*0.015/2,"Anlaşmaya bağlıdır.")</f>
        <v>Anlaşmaya bağlıdır.</v>
      </c>
      <c r="AB52" s="8">
        <f>IF(Tablo2[[#This Row],[ÇAP mm]]/Tablo2[[#This Row],[Et Kalınlığı 2]]&lt;75,Tablo2[[#This Row],[ÇAP mm]]*0.01/2,"Anlaşmaya bağlıdır.")</f>
        <v>7.11</v>
      </c>
      <c r="AC52" s="8">
        <f>IF(Tablo2[[#This Row],[ÇAP mm]]/Tablo2[[#This Row],[Et Kalınlığı 2]]&lt;75,Tablo2[[#This Row],[ÇAP mm]]*0.015,"Anlaşmaya bağlıdır.")</f>
        <v>21.33</v>
      </c>
      <c r="AD52" s="8">
        <f>IF(Tablo2[[#This Row],[ÇAP mm]]/Tablo2[[#This Row],[Et Kalınlığı 3]]&lt;75,Tablo2[[#This Row],[ÇAP mm]]*0.01/2,"Anlaşmaya bağlıdır.")</f>
        <v>7.11</v>
      </c>
      <c r="AE52" s="8">
        <f>IF(Tablo2[[#This Row],[ÇAP mm]]/Tablo2[[#This Row],[Et Kalınlığı 3]]&lt;75,Tablo2[[#This Row],[ÇAP mm]]*0.015,"Anlaşmaya bağlıdır.")</f>
        <v>21.33</v>
      </c>
      <c r="AF52" s="8">
        <f>IF(Tablo2[[#This Row],[ÇAP mm]]/Tablo2[[#This Row],[Et Kalınlığı 4]]&lt;75,Tablo2[[#This Row],[ÇAP mm]]*0.015/2,"Anlaşmaya bağlıdır.")</f>
        <v>10.664999999999999</v>
      </c>
      <c r="AG52" s="64">
        <f>IF(Tablo2[[#This Row],[ÇAP mm]]/Tablo2[[#This Row],[Et Kalınlığı 4]]&lt;75,Tablo2[[#This Row],[ÇAP mm]]*0.015,"Anlaşmaya bağlıdır.")</f>
        <v>21.33</v>
      </c>
      <c r="AH52" s="8">
        <f>IF(Tablo2[[#This Row],[ÇAP mm]]/Tablo2[[#This Row],[Et Kalınlığı 4]]&lt;75,Tablo2[[#This Row],[ÇAP mm]]*0.015/2,"Anlaşmaya bağlıdır.")</f>
        <v>10.664999999999999</v>
      </c>
      <c r="AI52" s="8">
        <f>IF(Tablo2[[#This Row],[ÇAP mm]]/Tablo2[[#This Row],[Et Kalınlığı 5]]&lt;75,Tablo2[[#This Row],[ÇAP mm]]*0.015,"Anlaşmaya bağlıdır.")</f>
        <v>21.33</v>
      </c>
      <c r="AJ52" s="11">
        <f>IF(40*Tablo2[[#This Row],[Et Kalınlığı ]]&lt;485,Tablo2[[#This Row],[Et Kalınlığı ]]*40,485)</f>
        <v>485</v>
      </c>
      <c r="AK52" s="5">
        <f>1940*POWER(ROUND(AJ52,-1),0.2)/POWER(Tablo2[[#This Row],[Tensile Mpa]],0.9)</f>
        <v>23.459704754158476</v>
      </c>
      <c r="AL52" s="5">
        <f>IF(40*Tablo2[[#This Row],[Et Kalınlığı 2]]&lt;485,Tablo2[[#This Row],[Et Kalınlığı ]]*40,485)</f>
        <v>485</v>
      </c>
      <c r="AM52" s="5">
        <f>1940*POWER(ROUND(Tablo1[[#This Row],[Axc mm22]],-1),0.2)/POWER(Tablo2[[#This Row],[Tensile Mpa]],0.9)</f>
        <v>23.459704754158476</v>
      </c>
      <c r="AN52" s="5">
        <f>IF(40*Tablo2[[#This Row],[Et Kalınlığı 3]]&lt;485,Tablo2[[#This Row],[Et Kalınlığı ]]*40,485)</f>
        <v>485</v>
      </c>
      <c r="AO52" s="5">
        <f>1940*POWER(ROUND(Tablo1[[#This Row],[Axc mm23]],-1),0.2)/POWER(Tablo2[[#This Row],[Tensile Mpa]],0.9)</f>
        <v>23.459704754158476</v>
      </c>
      <c r="AP52" s="5">
        <f>IF(40*Tablo2[[#This Row],[Et Kalınlığı 4]]&lt;485,Tablo2[[#This Row],[Et Kalınlığı 4]]*40,485)</f>
        <v>485</v>
      </c>
      <c r="AQ52" s="12">
        <f>1940*POWER(ROUND(Tablo1[[#This Row],[Axc mm24]],-1),0.2)/POWER(Tablo2[[#This Row],[Tensile Mpa]],0.9)</f>
        <v>23.459704754158476</v>
      </c>
      <c r="AR52" s="5">
        <f>IF(40*Tablo2[[#This Row],[Et Kalınlığı 5]]&lt;485,Tablo2[[#This Row],[Et Kalınlığı 4]]*40,485)</f>
        <v>485</v>
      </c>
      <c r="AS52" s="64">
        <f>1940*POWER(ROUND(Tablo1[[#This Row],[Axc mm25]],-1),0.2)/POWER(Tablo2[[#This Row],[Tensile Mpa]],0.9)</f>
        <v>23.459704754158476</v>
      </c>
    </row>
    <row r="53" spans="2:45" ht="15.75" thickBot="1" x14ac:dyDescent="0.25">
      <c r="B53" s="46" t="s">
        <v>41</v>
      </c>
      <c r="C53" s="22">
        <v>1524</v>
      </c>
      <c r="D53" s="22" t="s">
        <v>25</v>
      </c>
      <c r="E53" s="47">
        <v>65300</v>
      </c>
      <c r="F53" s="48">
        <v>535</v>
      </c>
      <c r="G53" s="54">
        <v>19.05</v>
      </c>
      <c r="H53" s="55">
        <v>112.53188116081891</v>
      </c>
      <c r="I53" s="56">
        <v>22.23</v>
      </c>
      <c r="J53" s="55">
        <v>131.31673061443595</v>
      </c>
      <c r="K53" s="56">
        <v>25.4</v>
      </c>
      <c r="L53" s="57">
        <v>150.04250821442523</v>
      </c>
      <c r="M53" s="56">
        <v>26.97</v>
      </c>
      <c r="N53" s="58">
        <v>159.31678923397826</v>
      </c>
      <c r="O53" s="57">
        <v>30.18</v>
      </c>
      <c r="P53" s="55">
        <f>2*Tablo2[[#This Row],[SMYS Psi]]*Tablo2[[#This Row],[Et Kalınlığı 5]]/Tablo2[[#This Row],[ÇAP mm]]/14.50377</f>
        <v>178.31855707741349</v>
      </c>
      <c r="Q53" s="20">
        <f>Tablo2[[#This Row],[ÇAP mm]]+1.6</f>
        <v>1525.6</v>
      </c>
      <c r="R53" s="21">
        <f>Tablo2[[#This Row],[ÇAP mm]]-1.6</f>
        <v>1522.4</v>
      </c>
      <c r="S53" s="22">
        <f>IF(Tablo2[[#This Row],[ÇAP mm]]*0.005-4&lt;0,Tablo2[[#This Row],[ÇAP mm]]*1.005,Tablo2[[#This Row],[ÇAP mm]]+4)</f>
        <v>1528</v>
      </c>
      <c r="T53" s="23">
        <f>IF(Tablo2[[#This Row],[ÇAP mm]]*0.005-4&lt;0,Tablo2[[#This Row],[ÇAP mm]]*0.995,Tablo2[[#This Row],[ÇAP mm]]-4)</f>
        <v>1520</v>
      </c>
      <c r="U53" s="46">
        <f>Tablo2[[#This Row],[ÇAP mm]]/Tablo2[[#This Row],[Et Kalınlığı ]]</f>
        <v>80</v>
      </c>
      <c r="V53" s="62">
        <f>Tablo2[[#This Row],[ÇAP mm]]/Tablo2[[#This Row],[Et Kalınlığı 2]]</f>
        <v>68.556005398110656</v>
      </c>
      <c r="W53" s="62">
        <f>Tablo2[[#This Row],[ÇAP mm]]/Tablo2[[#This Row],[Et Kalınlığı 3]]</f>
        <v>60</v>
      </c>
      <c r="X53" s="63">
        <f>Tablo2[[#This Row],[ÇAP mm]]/Tablo2[[#This Row],[Et Kalınlığı 4]]</f>
        <v>56.507230255839822</v>
      </c>
      <c r="Y53" s="175">
        <f>Tablo2[[#This Row],[ÇAP mm]]/Tablo2[[#This Row],[Et Kalınlığı 5]]</f>
        <v>50.497017892644138</v>
      </c>
      <c r="Z53" s="9" t="str">
        <f>IF(Tablo2[[#This Row],[ÇAP mm]]/Tablo2[[#This Row],[Et Kalınlığı ]]&lt;75,Tablo2[[#This Row],[ÇAP mm]]*0.01/2,"Anlaşmaya bağlıdır.")</f>
        <v>Anlaşmaya bağlıdır.</v>
      </c>
      <c r="AA53" s="9" t="str">
        <f>IF(Tablo2[[#This Row],[ÇAP mm]]/Tablo2[[#This Row],[Et Kalınlığı ]]&lt;75,Tablo2[[#This Row],[ÇAP mm]]*0.015/2,"Anlaşmaya bağlıdır.")</f>
        <v>Anlaşmaya bağlıdır.</v>
      </c>
      <c r="AB53" s="10">
        <f>IF(Tablo2[[#This Row],[ÇAP mm]]/Tablo2[[#This Row],[Et Kalınlığı 2]]&lt;75,Tablo2[[#This Row],[ÇAP mm]]*0.01/2,"Anlaşmaya bağlıdır.")</f>
        <v>7.62</v>
      </c>
      <c r="AC53" s="8">
        <f>IF(Tablo2[[#This Row],[ÇAP mm]]/Tablo2[[#This Row],[Et Kalınlığı 2]]&lt;75,Tablo2[[#This Row],[ÇAP mm]]*0.015,"Anlaşmaya bağlıdır.")</f>
        <v>22.86</v>
      </c>
      <c r="AD53" s="10">
        <f>IF(Tablo2[[#This Row],[ÇAP mm]]/Tablo2[[#This Row],[Et Kalınlığı 3]]&lt;75,Tablo2[[#This Row],[ÇAP mm]]*0.01/2,"Anlaşmaya bağlıdır.")</f>
        <v>7.62</v>
      </c>
      <c r="AE53" s="8">
        <f>IF(Tablo2[[#This Row],[ÇAP mm]]/Tablo2[[#This Row],[Et Kalınlığı 3]]&lt;75,Tablo2[[#This Row],[ÇAP mm]]*0.015,"Anlaşmaya bağlıdır.")</f>
        <v>22.86</v>
      </c>
      <c r="AF53" s="8">
        <f>IF(Tablo2[[#This Row],[ÇAP mm]]/Tablo2[[#This Row],[Et Kalınlığı 4]]&lt;75,Tablo2[[#This Row],[ÇAP mm]]*0.015/2,"Anlaşmaya bağlıdır.")</f>
        <v>11.43</v>
      </c>
      <c r="AG53" s="64">
        <f>IF(Tablo2[[#This Row],[ÇAP mm]]/Tablo2[[#This Row],[Et Kalınlığı 4]]&lt;75,Tablo2[[#This Row],[ÇAP mm]]*0.015,"Anlaşmaya bağlıdır.")</f>
        <v>22.86</v>
      </c>
      <c r="AH53" s="8">
        <f>IF(Tablo2[[#This Row],[ÇAP mm]]/Tablo2[[#This Row],[Et Kalınlığı 4]]&lt;75,Tablo2[[#This Row],[ÇAP mm]]*0.015/2,"Anlaşmaya bağlıdır.")</f>
        <v>11.43</v>
      </c>
      <c r="AI53" s="8">
        <f>IF(Tablo2[[#This Row],[ÇAP mm]]/Tablo2[[#This Row],[Et Kalınlığı 5]]&lt;75,Tablo2[[#This Row],[ÇAP mm]]*0.015,"Anlaşmaya bağlıdır.")</f>
        <v>22.86</v>
      </c>
      <c r="AJ53" s="11">
        <f>IF(40*Tablo2[[#This Row],[Et Kalınlığı ]]&lt;485,Tablo2[[#This Row],[Et Kalınlığı ]]*40,485)</f>
        <v>485</v>
      </c>
      <c r="AK53" s="13">
        <f>1940*POWER(ROUND(AJ53,-1),0.2)/POWER(Tablo2[[#This Row],[Tensile Mpa]],0.9)</f>
        <v>23.459704754158476</v>
      </c>
      <c r="AL53" s="5">
        <f>IF(40*Tablo2[[#This Row],[Et Kalınlığı 2]]&lt;485,Tablo2[[#This Row],[Et Kalınlığı ]]*40,485)</f>
        <v>485</v>
      </c>
      <c r="AM53" s="13">
        <f>1940*POWER(ROUND(Tablo1[[#This Row],[Axc mm22]],-1),0.2)/POWER(Tablo2[[#This Row],[Tensile Mpa]],0.9)</f>
        <v>23.459704754158476</v>
      </c>
      <c r="AN53" s="5">
        <f>IF(40*Tablo2[[#This Row],[Et Kalınlığı 3]]&lt;485,Tablo2[[#This Row],[Et Kalınlığı ]]*40,485)</f>
        <v>485</v>
      </c>
      <c r="AO53" s="13">
        <f>1940*POWER(ROUND(Tablo1[[#This Row],[Axc mm23]],-1),0.2)/POWER(Tablo2[[#This Row],[Tensile Mpa]],0.9)</f>
        <v>23.459704754158476</v>
      </c>
      <c r="AP53" s="5">
        <f>IF(40*Tablo2[[#This Row],[Et Kalınlığı 4]]&lt;485,Tablo2[[#This Row],[Et Kalınlığı 4]]*40,485)</f>
        <v>485</v>
      </c>
      <c r="AQ53" s="170">
        <f>1940*POWER(ROUND(Tablo1[[#This Row],[Axc mm24]],-1),0.2)/POWER(Tablo2[[#This Row],[Tensile Mpa]],0.9)</f>
        <v>23.459704754158476</v>
      </c>
      <c r="AR53" s="13">
        <f>IF(40*Tablo2[[#This Row],[Et Kalınlığı 5]]&lt;485,Tablo2[[#This Row],[Et Kalınlığı 4]]*40,485)</f>
        <v>485</v>
      </c>
      <c r="AS53" s="480">
        <f>1940*POWER(ROUND(Tablo1[[#This Row],[Axc mm25]],-1),0.2)/POWER(Tablo2[[#This Row],[Tensile Mpa]],0.9)</f>
        <v>23.459704754158476</v>
      </c>
    </row>
    <row r="54" spans="2:45" x14ac:dyDescent="0.2">
      <c r="G54" s="31"/>
      <c r="H54" s="59">
        <v>104.42652757603616</v>
      </c>
      <c r="I54" s="31"/>
      <c r="J54" s="59">
        <v>125.09014360983809</v>
      </c>
      <c r="K54" s="31"/>
      <c r="L54" s="59">
        <v>150.04250821442523</v>
      </c>
      <c r="M54" s="31"/>
      <c r="N54" s="59">
        <v>159.31678923397826</v>
      </c>
      <c r="O54" s="59"/>
      <c r="P54" s="59"/>
    </row>
    <row r="55" spans="2:45" x14ac:dyDescent="0.2">
      <c r="AK55" s="1"/>
      <c r="AN55" s="1"/>
    </row>
    <row r="58" spans="2:45" x14ac:dyDescent="0.2">
      <c r="L58" s="289">
        <f>'Boru Seçim-Kontrol Aracı'!J8/'Boru Seçim-Kontrol Aracı'!J10</f>
        <v>27.430972388955581</v>
      </c>
    </row>
    <row r="103" spans="3:5" x14ac:dyDescent="0.2">
      <c r="C103" s="30"/>
      <c r="D103" s="30"/>
      <c r="E103" s="30"/>
    </row>
  </sheetData>
  <mergeCells count="29">
    <mergeCell ref="AR18:AS18"/>
    <mergeCell ref="U17:W17"/>
    <mergeCell ref="X17:Y17"/>
    <mergeCell ref="AJ18:AK18"/>
    <mergeCell ref="AL18:AM18"/>
    <mergeCell ref="AN18:AO18"/>
    <mergeCell ref="AP18:AQ18"/>
    <mergeCell ref="AB18:AC18"/>
    <mergeCell ref="AD18:AE18"/>
    <mergeCell ref="AF18:AG18"/>
    <mergeCell ref="AH18:AI18"/>
    <mergeCell ref="AP17:AS17"/>
    <mergeCell ref="G18:H18"/>
    <mergeCell ref="I18:J18"/>
    <mergeCell ref="K18:L18"/>
    <mergeCell ref="M18:N18"/>
    <mergeCell ref="Z18:AA18"/>
    <mergeCell ref="O18:P18"/>
    <mergeCell ref="G16:N16"/>
    <mergeCell ref="Z17:AE17"/>
    <mergeCell ref="AJ17:AO17"/>
    <mergeCell ref="G17:L17"/>
    <mergeCell ref="M17:N17"/>
    <mergeCell ref="Q17:T17"/>
    <mergeCell ref="O16:P16"/>
    <mergeCell ref="O17:P17"/>
    <mergeCell ref="AF17:AI17"/>
    <mergeCell ref="Z16:AI16"/>
    <mergeCell ref="AJ16:AS16"/>
  </mergeCells>
  <pageMargins left="0.7" right="0.7" top="0.75" bottom="0.75" header="0.3" footer="0.3"/>
  <pageSetup paperSize="9" scale="19" orientation="portrait" horizontalDpi="360" verticalDpi="360" r:id="rId1"/>
  <ignoredErrors>
    <ignoredError sqref="Z31:AI31 Z32:AI32 Z33:AI33 Z34:AI34" calculatedColumn="1"/>
  </ignoredErrors>
  <drawing r:id="rId2"/>
  <tableParts count="4">
    <tablePart r:id="rId3"/>
    <tablePart r:id="rId4"/>
    <tablePart r:id="rId5"/>
    <tablePart r:id="rId6"/>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ublished="0" codeName="Sayfa6">
    <tabColor theme="5" tint="-0.249977111117893"/>
  </sheetPr>
  <dimension ref="A1:BT88"/>
  <sheetViews>
    <sheetView showGridLines="0" topLeftCell="AI1" zoomScale="115" zoomScaleNormal="115" workbookViewId="0">
      <selection activeCell="AI27" sqref="A27:XFD27"/>
    </sheetView>
  </sheetViews>
  <sheetFormatPr defaultColWidth="22.59765625" defaultRowHeight="11.25" x14ac:dyDescent="0.15"/>
  <cols>
    <col min="1" max="1" width="20.71484375" style="299" bestFit="1" customWidth="1"/>
    <col min="2" max="2" width="21.92578125" style="299" bestFit="1" customWidth="1"/>
    <col min="3" max="3" width="22.05859375" style="299" bestFit="1" customWidth="1"/>
    <col min="4" max="4" width="23.26953125" style="299" bestFit="1" customWidth="1"/>
    <col min="5" max="5" width="13.71875" style="299" bestFit="1" customWidth="1"/>
    <col min="6" max="6" width="18.4296875" style="299" bestFit="1" customWidth="1"/>
    <col min="7" max="7" width="21.38671875" style="299" bestFit="1" customWidth="1"/>
    <col min="8" max="8" width="13.98828125" style="299" bestFit="1" customWidth="1"/>
    <col min="9" max="9" width="14.52734375" style="299" bestFit="1" customWidth="1"/>
    <col min="10" max="10" width="12.375" style="299" bestFit="1" customWidth="1"/>
    <col min="11" max="11" width="14.66015625" style="299" bestFit="1" customWidth="1"/>
    <col min="12" max="12" width="9.01171875" style="299" bestFit="1" customWidth="1"/>
    <col min="13" max="13" width="9.4140625" style="299" bestFit="1" customWidth="1"/>
    <col min="14" max="14" width="16.41015625" style="299" bestFit="1" customWidth="1"/>
    <col min="15" max="15" width="8.0703125" style="299" customWidth="1"/>
    <col min="16" max="16" width="7.3984375" style="299" customWidth="1"/>
    <col min="17" max="17" width="7.3984375" style="521" customWidth="1"/>
    <col min="18" max="19" width="2.6875" style="521" customWidth="1"/>
    <col min="20" max="20" width="8.609375" style="521" customWidth="1"/>
    <col min="21" max="21" width="5.6484375" style="521" customWidth="1"/>
    <col min="22" max="22" width="2.6875" style="521" customWidth="1"/>
    <col min="23" max="23" width="15.06640625" style="299" customWidth="1"/>
    <col min="24" max="24" width="22.46484375" style="299" bestFit="1" customWidth="1"/>
    <col min="25" max="25" width="4.83984375" style="299" bestFit="1" customWidth="1"/>
    <col min="26" max="26" width="12.10546875" style="299" bestFit="1" customWidth="1"/>
    <col min="27" max="27" width="11.97265625" style="299" bestFit="1" customWidth="1"/>
    <col min="28" max="28" width="16.0078125" style="299" bestFit="1" customWidth="1"/>
    <col min="29" max="29" width="16.0078125" style="521" customWidth="1"/>
    <col min="30" max="30" width="12.375" style="299" bestFit="1" customWidth="1"/>
    <col min="31" max="31" width="12.375" style="521" customWidth="1"/>
    <col min="32" max="34" width="17.62109375" style="299" bestFit="1" customWidth="1"/>
    <col min="35" max="35" width="22.46484375" style="299" bestFit="1" customWidth="1"/>
    <col min="36" max="36" width="23.9453125" style="299" customWidth="1"/>
    <col min="37" max="37" width="22.59765625" style="299"/>
    <col min="38" max="38" width="4.83984375" style="299" customWidth="1"/>
    <col min="39" max="39" width="7.12890625" style="299" bestFit="1" customWidth="1"/>
    <col min="40" max="41" width="4.83984375" style="299" customWidth="1"/>
    <col min="42" max="42" width="5.37890625" style="299" customWidth="1"/>
    <col min="43" max="43" width="7.26171875" style="299" customWidth="1"/>
    <col min="44" max="50" width="4.83984375" style="299" customWidth="1"/>
    <col min="51" max="51" width="4.83984375" style="301" customWidth="1"/>
    <col min="52" max="72" width="4.83984375" style="299" customWidth="1"/>
    <col min="73" max="16384" width="22.59765625" style="299"/>
  </cols>
  <sheetData>
    <row r="1" spans="1:72" x14ac:dyDescent="0.15">
      <c r="J1" s="300"/>
      <c r="K1" s="300"/>
      <c r="N1" s="1080" t="s">
        <v>707</v>
      </c>
      <c r="O1" s="1082" t="s">
        <v>706</v>
      </c>
      <c r="P1" s="1083"/>
      <c r="Q1" s="1087" t="s">
        <v>1290</v>
      </c>
      <c r="T1" s="507" t="s">
        <v>1376</v>
      </c>
      <c r="U1" s="568" t="s">
        <v>714</v>
      </c>
      <c r="V1" s="568"/>
    </row>
    <row r="2" spans="1:72" ht="24" customHeight="1" thickBot="1" x14ac:dyDescent="0.2">
      <c r="A2" s="416" t="s">
        <v>858</v>
      </c>
      <c r="B2" s="301" t="s">
        <v>1284</v>
      </c>
      <c r="C2" s="301" t="s">
        <v>1285</v>
      </c>
      <c r="D2" s="301" t="s">
        <v>1293</v>
      </c>
      <c r="E2" s="301" t="s">
        <v>1300</v>
      </c>
      <c r="F2" s="301" t="s">
        <v>716</v>
      </c>
      <c r="G2" s="523" t="s">
        <v>1397</v>
      </c>
      <c r="H2" s="523" t="s">
        <v>1398</v>
      </c>
      <c r="I2" s="523" t="s">
        <v>1413</v>
      </c>
      <c r="K2" s="747"/>
      <c r="N2" s="1081"/>
      <c r="O2" s="1084" t="s">
        <v>705</v>
      </c>
      <c r="P2" s="1085"/>
      <c r="Q2" s="1087"/>
      <c r="R2" s="538"/>
      <c r="S2" s="538"/>
      <c r="T2" s="507" t="s">
        <v>1377</v>
      </c>
      <c r="U2" s="569"/>
      <c r="V2" s="569"/>
      <c r="X2" s="324" t="s">
        <v>727</v>
      </c>
      <c r="Y2" s="324" t="s">
        <v>722</v>
      </c>
      <c r="Z2" s="324" t="s">
        <v>723</v>
      </c>
      <c r="AA2" s="324" t="s">
        <v>719</v>
      </c>
      <c r="AB2" s="324" t="s">
        <v>1328</v>
      </c>
      <c r="AC2" s="525" t="s">
        <v>1329</v>
      </c>
      <c r="AD2" s="324" t="s">
        <v>1332</v>
      </c>
      <c r="AE2" s="525" t="s">
        <v>1333</v>
      </c>
      <c r="AF2" s="324" t="s">
        <v>724</v>
      </c>
      <c r="AG2" s="324" t="s">
        <v>720</v>
      </c>
      <c r="AH2" s="324" t="s">
        <v>721</v>
      </c>
      <c r="AI2" s="324" t="s">
        <v>725</v>
      </c>
      <c r="AJ2" s="324" t="s">
        <v>726</v>
      </c>
      <c r="AL2" s="315" t="s">
        <v>718</v>
      </c>
      <c r="AM2" s="316" t="s">
        <v>84</v>
      </c>
      <c r="AN2" s="318" t="s">
        <v>4</v>
      </c>
      <c r="AO2" s="317" t="s">
        <v>5</v>
      </c>
      <c r="AP2" s="318" t="s">
        <v>6</v>
      </c>
      <c r="AQ2" s="317" t="s">
        <v>7</v>
      </c>
      <c r="AR2" s="318" t="s">
        <v>8</v>
      </c>
      <c r="AS2" s="317" t="s">
        <v>9</v>
      </c>
      <c r="AT2" s="318" t="s">
        <v>10</v>
      </c>
      <c r="AU2" s="317" t="s">
        <v>11</v>
      </c>
      <c r="AV2" s="318" t="s">
        <v>12</v>
      </c>
      <c r="AW2" s="317" t="s">
        <v>13</v>
      </c>
      <c r="AX2" s="318" t="s">
        <v>14</v>
      </c>
      <c r="AY2" s="317" t="s">
        <v>16</v>
      </c>
      <c r="AZ2" s="318" t="s">
        <v>17</v>
      </c>
      <c r="BA2" s="317" t="s">
        <v>19</v>
      </c>
      <c r="BB2" s="318" t="s">
        <v>21</v>
      </c>
      <c r="BC2" s="317" t="s">
        <v>22</v>
      </c>
      <c r="BD2" s="318" t="s">
        <v>24</v>
      </c>
      <c r="BE2" s="317" t="s">
        <v>26</v>
      </c>
      <c r="BF2" s="318" t="s">
        <v>27</v>
      </c>
      <c r="BG2" s="317" t="s">
        <v>28</v>
      </c>
      <c r="BH2" s="318" t="s">
        <v>29</v>
      </c>
      <c r="BI2" s="317" t="s">
        <v>30</v>
      </c>
      <c r="BJ2" s="318" t="s">
        <v>31</v>
      </c>
      <c r="BK2" s="317" t="s">
        <v>32</v>
      </c>
      <c r="BL2" s="318" t="s">
        <v>33</v>
      </c>
      <c r="BM2" s="317" t="s">
        <v>34</v>
      </c>
      <c r="BN2" s="318" t="s">
        <v>35</v>
      </c>
      <c r="BO2" s="317" t="s">
        <v>36</v>
      </c>
      <c r="BP2" s="318" t="s">
        <v>37</v>
      </c>
      <c r="BQ2" s="317" t="s">
        <v>38</v>
      </c>
      <c r="BR2" s="318" t="s">
        <v>39</v>
      </c>
      <c r="BS2" s="317" t="s">
        <v>40</v>
      </c>
      <c r="BT2" s="319" t="s">
        <v>41</v>
      </c>
    </row>
    <row r="3" spans="1:72" ht="12" customHeight="1" thickBot="1" x14ac:dyDescent="0.2">
      <c r="A3" s="589" t="s">
        <v>715</v>
      </c>
      <c r="B3" s="590" t="s">
        <v>691</v>
      </c>
      <c r="C3" s="590">
        <f>VLOOKUP(Tablo15[[#This Row],[Çap(inch)]],Fitting_Flanş[[#All],[BORU DIŞ ÇAPI Anma (inch)]:[Nominal (mm)]],4,0)</f>
        <v>114.3</v>
      </c>
      <c r="D3" s="590" t="str">
        <f>VLOOKUP(B3,Fitting_Flanş[#All],(IF(Tablo15[[#This Row],[FİTTİNG]]="FLANŞ",6,5)),FALSE)</f>
        <v>ASTM A234 WPB</v>
      </c>
      <c r="E3" s="589" t="str">
        <f>IF(Tablo15[[#This Row],[Çap(mm)]]&lt;406.4,$T$4,$T$3)</f>
        <v>ASME B16.9</v>
      </c>
      <c r="F3" s="589" t="s">
        <v>1378</v>
      </c>
      <c r="G3" s="589" t="s">
        <v>687</v>
      </c>
      <c r="H3" s="589" t="s">
        <v>1331</v>
      </c>
      <c r="I3" s="589"/>
      <c r="K3" s="747"/>
      <c r="N3" s="565" t="s">
        <v>687</v>
      </c>
      <c r="O3" s="566">
        <v>27</v>
      </c>
      <c r="P3" s="566">
        <v>27</v>
      </c>
      <c r="Q3" s="567">
        <v>235</v>
      </c>
      <c r="R3" s="539"/>
      <c r="S3" s="539"/>
      <c r="T3" s="507" t="s">
        <v>1330</v>
      </c>
      <c r="U3" s="570"/>
      <c r="V3" s="570"/>
      <c r="X3" s="322" t="s">
        <v>704</v>
      </c>
      <c r="Y3" s="322">
        <v>15</v>
      </c>
      <c r="Z3" s="322">
        <v>0.84</v>
      </c>
      <c r="AA3" s="322">
        <v>21.3</v>
      </c>
      <c r="AB3" s="322" t="s">
        <v>703</v>
      </c>
      <c r="AC3" s="524" t="s">
        <v>1331</v>
      </c>
      <c r="AD3" s="322" t="s">
        <v>152</v>
      </c>
      <c r="AE3" s="524" t="s">
        <v>1296</v>
      </c>
      <c r="AF3" s="322" t="s">
        <v>686</v>
      </c>
      <c r="AG3" s="322" t="s">
        <v>686</v>
      </c>
      <c r="AH3" s="322" t="s">
        <v>686</v>
      </c>
      <c r="AI3" s="322">
        <v>3.7</v>
      </c>
      <c r="AJ3" s="322">
        <v>3.7</v>
      </c>
      <c r="AL3" s="313">
        <v>26.7</v>
      </c>
      <c r="AM3" s="305" t="s">
        <v>84</v>
      </c>
      <c r="AN3" s="737" t="s">
        <v>5</v>
      </c>
      <c r="AO3" s="738" t="s">
        <v>328</v>
      </c>
      <c r="AP3" s="739"/>
      <c r="AQ3" s="739"/>
      <c r="AR3" s="739"/>
      <c r="AS3" s="739"/>
      <c r="AT3" s="739"/>
      <c r="AU3" s="739"/>
      <c r="AV3" s="739"/>
      <c r="AW3" s="739"/>
      <c r="AX3" s="739"/>
      <c r="AY3" s="739"/>
      <c r="AZ3" s="739"/>
      <c r="BA3" s="739"/>
      <c r="BB3" s="739"/>
      <c r="BC3" s="739"/>
      <c r="BD3" s="739"/>
      <c r="BE3" s="739"/>
      <c r="BF3" s="739"/>
      <c r="BG3" s="739"/>
      <c r="BH3" s="739"/>
      <c r="BI3" s="739"/>
      <c r="BJ3" s="739"/>
      <c r="BK3" s="739"/>
      <c r="BL3" s="739"/>
      <c r="BM3" s="739"/>
      <c r="BN3" s="739"/>
      <c r="BO3" s="739"/>
      <c r="BP3" s="739"/>
      <c r="BQ3" s="739"/>
      <c r="BR3" s="739"/>
      <c r="BS3" s="739"/>
      <c r="BT3" s="740"/>
    </row>
    <row r="4" spans="1:72" ht="12" customHeight="1" thickBot="1" x14ac:dyDescent="0.2">
      <c r="A4" s="591" t="s">
        <v>713</v>
      </c>
      <c r="B4" s="580" t="s">
        <v>679</v>
      </c>
      <c r="C4" s="580">
        <f>VLOOKUP(Tablo15[[#This Row],[Çap(inch)]],Fitting_Flanş[[#All],[BORU DIŞ ÇAPI Anma (inch)]:[Nominal (mm)]],4,0)</f>
        <v>273.10000000000002</v>
      </c>
      <c r="D4" s="580" t="str">
        <f>VLOOKUP(B4,Fitting_Flanş[#All],(IF(Tablo15[[#This Row],[FİTTİNG]]="FLANŞ",6,5)),FALSE)</f>
        <v>ASTM A860 WPHY46</v>
      </c>
      <c r="E4" s="591" t="str">
        <f>IF(Tablo15[[#This Row],[Çap(mm)]]&lt;406.4,$T$4,$T$3)</f>
        <v>ASME B16.9</v>
      </c>
      <c r="F4" s="591"/>
      <c r="G4" s="591"/>
      <c r="H4" s="591"/>
      <c r="I4" s="591"/>
      <c r="N4" s="565" t="s">
        <v>680</v>
      </c>
      <c r="O4" s="566">
        <v>27</v>
      </c>
      <c r="P4" s="566">
        <v>27</v>
      </c>
      <c r="Q4" s="567">
        <v>235</v>
      </c>
      <c r="R4" s="524"/>
      <c r="S4" s="524"/>
      <c r="T4" s="507" t="s">
        <v>1331</v>
      </c>
      <c r="U4" s="570"/>
      <c r="V4" s="570"/>
      <c r="X4" s="324" t="s">
        <v>702</v>
      </c>
      <c r="Y4" s="324">
        <v>20</v>
      </c>
      <c r="Z4" s="324">
        <v>1.05</v>
      </c>
      <c r="AA4" s="324">
        <v>26.7</v>
      </c>
      <c r="AB4" s="324" t="s">
        <v>687</v>
      </c>
      <c r="AC4" s="525" t="s">
        <v>1331</v>
      </c>
      <c r="AD4" s="324" t="s">
        <v>152</v>
      </c>
      <c r="AE4" s="525" t="s">
        <v>1296</v>
      </c>
      <c r="AF4" s="325" t="s">
        <v>686</v>
      </c>
      <c r="AG4" s="325" t="s">
        <v>686</v>
      </c>
      <c r="AH4" s="325" t="s">
        <v>686</v>
      </c>
      <c r="AI4" s="324">
        <v>3.9</v>
      </c>
      <c r="AJ4" s="324">
        <v>3.9</v>
      </c>
      <c r="AL4" s="314">
        <v>33.4</v>
      </c>
      <c r="AM4" s="303" t="s">
        <v>84</v>
      </c>
      <c r="AN4" s="308" t="s">
        <v>6</v>
      </c>
      <c r="AO4" s="307" t="s">
        <v>329</v>
      </c>
      <c r="AP4" s="306" t="s">
        <v>328</v>
      </c>
      <c r="AQ4" s="307"/>
      <c r="AR4" s="307"/>
      <c r="AS4" s="307"/>
      <c r="AT4" s="307"/>
      <c r="AU4" s="307"/>
      <c r="AV4" s="307"/>
      <c r="AW4" s="307"/>
      <c r="AX4" s="307"/>
      <c r="AY4" s="307"/>
      <c r="AZ4" s="307"/>
      <c r="BA4" s="307"/>
      <c r="BB4" s="307"/>
      <c r="BC4" s="307"/>
      <c r="BD4" s="307"/>
      <c r="BE4" s="307"/>
      <c r="BF4" s="307"/>
      <c r="BG4" s="307"/>
      <c r="BH4" s="307"/>
      <c r="BI4" s="307"/>
      <c r="BJ4" s="307"/>
      <c r="BK4" s="307"/>
      <c r="BL4" s="307"/>
      <c r="BM4" s="307"/>
      <c r="BN4" s="307"/>
      <c r="BO4" s="307"/>
      <c r="BP4" s="307"/>
      <c r="BQ4" s="307"/>
      <c r="BR4" s="307"/>
      <c r="BS4" s="307"/>
      <c r="BT4" s="741"/>
    </row>
    <row r="5" spans="1:72" ht="12" customHeight="1" thickBot="1" x14ac:dyDescent="0.2">
      <c r="A5" s="592" t="s">
        <v>712</v>
      </c>
      <c r="B5" s="593" t="s">
        <v>673</v>
      </c>
      <c r="C5" s="593">
        <f>VLOOKUP(Tablo15[[#This Row],[Çap(inch)]],Fitting_Flanş[[#All],[BORU DIŞ ÇAPI Anma (inch)]:[Nominal (mm)]],4,0)</f>
        <v>355.6</v>
      </c>
      <c r="D5" s="593" t="str">
        <f>VLOOKUP(B5,Fitting_Flanş[#All],(IF(Tablo15[[#This Row],[FİTTİNG]]="FLANŞ",6,5)),FALSE)</f>
        <v>ASTM A860 WPHY52</v>
      </c>
      <c r="E5" s="592" t="str">
        <f>IF(Tablo15[[#This Row],[Çap(mm)]]&lt;406.4,$T$4,$T$3)</f>
        <v>ASME B16.9</v>
      </c>
      <c r="F5" s="592"/>
      <c r="G5" s="592"/>
      <c r="H5" s="592"/>
      <c r="I5" s="592"/>
      <c r="N5" s="565" t="s">
        <v>717</v>
      </c>
      <c r="O5" s="566">
        <v>48</v>
      </c>
      <c r="P5" s="566">
        <v>36</v>
      </c>
      <c r="Q5" s="567">
        <v>235</v>
      </c>
      <c r="R5" s="524"/>
      <c r="S5" s="524"/>
      <c r="U5" s="570"/>
      <c r="V5" s="570"/>
      <c r="X5" s="322" t="s">
        <v>701</v>
      </c>
      <c r="Y5" s="322">
        <v>25</v>
      </c>
      <c r="Z5" s="322">
        <v>1.3149999999999999</v>
      </c>
      <c r="AA5" s="322">
        <v>33.4</v>
      </c>
      <c r="AB5" s="322" t="s">
        <v>687</v>
      </c>
      <c r="AC5" s="524" t="s">
        <v>1331</v>
      </c>
      <c r="AD5" s="322" t="s">
        <v>152</v>
      </c>
      <c r="AE5" s="524" t="s">
        <v>1296</v>
      </c>
      <c r="AF5" s="326" t="s">
        <v>686</v>
      </c>
      <c r="AG5" s="326" t="s">
        <v>686</v>
      </c>
      <c r="AH5" s="326" t="s">
        <v>686</v>
      </c>
      <c r="AI5" s="322">
        <v>4.5999999999999996</v>
      </c>
      <c r="AJ5" s="322">
        <v>4.5999999999999996</v>
      </c>
      <c r="AL5" s="313">
        <v>42.2</v>
      </c>
      <c r="AM5" s="305" t="s">
        <v>84</v>
      </c>
      <c r="AN5" s="304" t="s">
        <v>7</v>
      </c>
      <c r="AO5" s="307" t="s">
        <v>329</v>
      </c>
      <c r="AP5" s="307" t="s">
        <v>329</v>
      </c>
      <c r="AQ5" s="306" t="s">
        <v>328</v>
      </c>
      <c r="AR5" s="307"/>
      <c r="AS5" s="307"/>
      <c r="AT5" s="307"/>
      <c r="AU5" s="307"/>
      <c r="AV5" s="307"/>
      <c r="AW5" s="307"/>
      <c r="AX5" s="307"/>
      <c r="AY5" s="307"/>
      <c r="AZ5" s="307"/>
      <c r="BA5" s="307"/>
      <c r="BB5" s="307"/>
      <c r="BC5" s="307"/>
      <c r="BD5" s="307"/>
      <c r="BE5" s="307"/>
      <c r="BF5" s="307"/>
      <c r="BG5" s="307"/>
      <c r="BH5" s="307"/>
      <c r="BI5" s="307"/>
      <c r="BJ5" s="307"/>
      <c r="BK5" s="307"/>
      <c r="BL5" s="307"/>
      <c r="BM5" s="307"/>
      <c r="BN5" s="307"/>
      <c r="BO5" s="307"/>
      <c r="BP5" s="307"/>
      <c r="BQ5" s="307"/>
      <c r="BR5" s="307"/>
      <c r="BS5" s="307"/>
      <c r="BT5" s="741"/>
    </row>
    <row r="6" spans="1:72" ht="12" customHeight="1" thickBot="1" x14ac:dyDescent="0.2">
      <c r="A6" s="595" t="s">
        <v>1375</v>
      </c>
      <c r="B6" s="594" t="s">
        <v>664</v>
      </c>
      <c r="C6" s="596">
        <f>VLOOKUP(Tablo15[[#This Row],[Çap(inch)]],Fitting_Flanş[[#All],[BORU DIŞ ÇAPI Anma (inch)]:[Nominal (mm)]],4,0)</f>
        <v>762</v>
      </c>
      <c r="D6" s="596" t="str">
        <f>VLOOKUP(B6,Fitting_Flanş[#All],(IF(Tablo15[[#This Row],[FİTTİNG]]="FLANŞ",6,5)),FALSE)</f>
        <v xml:space="preserve">ASTM A860 WPHY65 </v>
      </c>
      <c r="E6" s="595" t="str">
        <f>IF(Tablo15[[#This Row],[Çap(mm)]]&lt;406.4,$T$4,$T$3)</f>
        <v>MSS SP-75</v>
      </c>
      <c r="F6" s="595"/>
      <c r="G6" s="595"/>
      <c r="H6" s="595"/>
      <c r="I6" s="595"/>
      <c r="N6" s="565" t="s">
        <v>672</v>
      </c>
      <c r="O6" s="566">
        <v>48</v>
      </c>
      <c r="P6" s="566">
        <v>36</v>
      </c>
      <c r="Q6" s="567">
        <v>235</v>
      </c>
      <c r="R6" s="524"/>
      <c r="S6" s="524"/>
      <c r="T6" s="524"/>
      <c r="U6" s="524"/>
      <c r="V6" s="524"/>
      <c r="X6" s="324" t="s">
        <v>700</v>
      </c>
      <c r="Y6" s="324">
        <v>32</v>
      </c>
      <c r="Z6" s="324">
        <v>1.66</v>
      </c>
      <c r="AA6" s="324">
        <v>42.2</v>
      </c>
      <c r="AB6" s="324" t="s">
        <v>687</v>
      </c>
      <c r="AC6" s="525" t="s">
        <v>1331</v>
      </c>
      <c r="AD6" s="324" t="s">
        <v>152</v>
      </c>
      <c r="AE6" s="525" t="s">
        <v>1296</v>
      </c>
      <c r="AF6" s="325" t="s">
        <v>686</v>
      </c>
      <c r="AG6" s="325" t="s">
        <v>686</v>
      </c>
      <c r="AH6" s="325" t="s">
        <v>686</v>
      </c>
      <c r="AI6" s="324">
        <v>4.9000000000000004</v>
      </c>
      <c r="AJ6" s="324">
        <v>4.9000000000000004</v>
      </c>
      <c r="AL6" s="314">
        <v>48.3</v>
      </c>
      <c r="AM6" s="303" t="s">
        <v>84</v>
      </c>
      <c r="AN6" s="308" t="s">
        <v>8</v>
      </c>
      <c r="AO6" s="307" t="s">
        <v>329</v>
      </c>
      <c r="AP6" s="307" t="s">
        <v>329</v>
      </c>
      <c r="AQ6" s="307" t="s">
        <v>329</v>
      </c>
      <c r="AR6" s="306" t="s">
        <v>328</v>
      </c>
      <c r="AS6" s="307"/>
      <c r="AT6" s="307"/>
      <c r="AU6" s="307"/>
      <c r="AV6" s="307"/>
      <c r="AW6" s="307"/>
      <c r="AX6" s="307"/>
      <c r="AY6" s="307"/>
      <c r="AZ6" s="307"/>
      <c r="BA6" s="307"/>
      <c r="BB6" s="307"/>
      <c r="BC6" s="307"/>
      <c r="BD6" s="307"/>
      <c r="BE6" s="307"/>
      <c r="BF6" s="307"/>
      <c r="BG6" s="307"/>
      <c r="BH6" s="307"/>
      <c r="BI6" s="307"/>
      <c r="BJ6" s="307"/>
      <c r="BK6" s="307"/>
      <c r="BL6" s="307"/>
      <c r="BM6" s="307"/>
      <c r="BN6" s="307"/>
      <c r="BO6" s="307"/>
      <c r="BP6" s="307"/>
      <c r="BQ6" s="307"/>
      <c r="BR6" s="307"/>
      <c r="BS6" s="307"/>
      <c r="BT6" s="741"/>
    </row>
    <row r="7" spans="1:72" ht="12" customHeight="1" thickBot="1" x14ac:dyDescent="0.2">
      <c r="A7" s="299" t="s">
        <v>714</v>
      </c>
      <c r="B7" s="522" t="s">
        <v>682</v>
      </c>
      <c r="C7" s="300">
        <f>VLOOKUP(Tablo15[[#This Row],[Çap(inch)]],Fitting_Flanş[[#All],[BORU DIŞ ÇAPI Anma (inch)]:[Nominal (mm)]],4,0)</f>
        <v>219.1</v>
      </c>
      <c r="D7" s="300" t="str">
        <f>VLOOKUP(B7,Fitting_Flanş[#All],(IF(Tablo15[[#This Row],[FİTTİNG]]="FLANŞ",6,5)),FALSE)</f>
        <v>ASTM A860 WPHY42</v>
      </c>
      <c r="E7" s="299" t="str">
        <f>IF(Tablo15[[#This Row],[Çap(mm)]]&lt;406.4,$T$4,$T$3)</f>
        <v>ASME B16.9</v>
      </c>
      <c r="G7" s="521"/>
      <c r="H7" s="521"/>
      <c r="I7" s="521"/>
      <c r="K7" s="748"/>
      <c r="N7" s="565" t="s">
        <v>670</v>
      </c>
      <c r="O7" s="566">
        <v>60</v>
      </c>
      <c r="P7" s="566">
        <v>45</v>
      </c>
      <c r="Q7" s="567">
        <v>235</v>
      </c>
      <c r="R7" s="524"/>
      <c r="S7" s="524"/>
      <c r="T7" s="524"/>
      <c r="U7" s="524"/>
      <c r="V7" s="524"/>
      <c r="X7" s="322" t="s">
        <v>699</v>
      </c>
      <c r="Y7" s="322">
        <v>40</v>
      </c>
      <c r="Z7" s="322">
        <v>1.9</v>
      </c>
      <c r="AA7" s="322">
        <v>48.3</v>
      </c>
      <c r="AB7" s="322" t="s">
        <v>687</v>
      </c>
      <c r="AC7" s="524" t="s">
        <v>1331</v>
      </c>
      <c r="AD7" s="322" t="s">
        <v>152</v>
      </c>
      <c r="AE7" s="524" t="s">
        <v>1296</v>
      </c>
      <c r="AF7" s="326" t="s">
        <v>686</v>
      </c>
      <c r="AG7" s="326" t="s">
        <v>686</v>
      </c>
      <c r="AH7" s="326" t="s">
        <v>686</v>
      </c>
      <c r="AI7" s="322">
        <v>5.0999999999999996</v>
      </c>
      <c r="AJ7" s="322">
        <v>5.0999999999999996</v>
      </c>
      <c r="AL7" s="313">
        <v>60.3</v>
      </c>
      <c r="AM7" s="305" t="s">
        <v>84</v>
      </c>
      <c r="AN7" s="304" t="s">
        <v>9</v>
      </c>
      <c r="AO7" s="307" t="s">
        <v>329</v>
      </c>
      <c r="AP7" s="307" t="s">
        <v>329</v>
      </c>
      <c r="AQ7" s="307" t="s">
        <v>329</v>
      </c>
      <c r="AR7" s="307" t="s">
        <v>329</v>
      </c>
      <c r="AS7" s="306" t="s">
        <v>328</v>
      </c>
      <c r="AT7" s="307"/>
      <c r="AU7" s="307"/>
      <c r="AV7" s="307"/>
      <c r="AW7" s="307"/>
      <c r="AX7" s="307"/>
      <c r="AY7" s="307"/>
      <c r="AZ7" s="307"/>
      <c r="BA7" s="307"/>
      <c r="BB7" s="307"/>
      <c r="BC7" s="307"/>
      <c r="BD7" s="307"/>
      <c r="BE7" s="307"/>
      <c r="BF7" s="307"/>
      <c r="BG7" s="307"/>
      <c r="BH7" s="307"/>
      <c r="BI7" s="307"/>
      <c r="BJ7" s="307"/>
      <c r="BK7" s="307"/>
      <c r="BL7" s="307"/>
      <c r="BM7" s="307"/>
      <c r="BN7" s="307"/>
      <c r="BO7" s="307"/>
      <c r="BP7" s="307"/>
      <c r="BQ7" s="307"/>
      <c r="BR7" s="307"/>
      <c r="BS7" s="307"/>
      <c r="BT7" s="741"/>
    </row>
    <row r="8" spans="1:72" ht="12" thickBot="1" x14ac:dyDescent="0.2">
      <c r="N8" s="565" t="s">
        <v>650</v>
      </c>
      <c r="O8" s="566">
        <v>60</v>
      </c>
      <c r="P8" s="566">
        <v>45</v>
      </c>
      <c r="Q8" s="567">
        <v>235</v>
      </c>
      <c r="R8" s="524"/>
      <c r="S8" s="524"/>
      <c r="T8" s="524"/>
      <c r="U8" s="524"/>
      <c r="V8" s="524"/>
      <c r="X8" s="324" t="s">
        <v>697</v>
      </c>
      <c r="Y8" s="324">
        <v>50</v>
      </c>
      <c r="Z8" s="324" t="s">
        <v>696</v>
      </c>
      <c r="AA8" s="324">
        <v>60.3</v>
      </c>
      <c r="AB8" s="324" t="s">
        <v>687</v>
      </c>
      <c r="AC8" s="525" t="s">
        <v>1331</v>
      </c>
      <c r="AD8" s="324" t="s">
        <v>152</v>
      </c>
      <c r="AE8" s="525" t="s">
        <v>1296</v>
      </c>
      <c r="AF8" s="325" t="s">
        <v>686</v>
      </c>
      <c r="AG8" s="325" t="s">
        <v>686</v>
      </c>
      <c r="AH8" s="325" t="s">
        <v>686</v>
      </c>
      <c r="AI8" s="324">
        <v>5.5</v>
      </c>
      <c r="AJ8" s="324">
        <v>5.5</v>
      </c>
      <c r="AL8" s="314">
        <v>73</v>
      </c>
      <c r="AM8" s="303" t="s">
        <v>84</v>
      </c>
      <c r="AN8" s="308" t="s">
        <v>10</v>
      </c>
      <c r="AO8" s="307" t="s">
        <v>330</v>
      </c>
      <c r="AP8" s="307" t="s">
        <v>329</v>
      </c>
      <c r="AQ8" s="307" t="s">
        <v>329</v>
      </c>
      <c r="AR8" s="307" t="s">
        <v>329</v>
      </c>
      <c r="AS8" s="307" t="s">
        <v>329</v>
      </c>
      <c r="AT8" s="306" t="s">
        <v>328</v>
      </c>
      <c r="AU8" s="307"/>
      <c r="AV8" s="307"/>
      <c r="AW8" s="307"/>
      <c r="AX8" s="307"/>
      <c r="AY8" s="307"/>
      <c r="AZ8" s="307"/>
      <c r="BA8" s="307"/>
      <c r="BB8" s="307"/>
      <c r="BC8" s="307"/>
      <c r="BD8" s="307"/>
      <c r="BE8" s="307"/>
      <c r="BF8" s="307"/>
      <c r="BG8" s="307"/>
      <c r="BH8" s="307"/>
      <c r="BI8" s="307"/>
      <c r="BJ8" s="307"/>
      <c r="BK8" s="307"/>
      <c r="BL8" s="307"/>
      <c r="BM8" s="307"/>
      <c r="BN8" s="307"/>
      <c r="BO8" s="307"/>
      <c r="BP8" s="307"/>
      <c r="BQ8" s="307"/>
      <c r="BR8" s="307"/>
      <c r="BS8" s="307"/>
      <c r="BT8" s="741"/>
    </row>
    <row r="9" spans="1:72" ht="12" thickBot="1" x14ac:dyDescent="0.2">
      <c r="N9" s="565" t="s">
        <v>698</v>
      </c>
      <c r="O9" s="566">
        <v>60</v>
      </c>
      <c r="P9" s="566">
        <v>45</v>
      </c>
      <c r="Q9" s="567">
        <v>235</v>
      </c>
      <c r="R9" s="524"/>
      <c r="S9" s="524"/>
      <c r="T9" s="524"/>
      <c r="U9" s="524"/>
      <c r="V9" s="524"/>
      <c r="X9" s="322" t="s">
        <v>695</v>
      </c>
      <c r="Y9" s="322">
        <v>65</v>
      </c>
      <c r="Z9" s="322" t="s">
        <v>694</v>
      </c>
      <c r="AA9" s="322">
        <v>73</v>
      </c>
      <c r="AB9" s="322" t="s">
        <v>687</v>
      </c>
      <c r="AC9" s="524" t="s">
        <v>1331</v>
      </c>
      <c r="AD9" s="322" t="s">
        <v>152</v>
      </c>
      <c r="AE9" s="524" t="s">
        <v>1296</v>
      </c>
      <c r="AF9" s="326" t="s">
        <v>686</v>
      </c>
      <c r="AG9" s="326" t="s">
        <v>686</v>
      </c>
      <c r="AH9" s="326" t="s">
        <v>686</v>
      </c>
      <c r="AI9" s="322">
        <v>5.2</v>
      </c>
      <c r="AJ9" s="322">
        <v>5.2</v>
      </c>
      <c r="AL9" s="313">
        <v>88.9</v>
      </c>
      <c r="AM9" s="305" t="s">
        <v>84</v>
      </c>
      <c r="AN9" s="304" t="s">
        <v>11</v>
      </c>
      <c r="AO9" s="307" t="s">
        <v>330</v>
      </c>
      <c r="AP9" s="307" t="s">
        <v>330</v>
      </c>
      <c r="AQ9" s="307" t="s">
        <v>329</v>
      </c>
      <c r="AR9" s="307" t="s">
        <v>329</v>
      </c>
      <c r="AS9" s="307" t="s">
        <v>329</v>
      </c>
      <c r="AT9" s="307" t="s">
        <v>329</v>
      </c>
      <c r="AU9" s="306" t="s">
        <v>328</v>
      </c>
      <c r="AV9" s="307"/>
      <c r="AW9" s="307"/>
      <c r="AX9" s="307"/>
      <c r="AY9" s="307"/>
      <c r="AZ9" s="307"/>
      <c r="BA9" s="307"/>
      <c r="BB9" s="307"/>
      <c r="BC9" s="307"/>
      <c r="BD9" s="307"/>
      <c r="BE9" s="307"/>
      <c r="BF9" s="307"/>
      <c r="BG9" s="307"/>
      <c r="BH9" s="307"/>
      <c r="BI9" s="307"/>
      <c r="BJ9" s="307"/>
      <c r="BK9" s="307"/>
      <c r="BL9" s="307"/>
      <c r="BM9" s="307"/>
      <c r="BN9" s="307"/>
      <c r="BO9" s="307"/>
      <c r="BP9" s="307"/>
      <c r="BQ9" s="307"/>
      <c r="BR9" s="307"/>
      <c r="BS9" s="307"/>
      <c r="BT9" s="741"/>
    </row>
    <row r="10" spans="1:72" ht="12" thickBot="1" x14ac:dyDescent="0.2">
      <c r="N10" s="322"/>
      <c r="O10" s="322"/>
      <c r="P10" s="322"/>
      <c r="Q10" s="524"/>
      <c r="R10" s="524"/>
      <c r="S10" s="524"/>
      <c r="T10" s="524"/>
      <c r="U10" s="524"/>
      <c r="V10" s="524"/>
      <c r="X10" s="324" t="s">
        <v>693</v>
      </c>
      <c r="Y10" s="324">
        <v>80</v>
      </c>
      <c r="Z10" s="324" t="s">
        <v>692</v>
      </c>
      <c r="AA10" s="324">
        <v>88.9</v>
      </c>
      <c r="AB10" s="324" t="s">
        <v>687</v>
      </c>
      <c r="AC10" s="525" t="s">
        <v>1331</v>
      </c>
      <c r="AD10" s="324" t="s">
        <v>152</v>
      </c>
      <c r="AE10" s="525" t="s">
        <v>1296</v>
      </c>
      <c r="AF10" s="325" t="s">
        <v>686</v>
      </c>
      <c r="AG10" s="325" t="s">
        <v>686</v>
      </c>
      <c r="AH10" s="325" t="s">
        <v>686</v>
      </c>
      <c r="AI10" s="324">
        <v>5.5</v>
      </c>
      <c r="AJ10" s="324">
        <v>5.5</v>
      </c>
      <c r="AL10" s="314">
        <v>114.3</v>
      </c>
      <c r="AM10" s="303" t="s">
        <v>84</v>
      </c>
      <c r="AN10" s="308" t="s">
        <v>12</v>
      </c>
      <c r="AO10" s="307" t="s">
        <v>330</v>
      </c>
      <c r="AP10" s="307" t="s">
        <v>330</v>
      </c>
      <c r="AQ10" s="307" t="s">
        <v>330</v>
      </c>
      <c r="AR10" s="307" t="s">
        <v>329</v>
      </c>
      <c r="AS10" s="307" t="s">
        <v>329</v>
      </c>
      <c r="AT10" s="307" t="s">
        <v>329</v>
      </c>
      <c r="AU10" s="307" t="s">
        <v>329</v>
      </c>
      <c r="AV10" s="306" t="s">
        <v>328</v>
      </c>
      <c r="AW10" s="307"/>
      <c r="AX10" s="307"/>
      <c r="AY10" s="307"/>
      <c r="AZ10" s="307"/>
      <c r="BA10" s="307"/>
      <c r="BB10" s="307"/>
      <c r="BC10" s="307"/>
      <c r="BD10" s="307"/>
      <c r="BE10" s="307"/>
      <c r="BF10" s="307"/>
      <c r="BG10" s="307"/>
      <c r="BH10" s="307"/>
      <c r="BI10" s="307"/>
      <c r="BJ10" s="307"/>
      <c r="BK10" s="307"/>
      <c r="BL10" s="307"/>
      <c r="BM10" s="307"/>
      <c r="BN10" s="307"/>
      <c r="BO10" s="307"/>
      <c r="BP10" s="307"/>
      <c r="BQ10" s="307"/>
      <c r="BR10" s="307"/>
      <c r="BS10" s="307"/>
      <c r="BT10" s="741"/>
    </row>
    <row r="11" spans="1:72" x14ac:dyDescent="0.15">
      <c r="X11" s="322" t="s">
        <v>691</v>
      </c>
      <c r="Y11" s="322">
        <v>100</v>
      </c>
      <c r="Z11" s="322" t="s">
        <v>690</v>
      </c>
      <c r="AA11" s="322">
        <v>114.3</v>
      </c>
      <c r="AB11" s="322" t="s">
        <v>687</v>
      </c>
      <c r="AC11" s="524" t="s">
        <v>1331</v>
      </c>
      <c r="AD11" s="322" t="s">
        <v>152</v>
      </c>
      <c r="AE11" s="524" t="s">
        <v>1296</v>
      </c>
      <c r="AF11" s="326" t="s">
        <v>686</v>
      </c>
      <c r="AG11" s="326" t="s">
        <v>686</v>
      </c>
      <c r="AH11" s="326" t="s">
        <v>686</v>
      </c>
      <c r="AI11" s="322">
        <v>6</v>
      </c>
      <c r="AJ11" s="322">
        <v>6</v>
      </c>
      <c r="AL11" s="313">
        <v>141.30000000000001</v>
      </c>
      <c r="AM11" s="305" t="s">
        <v>84</v>
      </c>
      <c r="AN11" s="304" t="s">
        <v>13</v>
      </c>
      <c r="AO11" s="307" t="s">
        <v>330</v>
      </c>
      <c r="AP11" s="307" t="s">
        <v>330</v>
      </c>
      <c r="AQ11" s="307" t="s">
        <v>330</v>
      </c>
      <c r="AR11" s="307" t="s">
        <v>331</v>
      </c>
      <c r="AS11" s="307" t="s">
        <v>329</v>
      </c>
      <c r="AT11" s="307" t="s">
        <v>329</v>
      </c>
      <c r="AU11" s="307" t="s">
        <v>329</v>
      </c>
      <c r="AV11" s="307" t="s">
        <v>329</v>
      </c>
      <c r="AW11" s="306" t="s">
        <v>328</v>
      </c>
      <c r="AX11" s="307"/>
      <c r="AY11" s="307"/>
      <c r="AZ11" s="307"/>
      <c r="BA11" s="307"/>
      <c r="BB11" s="307"/>
      <c r="BC11" s="307"/>
      <c r="BD11" s="307"/>
      <c r="BE11" s="307"/>
      <c r="BF11" s="307"/>
      <c r="BG11" s="307"/>
      <c r="BH11" s="307"/>
      <c r="BI11" s="307"/>
      <c r="BJ11" s="307"/>
      <c r="BK11" s="307"/>
      <c r="BL11" s="307"/>
      <c r="BM11" s="307"/>
      <c r="BN11" s="307"/>
      <c r="BO11" s="307"/>
      <c r="BP11" s="307"/>
      <c r="BQ11" s="307"/>
      <c r="BR11" s="307"/>
      <c r="BS11" s="307"/>
      <c r="BT11" s="741"/>
    </row>
    <row r="12" spans="1:72" x14ac:dyDescent="0.15">
      <c r="X12" s="324" t="s">
        <v>689</v>
      </c>
      <c r="Y12" s="324">
        <v>125</v>
      </c>
      <c r="Z12" s="324" t="s">
        <v>688</v>
      </c>
      <c r="AA12" s="324">
        <v>141.30000000000001</v>
      </c>
      <c r="AB12" s="324" t="s">
        <v>687</v>
      </c>
      <c r="AC12" s="525" t="s">
        <v>1331</v>
      </c>
      <c r="AD12" s="324" t="s">
        <v>152</v>
      </c>
      <c r="AE12" s="525" t="s">
        <v>1296</v>
      </c>
      <c r="AF12" s="325" t="s">
        <v>686</v>
      </c>
      <c r="AG12" s="325" t="s">
        <v>686</v>
      </c>
      <c r="AH12" s="325" t="s">
        <v>686</v>
      </c>
      <c r="AI12" s="324">
        <v>6.6</v>
      </c>
      <c r="AJ12" s="324">
        <v>7.1</v>
      </c>
      <c r="AL12" s="314">
        <v>168.3</v>
      </c>
      <c r="AM12" s="309" t="s">
        <v>15</v>
      </c>
      <c r="AN12" s="308" t="s">
        <v>14</v>
      </c>
      <c r="AO12" s="307" t="s">
        <v>330</v>
      </c>
      <c r="AP12" s="307" t="s">
        <v>330</v>
      </c>
      <c r="AQ12" s="307" t="s">
        <v>330</v>
      </c>
      <c r="AR12" s="307" t="s">
        <v>331</v>
      </c>
      <c r="AS12" s="307" t="s">
        <v>331</v>
      </c>
      <c r="AT12" s="307" t="s">
        <v>329</v>
      </c>
      <c r="AU12" s="307" t="s">
        <v>329</v>
      </c>
      <c r="AV12" s="307" t="s">
        <v>329</v>
      </c>
      <c r="AW12" s="307" t="s">
        <v>329</v>
      </c>
      <c r="AX12" s="306" t="s">
        <v>328</v>
      </c>
      <c r="AY12" s="307"/>
      <c r="AZ12" s="307"/>
      <c r="BA12" s="307"/>
      <c r="BB12" s="307"/>
      <c r="BC12" s="307"/>
      <c r="BD12" s="307"/>
      <c r="BE12" s="307"/>
      <c r="BF12" s="307"/>
      <c r="BG12" s="307"/>
      <c r="BH12" s="307"/>
      <c r="BI12" s="307"/>
      <c r="BJ12" s="307"/>
      <c r="BK12" s="307"/>
      <c r="BL12" s="307"/>
      <c r="BM12" s="307"/>
      <c r="BN12" s="307"/>
      <c r="BO12" s="307"/>
      <c r="BP12" s="307"/>
      <c r="BQ12" s="307"/>
      <c r="BR12" s="307"/>
      <c r="BS12" s="307"/>
      <c r="BT12" s="741"/>
    </row>
    <row r="13" spans="1:72" x14ac:dyDescent="0.15">
      <c r="X13" s="322" t="s">
        <v>685</v>
      </c>
      <c r="Y13" s="322">
        <v>150</v>
      </c>
      <c r="Z13" s="322" t="s">
        <v>684</v>
      </c>
      <c r="AA13" s="322">
        <v>168.3</v>
      </c>
      <c r="AB13" s="327" t="s">
        <v>683</v>
      </c>
      <c r="AC13" s="524" t="s">
        <v>1331</v>
      </c>
      <c r="AD13" s="322" t="s">
        <v>365</v>
      </c>
      <c r="AE13" s="524" t="s">
        <v>1296</v>
      </c>
      <c r="AF13" s="322">
        <v>5.2</v>
      </c>
      <c r="AG13" s="322">
        <v>5.2</v>
      </c>
      <c r="AH13" s="322">
        <v>5.2</v>
      </c>
      <c r="AI13" s="322">
        <v>6.4</v>
      </c>
      <c r="AJ13" s="322">
        <v>6.4</v>
      </c>
      <c r="AL13" s="313">
        <v>219.1</v>
      </c>
      <c r="AM13" s="310" t="s">
        <v>15</v>
      </c>
      <c r="AN13" s="304" t="s">
        <v>16</v>
      </c>
      <c r="AO13" s="307" t="s">
        <v>330</v>
      </c>
      <c r="AP13" s="307" t="s">
        <v>330</v>
      </c>
      <c r="AQ13" s="307" t="s">
        <v>330</v>
      </c>
      <c r="AR13" s="307" t="s">
        <v>331</v>
      </c>
      <c r="AS13" s="307" t="s">
        <v>331</v>
      </c>
      <c r="AT13" s="307"/>
      <c r="AU13" s="307" t="s">
        <v>332</v>
      </c>
      <c r="AV13" s="307" t="s">
        <v>329</v>
      </c>
      <c r="AW13" s="307" t="s">
        <v>329</v>
      </c>
      <c r="AX13" s="307" t="s">
        <v>329</v>
      </c>
      <c r="AY13" s="306" t="s">
        <v>328</v>
      </c>
      <c r="AZ13" s="307"/>
      <c r="BA13" s="307"/>
      <c r="BB13" s="307"/>
      <c r="BC13" s="307"/>
      <c r="BD13" s="307"/>
      <c r="BE13" s="307"/>
      <c r="BF13" s="307"/>
      <c r="BG13" s="307"/>
      <c r="BH13" s="307"/>
      <c r="BI13" s="307"/>
      <c r="BJ13" s="307"/>
      <c r="BK13" s="307"/>
      <c r="BL13" s="307"/>
      <c r="BM13" s="307"/>
      <c r="BN13" s="307"/>
      <c r="BO13" s="307"/>
      <c r="BP13" s="307"/>
      <c r="BQ13" s="307"/>
      <c r="BR13" s="307"/>
      <c r="BS13" s="307"/>
      <c r="BT13" s="741"/>
    </row>
    <row r="14" spans="1:72" x14ac:dyDescent="0.15">
      <c r="A14" s="1086" t="s">
        <v>1389</v>
      </c>
      <c r="B14" s="1086"/>
      <c r="C14" s="299" t="str">
        <f>D3</f>
        <v>ASTM A234 WPB</v>
      </c>
      <c r="X14" s="324" t="s">
        <v>682</v>
      </c>
      <c r="Y14" s="324">
        <v>200</v>
      </c>
      <c r="Z14" s="324" t="s">
        <v>681</v>
      </c>
      <c r="AA14" s="324">
        <v>219.1</v>
      </c>
      <c r="AB14" s="328" t="s">
        <v>680</v>
      </c>
      <c r="AC14" s="525" t="s">
        <v>1331</v>
      </c>
      <c r="AD14" s="324" t="s">
        <v>365</v>
      </c>
      <c r="AE14" s="525" t="s">
        <v>1296</v>
      </c>
      <c r="AF14" s="324">
        <v>5.2</v>
      </c>
      <c r="AG14" s="324">
        <v>5.2</v>
      </c>
      <c r="AH14" s="324">
        <v>6.4</v>
      </c>
      <c r="AI14" s="324">
        <v>7.9</v>
      </c>
      <c r="AJ14" s="324">
        <v>7.9</v>
      </c>
      <c r="AL14" s="314">
        <v>273.10000000000002</v>
      </c>
      <c r="AM14" s="309" t="s">
        <v>18</v>
      </c>
      <c r="AN14" s="308" t="s">
        <v>17</v>
      </c>
      <c r="AO14" s="307" t="s">
        <v>330</v>
      </c>
      <c r="AP14" s="307" t="s">
        <v>330</v>
      </c>
      <c r="AQ14" s="307" t="s">
        <v>330</v>
      </c>
      <c r="AR14" s="307" t="s">
        <v>331</v>
      </c>
      <c r="AS14" s="307" t="s">
        <v>331</v>
      </c>
      <c r="AT14" s="307"/>
      <c r="AU14" s="307"/>
      <c r="AV14" s="307" t="s">
        <v>329</v>
      </c>
      <c r="AW14" s="307" t="s">
        <v>329</v>
      </c>
      <c r="AX14" s="307" t="s">
        <v>329</v>
      </c>
      <c r="AY14" s="307" t="s">
        <v>329</v>
      </c>
      <c r="AZ14" s="306" t="s">
        <v>328</v>
      </c>
      <c r="BA14" s="307"/>
      <c r="BB14" s="307"/>
      <c r="BC14" s="307"/>
      <c r="BD14" s="307"/>
      <c r="BE14" s="307"/>
      <c r="BF14" s="307"/>
      <c r="BG14" s="307"/>
      <c r="BH14" s="307"/>
      <c r="BI14" s="307"/>
      <c r="BJ14" s="307"/>
      <c r="BK14" s="307"/>
      <c r="BL14" s="307"/>
      <c r="BM14" s="307"/>
      <c r="BN14" s="307"/>
      <c r="BO14" s="307"/>
      <c r="BP14" s="307"/>
      <c r="BQ14" s="307"/>
      <c r="BR14" s="307"/>
      <c r="BS14" s="307"/>
      <c r="BT14" s="741"/>
    </row>
    <row r="15" spans="1:72" x14ac:dyDescent="0.15">
      <c r="A15" s="542" t="s">
        <v>358</v>
      </c>
      <c r="B15" s="542" t="s">
        <v>359</v>
      </c>
      <c r="C15" s="542" t="s">
        <v>360</v>
      </c>
      <c r="D15" s="542" t="s">
        <v>361</v>
      </c>
      <c r="E15" s="542" t="s">
        <v>362</v>
      </c>
      <c r="F15" s="542" t="s">
        <v>363</v>
      </c>
      <c r="G15" s="542" t="s">
        <v>364</v>
      </c>
      <c r="H15" s="542" t="s">
        <v>1163</v>
      </c>
      <c r="I15" s="542" t="s">
        <v>1164</v>
      </c>
      <c r="J15" s="542" t="s">
        <v>1165</v>
      </c>
      <c r="K15" s="542" t="s">
        <v>1342</v>
      </c>
      <c r="L15" s="542" t="s">
        <v>1343</v>
      </c>
      <c r="M15" s="542" t="s">
        <v>1198</v>
      </c>
      <c r="O15" s="300"/>
      <c r="P15" s="300"/>
      <c r="Q15" s="522"/>
      <c r="R15" s="522"/>
      <c r="S15" s="522"/>
      <c r="T15" s="522"/>
      <c r="U15" s="522"/>
      <c r="V15" s="522"/>
      <c r="X15" s="322" t="s">
        <v>679</v>
      </c>
      <c r="Y15" s="322">
        <v>250</v>
      </c>
      <c r="Z15" s="322" t="s">
        <v>678</v>
      </c>
      <c r="AA15" s="322">
        <v>273.10000000000002</v>
      </c>
      <c r="AB15" s="327" t="s">
        <v>677</v>
      </c>
      <c r="AC15" s="524" t="s">
        <v>1331</v>
      </c>
      <c r="AD15" s="322" t="s">
        <v>676</v>
      </c>
      <c r="AE15" s="524" t="s">
        <v>1296</v>
      </c>
      <c r="AF15" s="322">
        <v>5.2</v>
      </c>
      <c r="AG15" s="322">
        <v>5.6</v>
      </c>
      <c r="AH15" s="322">
        <v>7.1</v>
      </c>
      <c r="AI15" s="322">
        <v>8.6999999999999993</v>
      </c>
      <c r="AJ15" s="322">
        <v>8.6999999999999993</v>
      </c>
      <c r="AL15" s="313">
        <v>323.89999999999998</v>
      </c>
      <c r="AM15" s="310" t="s">
        <v>20</v>
      </c>
      <c r="AN15" s="304" t="s">
        <v>19</v>
      </c>
      <c r="AO15" s="307" t="s">
        <v>330</v>
      </c>
      <c r="AP15" s="307" t="s">
        <v>330</v>
      </c>
      <c r="AQ15" s="307" t="s">
        <v>330</v>
      </c>
      <c r="AR15" s="307" t="s">
        <v>331</v>
      </c>
      <c r="AS15" s="307" t="s">
        <v>331</v>
      </c>
      <c r="AT15" s="307"/>
      <c r="AU15" s="307"/>
      <c r="AV15" s="307" t="s">
        <v>332</v>
      </c>
      <c r="AW15" s="307" t="s">
        <v>329</v>
      </c>
      <c r="AX15" s="307" t="s">
        <v>329</v>
      </c>
      <c r="AY15" s="307" t="s">
        <v>329</v>
      </c>
      <c r="AZ15" s="307" t="s">
        <v>329</v>
      </c>
      <c r="BA15" s="306" t="s">
        <v>328</v>
      </c>
      <c r="BB15" s="307"/>
      <c r="BC15" s="307"/>
      <c r="BD15" s="307"/>
      <c r="BE15" s="307"/>
      <c r="BF15" s="307"/>
      <c r="BG15" s="307"/>
      <c r="BH15" s="307"/>
      <c r="BI15" s="307"/>
      <c r="BJ15" s="307"/>
      <c r="BK15" s="307"/>
      <c r="BL15" s="307"/>
      <c r="BM15" s="307"/>
      <c r="BN15" s="307"/>
      <c r="BO15" s="307"/>
      <c r="BP15" s="307"/>
      <c r="BQ15" s="307"/>
      <c r="BR15" s="307"/>
      <c r="BS15" s="307"/>
      <c r="BT15" s="741"/>
    </row>
    <row r="16" spans="1:72" x14ac:dyDescent="0.15">
      <c r="A16" s="575">
        <f>VLOOKUP('Fitting Seçim Aracı'!$D$3,Wrought_Fit_Chem._Comp[],2,FALSE)</f>
        <v>0.3</v>
      </c>
      <c r="B16" s="575" t="str">
        <f>VLOOKUP('Fitting Seçim Aracı'!$D$3,Wrought_Fit_Chem._Comp[],3,FALSE)</f>
        <v>0,29-1,06</v>
      </c>
      <c r="C16" s="575" t="str">
        <f>VLOOKUP('Fitting Seçim Aracı'!$D$3,Wrought_Fit_Chem._Comp[],4,FALSE)</f>
        <v>0,10 min</v>
      </c>
      <c r="D16" s="575">
        <f>VLOOKUP('Fitting Seçim Aracı'!$D$3,Wrought_Fit_Chem._Comp[],5,FALSE)</f>
        <v>5.8000000000000003E-2</v>
      </c>
      <c r="E16" s="575">
        <f>VLOOKUP('Fitting Seçim Aracı'!$D$3,Wrought_Fit_Chem._Comp[],6,FALSE)</f>
        <v>0.05</v>
      </c>
      <c r="F16" s="575">
        <f>VLOOKUP('Fitting Seçim Aracı'!$D$3,Wrought_Fit_Chem._Comp[],7,FALSE)</f>
        <v>0.4</v>
      </c>
      <c r="G16" s="575">
        <f>VLOOKUP('Fitting Seçim Aracı'!$D$3,Wrought_Fit_Chem._Comp[],8,FALSE)</f>
        <v>0.4</v>
      </c>
      <c r="H16" s="575">
        <f>VLOOKUP('Fitting Seçim Aracı'!$D$3,Wrought_Fit_Chem._Comp[],9,FALSE)</f>
        <v>0.15</v>
      </c>
      <c r="I16" s="575">
        <f>VLOOKUP('Fitting Seçim Aracı'!$D$3,Wrought_Fit_Chem._Comp[],10,FALSE)</f>
        <v>0.08</v>
      </c>
      <c r="J16" s="575">
        <f>VLOOKUP('Fitting Seçim Aracı'!$D$3,Wrought_Fit_Chem._Comp[],11,FALSE)</f>
        <v>0.4</v>
      </c>
      <c r="K16" s="575">
        <f>VLOOKUP('Fitting Seçim Aracı'!$D$3,Wrought_Fit_Chem._Comp[],12,FALSE)</f>
        <v>0.02</v>
      </c>
      <c r="L16" s="575">
        <f>VLOOKUP('Fitting Seçim Aracı'!$D$3,Wrought_Fit_Chem._Comp[],13,FALSE)</f>
        <v>0</v>
      </c>
      <c r="M16" s="575">
        <f>VLOOKUP('Fitting Seçim Aracı'!$D$3,Wrought_Fit_Chem._Comp[],14,FALSE)</f>
        <v>0</v>
      </c>
      <c r="X16" s="324" t="s">
        <v>675</v>
      </c>
      <c r="Y16" s="324">
        <v>300</v>
      </c>
      <c r="Z16" s="324" t="s">
        <v>674</v>
      </c>
      <c r="AA16" s="324">
        <v>323.89999999999998</v>
      </c>
      <c r="AB16" s="324" t="s">
        <v>672</v>
      </c>
      <c r="AC16" s="525" t="s">
        <v>1331</v>
      </c>
      <c r="AD16" s="324" t="s">
        <v>366</v>
      </c>
      <c r="AE16" s="525" t="s">
        <v>856</v>
      </c>
      <c r="AF16" s="324">
        <v>5.2</v>
      </c>
      <c r="AG16" s="324">
        <v>6.4</v>
      </c>
      <c r="AH16" s="324">
        <v>7.1</v>
      </c>
      <c r="AI16" s="324">
        <v>8.4</v>
      </c>
      <c r="AJ16" s="324">
        <v>9.5</v>
      </c>
      <c r="AL16" s="314">
        <v>355.6</v>
      </c>
      <c r="AM16" s="309" t="s">
        <v>20</v>
      </c>
      <c r="AN16" s="308" t="s">
        <v>21</v>
      </c>
      <c r="AO16" s="307" t="s">
        <v>330</v>
      </c>
      <c r="AP16" s="307" t="s">
        <v>330</v>
      </c>
      <c r="AQ16" s="307" t="s">
        <v>330</v>
      </c>
      <c r="AR16" s="307" t="s">
        <v>331</v>
      </c>
      <c r="AS16" s="307" t="s">
        <v>331</v>
      </c>
      <c r="AT16" s="307"/>
      <c r="AU16" s="307"/>
      <c r="AV16" s="307"/>
      <c r="AW16" s="307" t="s">
        <v>332</v>
      </c>
      <c r="AX16" s="307" t="s">
        <v>329</v>
      </c>
      <c r="AY16" s="307" t="s">
        <v>329</v>
      </c>
      <c r="AZ16" s="307" t="s">
        <v>329</v>
      </c>
      <c r="BA16" s="307" t="s">
        <v>329</v>
      </c>
      <c r="BB16" s="306" t="s">
        <v>328</v>
      </c>
      <c r="BC16" s="307"/>
      <c r="BD16" s="307"/>
      <c r="BE16" s="307"/>
      <c r="BF16" s="307"/>
      <c r="BG16" s="307"/>
      <c r="BH16" s="307"/>
      <c r="BI16" s="307"/>
      <c r="BJ16" s="307"/>
      <c r="BK16" s="307"/>
      <c r="BL16" s="307"/>
      <c r="BM16" s="307"/>
      <c r="BN16" s="307"/>
      <c r="BO16" s="307"/>
      <c r="BP16" s="307"/>
      <c r="BQ16" s="307"/>
      <c r="BR16" s="307"/>
      <c r="BS16" s="307"/>
      <c r="BT16" s="741"/>
    </row>
    <row r="17" spans="1:72" x14ac:dyDescent="0.15">
      <c r="X17" s="322" t="s">
        <v>673</v>
      </c>
      <c r="Y17" s="322">
        <v>350</v>
      </c>
      <c r="Z17" s="322" t="s">
        <v>673</v>
      </c>
      <c r="AA17" s="322">
        <v>355.6</v>
      </c>
      <c r="AB17" s="322" t="s">
        <v>672</v>
      </c>
      <c r="AC17" s="524" t="s">
        <v>1331</v>
      </c>
      <c r="AD17" s="322" t="s">
        <v>366</v>
      </c>
      <c r="AE17" s="524" t="s">
        <v>856</v>
      </c>
      <c r="AF17" s="322">
        <v>5.2</v>
      </c>
      <c r="AG17" s="322">
        <v>6.4</v>
      </c>
      <c r="AH17" s="322">
        <v>7.9</v>
      </c>
      <c r="AI17" s="322">
        <v>9.5</v>
      </c>
      <c r="AJ17" s="322">
        <v>10.3</v>
      </c>
      <c r="AL17" s="313">
        <v>406.4</v>
      </c>
      <c r="AM17" s="310" t="s">
        <v>23</v>
      </c>
      <c r="AN17" s="304" t="s">
        <v>22</v>
      </c>
      <c r="AO17" s="307" t="s">
        <v>330</v>
      </c>
      <c r="AP17" s="307" t="s">
        <v>330</v>
      </c>
      <c r="AQ17" s="307" t="s">
        <v>330</v>
      </c>
      <c r="AR17" s="307" t="s">
        <v>331</v>
      </c>
      <c r="AS17" s="307" t="s">
        <v>331</v>
      </c>
      <c r="AT17" s="307"/>
      <c r="AU17" s="307"/>
      <c r="AV17" s="307"/>
      <c r="AW17" s="307"/>
      <c r="AX17" s="307" t="s">
        <v>329</v>
      </c>
      <c r="AY17" s="307" t="s">
        <v>329</v>
      </c>
      <c r="AZ17" s="307" t="s">
        <v>329</v>
      </c>
      <c r="BA17" s="307" t="s">
        <v>329</v>
      </c>
      <c r="BB17" s="307" t="s">
        <v>329</v>
      </c>
      <c r="BC17" s="306" t="s">
        <v>328</v>
      </c>
      <c r="BD17" s="307"/>
      <c r="BE17" s="307"/>
      <c r="BF17" s="307"/>
      <c r="BG17" s="307"/>
      <c r="BH17" s="307"/>
      <c r="BI17" s="307"/>
      <c r="BJ17" s="307"/>
      <c r="BK17" s="307"/>
      <c r="BL17" s="307"/>
      <c r="BM17" s="307"/>
      <c r="BN17" s="307"/>
      <c r="BO17" s="307"/>
      <c r="BP17" s="307"/>
      <c r="BQ17" s="307"/>
      <c r="BR17" s="307"/>
      <c r="BS17" s="307"/>
      <c r="BT17" s="741"/>
    </row>
    <row r="18" spans="1:72" x14ac:dyDescent="0.15">
      <c r="A18" s="1086" t="s">
        <v>1390</v>
      </c>
      <c r="B18" s="1086"/>
      <c r="C18" s="299" t="str">
        <f>D3</f>
        <v>ASTM A234 WPB</v>
      </c>
      <c r="X18" s="324" t="s">
        <v>671</v>
      </c>
      <c r="Y18" s="324">
        <v>400</v>
      </c>
      <c r="Z18" s="324" t="s">
        <v>671</v>
      </c>
      <c r="AA18" s="324">
        <v>406.4</v>
      </c>
      <c r="AB18" s="324" t="s">
        <v>670</v>
      </c>
      <c r="AC18" s="525" t="s">
        <v>1330</v>
      </c>
      <c r="AD18" s="324" t="s">
        <v>367</v>
      </c>
      <c r="AE18" s="525" t="s">
        <v>856</v>
      </c>
      <c r="AF18" s="324">
        <v>5.2</v>
      </c>
      <c r="AG18" s="324">
        <v>6.4</v>
      </c>
      <c r="AH18" s="324">
        <v>7.9</v>
      </c>
      <c r="AI18" s="324">
        <v>9.5</v>
      </c>
      <c r="AJ18" s="324">
        <v>10.3</v>
      </c>
      <c r="AL18" s="314">
        <v>457</v>
      </c>
      <c r="AM18" s="309" t="s">
        <v>25</v>
      </c>
      <c r="AN18" s="308" t="s">
        <v>24</v>
      </c>
      <c r="AO18" s="307" t="s">
        <v>330</v>
      </c>
      <c r="AP18" s="307" t="s">
        <v>330</v>
      </c>
      <c r="AQ18" s="307" t="s">
        <v>330</v>
      </c>
      <c r="AR18" s="307" t="s">
        <v>331</v>
      </c>
      <c r="AS18" s="307" t="s">
        <v>331</v>
      </c>
      <c r="AT18" s="307"/>
      <c r="AU18" s="307"/>
      <c r="AV18" s="307"/>
      <c r="AW18" s="307"/>
      <c r="AX18" s="307" t="s">
        <v>332</v>
      </c>
      <c r="AY18" s="307" t="s">
        <v>329</v>
      </c>
      <c r="AZ18" s="307" t="s">
        <v>329</v>
      </c>
      <c r="BA18" s="307" t="s">
        <v>329</v>
      </c>
      <c r="BB18" s="307" t="s">
        <v>329</v>
      </c>
      <c r="BC18" s="307" t="s">
        <v>329</v>
      </c>
      <c r="BD18" s="306" t="s">
        <v>328</v>
      </c>
      <c r="BE18" s="307"/>
      <c r="BF18" s="307"/>
      <c r="BG18" s="307"/>
      <c r="BH18" s="307"/>
      <c r="BI18" s="307"/>
      <c r="BJ18" s="307"/>
      <c r="BK18" s="307"/>
      <c r="BL18" s="307"/>
      <c r="BM18" s="307"/>
      <c r="BN18" s="307"/>
      <c r="BO18" s="307"/>
      <c r="BP18" s="307"/>
      <c r="BQ18" s="307"/>
      <c r="BR18" s="307"/>
      <c r="BS18" s="307"/>
      <c r="BT18" s="741"/>
    </row>
    <row r="19" spans="1:72" x14ac:dyDescent="0.15">
      <c r="A19" s="542" t="s">
        <v>372</v>
      </c>
      <c r="B19" s="542" t="s">
        <v>373</v>
      </c>
      <c r="C19" s="542" t="s">
        <v>369</v>
      </c>
      <c r="D19" s="542" t="s">
        <v>370</v>
      </c>
      <c r="E19" s="542" t="s">
        <v>374</v>
      </c>
      <c r="F19" s="542" t="s">
        <v>375</v>
      </c>
      <c r="G19" s="542" t="s">
        <v>1321</v>
      </c>
      <c r="H19" s="542" t="s">
        <v>1288</v>
      </c>
      <c r="I19" s="542" t="s">
        <v>1287</v>
      </c>
      <c r="J19" s="542" t="s">
        <v>1286</v>
      </c>
      <c r="X19" s="322" t="s">
        <v>669</v>
      </c>
      <c r="Y19" s="322">
        <v>450</v>
      </c>
      <c r="Z19" s="322" t="s">
        <v>669</v>
      </c>
      <c r="AA19" s="322">
        <v>457</v>
      </c>
      <c r="AB19" s="322" t="s">
        <v>650</v>
      </c>
      <c r="AC19" s="524" t="s">
        <v>1330</v>
      </c>
      <c r="AD19" s="322" t="s">
        <v>368</v>
      </c>
      <c r="AE19" s="524" t="s">
        <v>856</v>
      </c>
      <c r="AF19" s="322">
        <v>5.6</v>
      </c>
      <c r="AG19" s="322">
        <v>6.4</v>
      </c>
      <c r="AH19" s="322">
        <v>7.9</v>
      </c>
      <c r="AI19" s="322">
        <v>9.5</v>
      </c>
      <c r="AJ19" s="322">
        <v>10.3</v>
      </c>
      <c r="AL19" s="313">
        <v>508</v>
      </c>
      <c r="AM19" s="310" t="s">
        <v>25</v>
      </c>
      <c r="AN19" s="304" t="s">
        <v>26</v>
      </c>
      <c r="AO19" s="307" t="s">
        <v>330</v>
      </c>
      <c r="AP19" s="307" t="s">
        <v>330</v>
      </c>
      <c r="AQ19" s="307" t="s">
        <v>330</v>
      </c>
      <c r="AR19" s="307" t="s">
        <v>331</v>
      </c>
      <c r="AS19" s="307" t="s">
        <v>331</v>
      </c>
      <c r="AT19" s="307"/>
      <c r="AU19" s="307"/>
      <c r="AV19" s="307"/>
      <c r="AW19" s="307"/>
      <c r="AX19" s="307"/>
      <c r="AY19" s="307" t="s">
        <v>329</v>
      </c>
      <c r="AZ19" s="307" t="s">
        <v>329</v>
      </c>
      <c r="BA19" s="307" t="s">
        <v>329</v>
      </c>
      <c r="BB19" s="307" t="s">
        <v>329</v>
      </c>
      <c r="BC19" s="307" t="s">
        <v>329</v>
      </c>
      <c r="BD19" s="307" t="s">
        <v>329</v>
      </c>
      <c r="BE19" s="306" t="s">
        <v>328</v>
      </c>
      <c r="BF19" s="307"/>
      <c r="BG19" s="307"/>
      <c r="BH19" s="307"/>
      <c r="BI19" s="307"/>
      <c r="BJ19" s="307"/>
      <c r="BK19" s="307"/>
      <c r="BL19" s="307"/>
      <c r="BM19" s="307"/>
      <c r="BN19" s="307"/>
      <c r="BO19" s="307"/>
      <c r="BP19" s="307"/>
      <c r="BQ19" s="307"/>
      <c r="BR19" s="307"/>
      <c r="BS19" s="307"/>
      <c r="BT19" s="741"/>
    </row>
    <row r="20" spans="1:72" x14ac:dyDescent="0.15">
      <c r="A20" s="590">
        <f>VLOOKUP($D$3,Wrought_Fit_Mech._Prop.[],2,FALSE)</f>
        <v>35000</v>
      </c>
      <c r="B20" s="590">
        <f>VLOOKUP($D$3,Wrought_Fit_Mech._Prop.[],3,FALSE)</f>
        <v>240</v>
      </c>
      <c r="C20" s="590">
        <f>VLOOKUP($D$3,Wrought_Fit_Mech._Prop.[],4,FALSE)</f>
        <v>60000</v>
      </c>
      <c r="D20" s="590">
        <f>VLOOKUP($D$3,Wrought_Fit_Mech._Prop.[],5,FALSE)</f>
        <v>415</v>
      </c>
      <c r="E20" s="590" t="str">
        <f>VLOOKUP($D$3,Wrought_Fit_Mech._Prop.[],6,FALSE)</f>
        <v>22-30</v>
      </c>
      <c r="F20" s="590">
        <f>VLOOKUP($D$3,Wrought_Fit_Mech._Prop.[],7,FALSE)</f>
        <v>0</v>
      </c>
      <c r="G20" s="590">
        <f>VLOOKUP($D$3,Wrought_Fit_Mech._Prop.[],8,FALSE)</f>
        <v>197</v>
      </c>
      <c r="H20" s="590" t="str">
        <f>VLOOKUP($D$3,Wrought_Fit_Mech._Prop.[],9,FALSE)</f>
        <v>Değer Yok</v>
      </c>
      <c r="I20" s="590" t="str">
        <f>VLOOKUP($D$3,Wrought_Fit_Mech._Prop.[],10,FALSE)</f>
        <v>Değer Yok</v>
      </c>
      <c r="J20" s="590" t="str">
        <f>VLOOKUP($D$3,Wrought_Fit_Mech._Prop.[],11,FALSE)</f>
        <v>Değer Yok</v>
      </c>
      <c r="X20" s="324" t="s">
        <v>668</v>
      </c>
      <c r="Y20" s="324">
        <v>500</v>
      </c>
      <c r="Z20" s="324" t="s">
        <v>668</v>
      </c>
      <c r="AA20" s="324">
        <v>508</v>
      </c>
      <c r="AB20" s="324" t="s">
        <v>650</v>
      </c>
      <c r="AC20" s="525" t="s">
        <v>1330</v>
      </c>
      <c r="AD20" s="324" t="s">
        <v>368</v>
      </c>
      <c r="AE20" s="525" t="s">
        <v>856</v>
      </c>
      <c r="AF20" s="324">
        <v>6.4</v>
      </c>
      <c r="AG20" s="324">
        <v>7.1</v>
      </c>
      <c r="AH20" s="324">
        <v>8.6999999999999993</v>
      </c>
      <c r="AI20" s="324">
        <v>10.3</v>
      </c>
      <c r="AJ20" s="324">
        <v>11.1</v>
      </c>
      <c r="AL20" s="314">
        <v>559</v>
      </c>
      <c r="AM20" s="309" t="s">
        <v>25</v>
      </c>
      <c r="AN20" s="308" t="s">
        <v>27</v>
      </c>
      <c r="AO20" s="307" t="s">
        <v>330</v>
      </c>
      <c r="AP20" s="307" t="s">
        <v>330</v>
      </c>
      <c r="AQ20" s="307" t="s">
        <v>330</v>
      </c>
      <c r="AR20" s="307" t="s">
        <v>331</v>
      </c>
      <c r="AS20" s="307" t="s">
        <v>331</v>
      </c>
      <c r="AT20" s="307"/>
      <c r="AU20" s="307"/>
      <c r="AV20" s="307"/>
      <c r="AW20" s="307"/>
      <c r="AX20" s="307"/>
      <c r="AY20" s="307"/>
      <c r="AZ20" s="307" t="s">
        <v>329</v>
      </c>
      <c r="BA20" s="307" t="s">
        <v>329</v>
      </c>
      <c r="BB20" s="307" t="s">
        <v>329</v>
      </c>
      <c r="BC20" s="307" t="s">
        <v>329</v>
      </c>
      <c r="BD20" s="307" t="s">
        <v>329</v>
      </c>
      <c r="BE20" s="307" t="s">
        <v>329</v>
      </c>
      <c r="BF20" s="306" t="s">
        <v>328</v>
      </c>
      <c r="BG20" s="307"/>
      <c r="BH20" s="307"/>
      <c r="BI20" s="307"/>
      <c r="BJ20" s="307"/>
      <c r="BK20" s="307"/>
      <c r="BL20" s="307"/>
      <c r="BM20" s="307"/>
      <c r="BN20" s="307"/>
      <c r="BO20" s="307"/>
      <c r="BP20" s="307"/>
      <c r="BQ20" s="307"/>
      <c r="BR20" s="307"/>
      <c r="BS20" s="307"/>
      <c r="BT20" s="741"/>
    </row>
    <row r="21" spans="1:72" x14ac:dyDescent="0.15">
      <c r="X21" s="322" t="s">
        <v>666</v>
      </c>
      <c r="Y21" s="322" t="s">
        <v>667</v>
      </c>
      <c r="Z21" s="322" t="s">
        <v>666</v>
      </c>
      <c r="AA21" s="322">
        <v>559</v>
      </c>
      <c r="AB21" s="322" t="s">
        <v>650</v>
      </c>
      <c r="AC21" s="524" t="s">
        <v>1330</v>
      </c>
      <c r="AD21" s="322" t="s">
        <v>368</v>
      </c>
      <c r="AE21" s="524" t="s">
        <v>856</v>
      </c>
      <c r="AF21" s="322">
        <v>7.1</v>
      </c>
      <c r="AG21" s="322">
        <v>7.9</v>
      </c>
      <c r="AH21" s="322">
        <v>9.5</v>
      </c>
      <c r="AI21" s="322">
        <v>11.1</v>
      </c>
      <c r="AJ21" s="322">
        <v>11.9</v>
      </c>
      <c r="AL21" s="313">
        <v>610</v>
      </c>
      <c r="AM21" s="310" t="s">
        <v>25</v>
      </c>
      <c r="AN21" s="304" t="s">
        <v>28</v>
      </c>
      <c r="AO21" s="307" t="s">
        <v>330</v>
      </c>
      <c r="AP21" s="307" t="s">
        <v>330</v>
      </c>
      <c r="AQ21" s="307" t="s">
        <v>330</v>
      </c>
      <c r="AR21" s="307" t="s">
        <v>331</v>
      </c>
      <c r="AS21" s="307" t="s">
        <v>331</v>
      </c>
      <c r="AT21" s="307"/>
      <c r="AU21" s="307"/>
      <c r="AV21" s="307"/>
      <c r="AW21" s="307"/>
      <c r="AX21" s="307"/>
      <c r="AY21" s="307" t="s">
        <v>332</v>
      </c>
      <c r="AZ21" s="307" t="s">
        <v>329</v>
      </c>
      <c r="BA21" s="307" t="s">
        <v>329</v>
      </c>
      <c r="BB21" s="307" t="s">
        <v>329</v>
      </c>
      <c r="BC21" s="307" t="s">
        <v>329</v>
      </c>
      <c r="BD21" s="307" t="s">
        <v>329</v>
      </c>
      <c r="BE21" s="307" t="s">
        <v>329</v>
      </c>
      <c r="BF21" s="307" t="s">
        <v>329</v>
      </c>
      <c r="BG21" s="306" t="s">
        <v>328</v>
      </c>
      <c r="BH21" s="307"/>
      <c r="BI21" s="307"/>
      <c r="BJ21" s="307"/>
      <c r="BK21" s="307"/>
      <c r="BL21" s="307"/>
      <c r="BM21" s="307"/>
      <c r="BN21" s="307"/>
      <c r="BO21" s="307"/>
      <c r="BP21" s="307"/>
      <c r="BQ21" s="307"/>
      <c r="BR21" s="307"/>
      <c r="BS21" s="307"/>
      <c r="BT21" s="741"/>
    </row>
    <row r="22" spans="1:72" x14ac:dyDescent="0.15">
      <c r="X22" s="324" t="s">
        <v>665</v>
      </c>
      <c r="Y22" s="324">
        <v>600</v>
      </c>
      <c r="Z22" s="324" t="s">
        <v>665</v>
      </c>
      <c r="AA22" s="324">
        <v>610</v>
      </c>
      <c r="AB22" s="324" t="s">
        <v>650</v>
      </c>
      <c r="AC22" s="525" t="s">
        <v>1330</v>
      </c>
      <c r="AD22" s="324" t="s">
        <v>368</v>
      </c>
      <c r="AE22" s="525" t="s">
        <v>856</v>
      </c>
      <c r="AF22" s="324">
        <v>7.1</v>
      </c>
      <c r="AG22" s="324">
        <v>8.6999999999999993</v>
      </c>
      <c r="AH22" s="324">
        <v>10.3</v>
      </c>
      <c r="AI22" s="324">
        <v>11.9</v>
      </c>
      <c r="AJ22" s="324">
        <v>12.7</v>
      </c>
      <c r="AL22" s="314">
        <v>762</v>
      </c>
      <c r="AM22" s="309" t="s">
        <v>25</v>
      </c>
      <c r="AN22" s="308" t="s">
        <v>29</v>
      </c>
      <c r="AO22" s="307" t="s">
        <v>330</v>
      </c>
      <c r="AP22" s="307" t="s">
        <v>330</v>
      </c>
      <c r="AQ22" s="307" t="s">
        <v>330</v>
      </c>
      <c r="AR22" s="307" t="s">
        <v>331</v>
      </c>
      <c r="AS22" s="307" t="s">
        <v>331</v>
      </c>
      <c r="AT22" s="307"/>
      <c r="AU22" s="307"/>
      <c r="AV22" s="307"/>
      <c r="AW22" s="307"/>
      <c r="AX22" s="307"/>
      <c r="AY22" s="307"/>
      <c r="AZ22" s="307" t="s">
        <v>329</v>
      </c>
      <c r="BA22" s="307" t="s">
        <v>329</v>
      </c>
      <c r="BB22" s="307" t="s">
        <v>329</v>
      </c>
      <c r="BC22" s="307" t="s">
        <v>329</v>
      </c>
      <c r="BD22" s="307" t="s">
        <v>329</v>
      </c>
      <c r="BE22" s="307" t="s">
        <v>329</v>
      </c>
      <c r="BF22" s="307" t="s">
        <v>329</v>
      </c>
      <c r="BG22" s="307" t="s">
        <v>329</v>
      </c>
      <c r="BH22" s="306" t="s">
        <v>328</v>
      </c>
      <c r="BI22" s="307"/>
      <c r="BJ22" s="307"/>
      <c r="BK22" s="307"/>
      <c r="BL22" s="307"/>
      <c r="BM22" s="307"/>
      <c r="BN22" s="307"/>
      <c r="BO22" s="307"/>
      <c r="BP22" s="307"/>
      <c r="BQ22" s="307"/>
      <c r="BR22" s="307"/>
      <c r="BS22" s="307"/>
      <c r="BT22" s="741"/>
    </row>
    <row r="23" spans="1:72" x14ac:dyDescent="0.15">
      <c r="A23" s="1086" t="s">
        <v>1391</v>
      </c>
      <c r="B23" s="1086"/>
      <c r="C23" s="521" t="str">
        <f>D4</f>
        <v>ASTM A860 WPHY46</v>
      </c>
      <c r="D23" s="521"/>
      <c r="E23" s="521"/>
      <c r="F23" s="521"/>
      <c r="G23" s="521"/>
      <c r="H23" s="521"/>
      <c r="I23" s="521"/>
      <c r="J23" s="521"/>
      <c r="K23" s="521"/>
      <c r="L23" s="521"/>
      <c r="M23" s="521"/>
      <c r="X23" s="322" t="s">
        <v>664</v>
      </c>
      <c r="Y23" s="322">
        <v>750</v>
      </c>
      <c r="Z23" s="322" t="s">
        <v>664</v>
      </c>
      <c r="AA23" s="322">
        <v>762</v>
      </c>
      <c r="AB23" s="322" t="s">
        <v>663</v>
      </c>
      <c r="AC23" s="524" t="s">
        <v>1330</v>
      </c>
      <c r="AD23" s="322" t="s">
        <v>368</v>
      </c>
      <c r="AE23" s="524" t="s">
        <v>1297</v>
      </c>
      <c r="AF23" s="322">
        <v>9.5</v>
      </c>
      <c r="AG23" s="322">
        <v>11.1</v>
      </c>
      <c r="AH23" s="322">
        <v>12.7</v>
      </c>
      <c r="AI23" s="322">
        <v>14.3</v>
      </c>
      <c r="AJ23" s="322">
        <v>15.9</v>
      </c>
      <c r="AL23" s="313">
        <v>813</v>
      </c>
      <c r="AM23" s="310" t="s">
        <v>25</v>
      </c>
      <c r="AN23" s="304" t="s">
        <v>30</v>
      </c>
      <c r="AO23" s="307" t="s">
        <v>330</v>
      </c>
      <c r="AP23" s="307" t="s">
        <v>330</v>
      </c>
      <c r="AQ23" s="307" t="s">
        <v>330</v>
      </c>
      <c r="AR23" s="307" t="s">
        <v>331</v>
      </c>
      <c r="AS23" s="307" t="s">
        <v>331</v>
      </c>
      <c r="AT23" s="307"/>
      <c r="AU23" s="307"/>
      <c r="AV23" s="307"/>
      <c r="AW23" s="307"/>
      <c r="AX23" s="307"/>
      <c r="AY23" s="307"/>
      <c r="AZ23" s="307"/>
      <c r="BA23" s="307" t="s">
        <v>332</v>
      </c>
      <c r="BB23" s="307" t="s">
        <v>329</v>
      </c>
      <c r="BC23" s="307" t="s">
        <v>329</v>
      </c>
      <c r="BD23" s="307" t="s">
        <v>329</v>
      </c>
      <c r="BE23" s="307" t="s">
        <v>329</v>
      </c>
      <c r="BF23" s="307" t="s">
        <v>329</v>
      </c>
      <c r="BG23" s="307" t="s">
        <v>329</v>
      </c>
      <c r="BH23" s="307" t="s">
        <v>329</v>
      </c>
      <c r="BI23" s="306" t="s">
        <v>328</v>
      </c>
      <c r="BJ23" s="307"/>
      <c r="BK23" s="307"/>
      <c r="BL23" s="307"/>
      <c r="BM23" s="307"/>
      <c r="BN23" s="307"/>
      <c r="BO23" s="307"/>
      <c r="BP23" s="307"/>
      <c r="BQ23" s="307"/>
      <c r="BR23" s="307"/>
      <c r="BS23" s="307"/>
      <c r="BT23" s="741"/>
    </row>
    <row r="24" spans="1:72" x14ac:dyDescent="0.15">
      <c r="A24" s="542" t="s">
        <v>358</v>
      </c>
      <c r="B24" s="542" t="s">
        <v>359</v>
      </c>
      <c r="C24" s="542" t="s">
        <v>360</v>
      </c>
      <c r="D24" s="542" t="s">
        <v>361</v>
      </c>
      <c r="E24" s="542" t="s">
        <v>362</v>
      </c>
      <c r="F24" s="542" t="s">
        <v>363</v>
      </c>
      <c r="G24" s="542" t="s">
        <v>364</v>
      </c>
      <c r="H24" s="542" t="s">
        <v>1163</v>
      </c>
      <c r="I24" s="542" t="s">
        <v>1164</v>
      </c>
      <c r="J24" s="542" t="s">
        <v>1165</v>
      </c>
      <c r="K24" s="542" t="s">
        <v>1342</v>
      </c>
      <c r="L24" s="542" t="s">
        <v>1343</v>
      </c>
      <c r="M24" s="542" t="s">
        <v>1198</v>
      </c>
      <c r="X24" s="324" t="s">
        <v>662</v>
      </c>
      <c r="Y24" s="324">
        <v>800</v>
      </c>
      <c r="Z24" s="324" t="s">
        <v>662</v>
      </c>
      <c r="AA24" s="324">
        <v>813</v>
      </c>
      <c r="AB24" s="324" t="s">
        <v>650</v>
      </c>
      <c r="AC24" s="525" t="s">
        <v>1330</v>
      </c>
      <c r="AD24" s="324" t="s">
        <v>368</v>
      </c>
      <c r="AE24" s="525" t="s">
        <v>1297</v>
      </c>
      <c r="AF24" s="324">
        <v>9.5</v>
      </c>
      <c r="AG24" s="324">
        <v>11.9</v>
      </c>
      <c r="AH24" s="324">
        <v>14.3</v>
      </c>
      <c r="AI24" s="324">
        <v>15.9</v>
      </c>
      <c r="AJ24" s="324">
        <v>17.5</v>
      </c>
      <c r="AL24" s="314">
        <v>864</v>
      </c>
      <c r="AM24" s="309" t="s">
        <v>25</v>
      </c>
      <c r="AN24" s="308" t="s">
        <v>31</v>
      </c>
      <c r="AO24" s="307" t="s">
        <v>330</v>
      </c>
      <c r="AP24" s="307" t="s">
        <v>330</v>
      </c>
      <c r="AQ24" s="307" t="s">
        <v>330</v>
      </c>
      <c r="AR24" s="307" t="s">
        <v>331</v>
      </c>
      <c r="AS24" s="307" t="s">
        <v>331</v>
      </c>
      <c r="AT24" s="307"/>
      <c r="AU24" s="307"/>
      <c r="AV24" s="307"/>
      <c r="AW24" s="307"/>
      <c r="AX24" s="307"/>
      <c r="AY24" s="307"/>
      <c r="AZ24" s="307"/>
      <c r="BA24" s="307" t="s">
        <v>332</v>
      </c>
      <c r="BB24" s="307"/>
      <c r="BC24" s="307" t="s">
        <v>329</v>
      </c>
      <c r="BD24" s="307" t="s">
        <v>329</v>
      </c>
      <c r="BE24" s="307" t="s">
        <v>329</v>
      </c>
      <c r="BF24" s="307" t="s">
        <v>329</v>
      </c>
      <c r="BG24" s="307" t="s">
        <v>329</v>
      </c>
      <c r="BH24" s="307" t="s">
        <v>329</v>
      </c>
      <c r="BI24" s="307" t="s">
        <v>329</v>
      </c>
      <c r="BJ24" s="306" t="s">
        <v>328</v>
      </c>
      <c r="BK24" s="307"/>
      <c r="BL24" s="307"/>
      <c r="BM24" s="307"/>
      <c r="BN24" s="307"/>
      <c r="BO24" s="307"/>
      <c r="BP24" s="307"/>
      <c r="BQ24" s="307"/>
      <c r="BR24" s="307"/>
      <c r="BS24" s="307"/>
      <c r="BT24" s="741"/>
    </row>
    <row r="25" spans="1:72" x14ac:dyDescent="0.15">
      <c r="A25" s="574" t="str">
        <f>VLOOKUP('Fitting Seçim Aracı'!$D$4,Wrought_Fit_Chem._Comp[],2,FALSE)</f>
        <v>≤0.20*A</v>
      </c>
      <c r="B25" s="574" t="str">
        <f>VLOOKUP('Fitting Seçim Aracı'!$D$4,Wrought_Fit_Chem._Comp[],3,FALSE)</f>
        <v>1.00-1.45</v>
      </c>
      <c r="C25" s="574" t="str">
        <f>VLOOKUP('Fitting Seçim Aracı'!$D$4,Wrought_Fit_Chem._Comp[],4,FALSE)</f>
        <v>0.15-0.40*B</v>
      </c>
      <c r="D25" s="574" t="str">
        <f>VLOOKUP('Fitting Seçim Aracı'!$D$4,Wrought_Fit_Chem._Comp[],5,FALSE)</f>
        <v>≤0.010</v>
      </c>
      <c r="E25" s="574" t="str">
        <f>VLOOKUP('Fitting Seçim Aracı'!$D$4,Wrought_Fit_Chem._Comp[],6,FALSE)</f>
        <v>≤0.030</v>
      </c>
      <c r="F25" s="574" t="str">
        <f>VLOOKUP('Fitting Seçim Aracı'!$D$4,Wrought_Fit_Chem._Comp[],7,FALSE)</f>
        <v>≤0.30*C</v>
      </c>
      <c r="G25" s="574" t="str">
        <f>VLOOKUP('Fitting Seçim Aracı'!$D$4,Wrought_Fit_Chem._Comp[],8,FALSE)</f>
        <v>≤0.50*C</v>
      </c>
      <c r="H25" s="574" t="str">
        <f>VLOOKUP('Fitting Seçim Aracı'!$D$4,Wrought_Fit_Chem._Comp[],9,FALSE)</f>
        <v>≤0.25*C</v>
      </c>
      <c r="I25" s="574" t="str">
        <f>VLOOKUP('Fitting Seçim Aracı'!$D$4,Wrought_Fit_Chem._Comp[],10,FALSE)</f>
        <v>≤0.10</v>
      </c>
      <c r="J25" s="574" t="str">
        <f>VLOOKUP('Fitting Seçim Aracı'!$D$4,Wrought_Fit_Chem._Comp[],11,FALSE)</f>
        <v>≤0.35*C</v>
      </c>
      <c r="K25" s="574" t="str">
        <f>VLOOKUP('Fitting Seçim Aracı'!$D$4,Wrought_Fit_Chem._Comp[],12,FALSE)</f>
        <v>≤0.04</v>
      </c>
      <c r="L25" s="574" t="str">
        <f>VLOOKUP('Fitting Seçim Aracı'!$D$4,Wrought_Fit_Chem._Comp[],13,FALSE)</f>
        <v>≤0.06</v>
      </c>
      <c r="M25" s="574">
        <f>VLOOKUP('Fitting Seçim Aracı'!$D$4,Wrought_Fit_Chem._Comp[],14,FALSE)</f>
        <v>0</v>
      </c>
      <c r="X25" s="322" t="s">
        <v>661</v>
      </c>
      <c r="Y25" s="322">
        <v>850</v>
      </c>
      <c r="Z25" s="322" t="s">
        <v>661</v>
      </c>
      <c r="AA25" s="322">
        <v>864</v>
      </c>
      <c r="AB25" s="322" t="s">
        <v>650</v>
      </c>
      <c r="AC25" s="524" t="s">
        <v>1330</v>
      </c>
      <c r="AD25" s="322" t="s">
        <v>368</v>
      </c>
      <c r="AE25" s="524" t="s">
        <v>1297</v>
      </c>
      <c r="AF25" s="322">
        <v>10.3</v>
      </c>
      <c r="AG25" s="322">
        <v>12.7</v>
      </c>
      <c r="AH25" s="322">
        <v>15.9</v>
      </c>
      <c r="AI25" s="322">
        <v>15.9</v>
      </c>
      <c r="AJ25" s="322">
        <v>17.5</v>
      </c>
      <c r="AL25" s="313">
        <v>914</v>
      </c>
      <c r="AM25" s="310" t="s">
        <v>25</v>
      </c>
      <c r="AN25" s="304" t="s">
        <v>32</v>
      </c>
      <c r="AO25" s="307" t="s">
        <v>330</v>
      </c>
      <c r="AP25" s="307" t="s">
        <v>330</v>
      </c>
      <c r="AQ25" s="307" t="s">
        <v>330</v>
      </c>
      <c r="AR25" s="307" t="s">
        <v>331</v>
      </c>
      <c r="AS25" s="307" t="s">
        <v>331</v>
      </c>
      <c r="AT25" s="307"/>
      <c r="AU25" s="307"/>
      <c r="AV25" s="307"/>
      <c r="AW25" s="307"/>
      <c r="AX25" s="307"/>
      <c r="AY25" s="307"/>
      <c r="AZ25" s="307"/>
      <c r="BA25" s="307" t="s">
        <v>332</v>
      </c>
      <c r="BB25" s="307"/>
      <c r="BC25" s="307" t="s">
        <v>329</v>
      </c>
      <c r="BD25" s="307" t="s">
        <v>329</v>
      </c>
      <c r="BE25" s="307" t="s">
        <v>329</v>
      </c>
      <c r="BF25" s="307" t="s">
        <v>329</v>
      </c>
      <c r="BG25" s="307" t="s">
        <v>329</v>
      </c>
      <c r="BH25" s="307" t="s">
        <v>329</v>
      </c>
      <c r="BI25" s="307" t="s">
        <v>329</v>
      </c>
      <c r="BJ25" s="307" t="s">
        <v>329</v>
      </c>
      <c r="BK25" s="306" t="s">
        <v>328</v>
      </c>
      <c r="BL25" s="307"/>
      <c r="BM25" s="307"/>
      <c r="BN25" s="307"/>
      <c r="BO25" s="307"/>
      <c r="BP25" s="307"/>
      <c r="BQ25" s="307"/>
      <c r="BR25" s="307"/>
      <c r="BS25" s="307"/>
      <c r="BT25" s="741"/>
    </row>
    <row r="26" spans="1:72" x14ac:dyDescent="0.15">
      <c r="A26" s="521"/>
      <c r="B26" s="521"/>
      <c r="C26" s="521"/>
      <c r="D26" s="521"/>
      <c r="E26" s="521"/>
      <c r="F26" s="521"/>
      <c r="G26" s="521"/>
      <c r="H26" s="521"/>
      <c r="I26" s="521"/>
      <c r="J26" s="521"/>
      <c r="K26" s="521"/>
      <c r="L26" s="521"/>
      <c r="M26" s="521"/>
      <c r="X26" s="324" t="s">
        <v>660</v>
      </c>
      <c r="Y26" s="324">
        <v>900</v>
      </c>
      <c r="Z26" s="324" t="s">
        <v>660</v>
      </c>
      <c r="AA26" s="324">
        <v>914</v>
      </c>
      <c r="AB26" s="324" t="s">
        <v>650</v>
      </c>
      <c r="AC26" s="525" t="s">
        <v>1330</v>
      </c>
      <c r="AD26" s="324" t="s">
        <v>368</v>
      </c>
      <c r="AE26" s="525" t="s">
        <v>1297</v>
      </c>
      <c r="AF26" s="324">
        <v>11.1</v>
      </c>
      <c r="AG26" s="324">
        <v>12.7</v>
      </c>
      <c r="AH26" s="324">
        <v>15.9</v>
      </c>
      <c r="AI26" s="324">
        <v>17.5</v>
      </c>
      <c r="AJ26" s="324">
        <v>19.100000000000001</v>
      </c>
      <c r="AL26" s="314">
        <v>965</v>
      </c>
      <c r="AM26" s="309" t="s">
        <v>25</v>
      </c>
      <c r="AN26" s="308" t="s">
        <v>33</v>
      </c>
      <c r="AO26" s="307" t="s">
        <v>330</v>
      </c>
      <c r="AP26" s="307" t="s">
        <v>330</v>
      </c>
      <c r="AQ26" s="307" t="s">
        <v>330</v>
      </c>
      <c r="AR26" s="307" t="s">
        <v>331</v>
      </c>
      <c r="AS26" s="307" t="s">
        <v>331</v>
      </c>
      <c r="AT26" s="307"/>
      <c r="AU26" s="307"/>
      <c r="AV26" s="307"/>
      <c r="AW26" s="307"/>
      <c r="AX26" s="307"/>
      <c r="AY26" s="307"/>
      <c r="AZ26" s="307"/>
      <c r="BA26" s="307"/>
      <c r="BB26" s="307" t="s">
        <v>332</v>
      </c>
      <c r="BC26" s="307"/>
      <c r="BD26" s="307" t="s">
        <v>329</v>
      </c>
      <c r="BE26" s="307" t="s">
        <v>329</v>
      </c>
      <c r="BF26" s="307" t="s">
        <v>329</v>
      </c>
      <c r="BG26" s="307" t="s">
        <v>329</v>
      </c>
      <c r="BH26" s="307" t="s">
        <v>329</v>
      </c>
      <c r="BI26" s="307" t="s">
        <v>329</v>
      </c>
      <c r="BJ26" s="307" t="s">
        <v>329</v>
      </c>
      <c r="BK26" s="307" t="s">
        <v>329</v>
      </c>
      <c r="BL26" s="306" t="s">
        <v>328</v>
      </c>
      <c r="BM26" s="307"/>
      <c r="BN26" s="307"/>
      <c r="BO26" s="307"/>
      <c r="BP26" s="307"/>
      <c r="BQ26" s="307"/>
      <c r="BR26" s="307"/>
      <c r="BS26" s="307"/>
      <c r="BT26" s="741"/>
    </row>
    <row r="27" spans="1:72" x14ac:dyDescent="0.15">
      <c r="A27" s="1086" t="s">
        <v>1392</v>
      </c>
      <c r="B27" s="1086"/>
      <c r="C27" s="521" t="str">
        <f>D4</f>
        <v>ASTM A860 WPHY46</v>
      </c>
      <c r="D27" s="521"/>
      <c r="E27" s="521"/>
      <c r="F27" s="521"/>
      <c r="G27" s="521"/>
      <c r="H27" s="521"/>
      <c r="I27" s="521"/>
      <c r="J27" s="521"/>
      <c r="K27" s="521"/>
      <c r="L27" s="521"/>
      <c r="M27" s="521"/>
      <c r="X27" s="322" t="s">
        <v>659</v>
      </c>
      <c r="Y27" s="322">
        <v>950</v>
      </c>
      <c r="Z27" s="322" t="s">
        <v>659</v>
      </c>
      <c r="AA27" s="322">
        <v>965</v>
      </c>
      <c r="AB27" s="322" t="s">
        <v>650</v>
      </c>
      <c r="AC27" s="524" t="s">
        <v>1330</v>
      </c>
      <c r="AD27" s="322" t="s">
        <v>368</v>
      </c>
      <c r="AE27" s="524" t="s">
        <v>1297</v>
      </c>
      <c r="AF27" s="322">
        <v>11.9</v>
      </c>
      <c r="AG27" s="322">
        <v>14.3</v>
      </c>
      <c r="AH27" s="322">
        <v>17.5</v>
      </c>
      <c r="AI27" s="322">
        <v>19.100000000000001</v>
      </c>
      <c r="AJ27" s="322">
        <v>20.6</v>
      </c>
      <c r="AL27" s="313">
        <v>1016</v>
      </c>
      <c r="AM27" s="310" t="s">
        <v>25</v>
      </c>
      <c r="AN27" s="304" t="s">
        <v>34</v>
      </c>
      <c r="AO27" s="307" t="s">
        <v>330</v>
      </c>
      <c r="AP27" s="307" t="s">
        <v>330</v>
      </c>
      <c r="AQ27" s="307" t="s">
        <v>330</v>
      </c>
      <c r="AR27" s="307" t="s">
        <v>331</v>
      </c>
      <c r="AS27" s="307" t="s">
        <v>331</v>
      </c>
      <c r="AT27" s="307"/>
      <c r="AU27" s="307"/>
      <c r="AV27" s="307"/>
      <c r="AW27" s="307"/>
      <c r="AX27" s="307"/>
      <c r="AY27" s="307"/>
      <c r="AZ27" s="307"/>
      <c r="BA27" s="307"/>
      <c r="BB27" s="307" t="s">
        <v>332</v>
      </c>
      <c r="BC27" s="307"/>
      <c r="BD27" s="307" t="s">
        <v>329</v>
      </c>
      <c r="BE27" s="307" t="s">
        <v>329</v>
      </c>
      <c r="BF27" s="307" t="s">
        <v>329</v>
      </c>
      <c r="BG27" s="307" t="s">
        <v>329</v>
      </c>
      <c r="BH27" s="307" t="s">
        <v>329</v>
      </c>
      <c r="BI27" s="307" t="s">
        <v>329</v>
      </c>
      <c r="BJ27" s="307" t="s">
        <v>329</v>
      </c>
      <c r="BK27" s="307" t="s">
        <v>329</v>
      </c>
      <c r="BL27" s="307" t="s">
        <v>329</v>
      </c>
      <c r="BM27" s="306" t="s">
        <v>328</v>
      </c>
      <c r="BN27" s="307"/>
      <c r="BO27" s="307"/>
      <c r="BP27" s="307"/>
      <c r="BQ27" s="307"/>
      <c r="BR27" s="307"/>
      <c r="BS27" s="307"/>
      <c r="BT27" s="741"/>
    </row>
    <row r="28" spans="1:72" x14ac:dyDescent="0.15">
      <c r="A28" s="542" t="s">
        <v>372</v>
      </c>
      <c r="B28" s="542" t="s">
        <v>373</v>
      </c>
      <c r="C28" s="542" t="s">
        <v>369</v>
      </c>
      <c r="D28" s="542" t="s">
        <v>370</v>
      </c>
      <c r="E28" s="542" t="s">
        <v>374</v>
      </c>
      <c r="F28" s="542" t="s">
        <v>375</v>
      </c>
      <c r="G28" s="542" t="s">
        <v>1321</v>
      </c>
      <c r="H28" s="542" t="s">
        <v>1288</v>
      </c>
      <c r="I28" s="542" t="s">
        <v>1287</v>
      </c>
      <c r="J28" s="542" t="s">
        <v>1286</v>
      </c>
      <c r="K28" s="521"/>
      <c r="L28" s="521"/>
      <c r="M28" s="521"/>
      <c r="X28" s="324" t="s">
        <v>658</v>
      </c>
      <c r="Y28" s="329">
        <v>1000</v>
      </c>
      <c r="Z28" s="324" t="s">
        <v>658</v>
      </c>
      <c r="AA28" s="329">
        <v>1016</v>
      </c>
      <c r="AB28" s="324" t="s">
        <v>650</v>
      </c>
      <c r="AC28" s="525" t="s">
        <v>1330</v>
      </c>
      <c r="AD28" s="324" t="s">
        <v>368</v>
      </c>
      <c r="AE28" s="525" t="s">
        <v>1297</v>
      </c>
      <c r="AF28" s="324">
        <v>11.9</v>
      </c>
      <c r="AG28" s="324">
        <v>14.3</v>
      </c>
      <c r="AH28" s="324">
        <v>17.5</v>
      </c>
      <c r="AI28" s="324">
        <v>19.100000000000001</v>
      </c>
      <c r="AJ28" s="324">
        <v>20.6</v>
      </c>
      <c r="AL28" s="314">
        <v>1067</v>
      </c>
      <c r="AM28" s="309" t="s">
        <v>25</v>
      </c>
      <c r="AN28" s="308" t="s">
        <v>35</v>
      </c>
      <c r="AO28" s="307" t="s">
        <v>330</v>
      </c>
      <c r="AP28" s="307" t="s">
        <v>330</v>
      </c>
      <c r="AQ28" s="307" t="s">
        <v>330</v>
      </c>
      <c r="AR28" s="307" t="s">
        <v>331</v>
      </c>
      <c r="AS28" s="307" t="s">
        <v>331</v>
      </c>
      <c r="AT28" s="307"/>
      <c r="AU28" s="307"/>
      <c r="AV28" s="307"/>
      <c r="AW28" s="307"/>
      <c r="AX28" s="307"/>
      <c r="AY28" s="307"/>
      <c r="AZ28" s="307"/>
      <c r="BA28" s="307"/>
      <c r="BB28" s="307" t="s">
        <v>332</v>
      </c>
      <c r="BC28" s="307" t="s">
        <v>329</v>
      </c>
      <c r="BD28" s="307" t="s">
        <v>329</v>
      </c>
      <c r="BE28" s="307" t="s">
        <v>329</v>
      </c>
      <c r="BF28" s="307" t="s">
        <v>329</v>
      </c>
      <c r="BG28" s="307" t="s">
        <v>329</v>
      </c>
      <c r="BH28" s="307" t="s">
        <v>329</v>
      </c>
      <c r="BI28" s="307" t="s">
        <v>329</v>
      </c>
      <c r="BJ28" s="307" t="s">
        <v>329</v>
      </c>
      <c r="BK28" s="307" t="s">
        <v>329</v>
      </c>
      <c r="BL28" s="307" t="s">
        <v>329</v>
      </c>
      <c r="BM28" s="307" t="s">
        <v>329</v>
      </c>
      <c r="BN28" s="306" t="s">
        <v>328</v>
      </c>
      <c r="BO28" s="307"/>
      <c r="BP28" s="307"/>
      <c r="BQ28" s="307"/>
      <c r="BR28" s="307"/>
      <c r="BS28" s="307"/>
      <c r="BT28" s="741"/>
    </row>
    <row r="29" spans="1:72" x14ac:dyDescent="0.15">
      <c r="A29" s="580">
        <f>VLOOKUP($D$4,Wrought_Fit_Mech._Prop.[],2,FALSE)</f>
        <v>46000</v>
      </c>
      <c r="B29" s="580">
        <f>VLOOKUP($D$4,Wrought_Fit_Mech._Prop.[],3,FALSE)</f>
        <v>315</v>
      </c>
      <c r="C29" s="580" t="str">
        <f>VLOOKUP($D$4,Wrought_Fit_Mech._Prop.[],4,FALSE)</f>
        <v>63000-88000</v>
      </c>
      <c r="D29" s="580" t="str">
        <f>VLOOKUP($D$4,Wrought_Fit_Mech._Prop.[],5,FALSE)</f>
        <v>435-605</v>
      </c>
      <c r="E29" s="580">
        <f>VLOOKUP($D$4,Wrought_Fit_Mech._Prop.[],6,FALSE)</f>
        <v>32</v>
      </c>
      <c r="F29" s="580">
        <f>VLOOKUP($D$4,Wrought_Fit_Mech._Prop.[],7,FALSE)</f>
        <v>0</v>
      </c>
      <c r="G29" s="580">
        <f>VLOOKUP($D$4,Wrought_Fit_Mech._Prop.[],8,FALSE)</f>
        <v>235</v>
      </c>
      <c r="H29" s="580">
        <f>VLOOKUP($D$4,Wrought_Fit_Mech._Prop.[],9,FALSE)</f>
        <v>40</v>
      </c>
      <c r="I29" s="580">
        <f>VLOOKUP($D$4,Wrought_Fit_Mech._Prop.[],10,FALSE)</f>
        <v>34</v>
      </c>
      <c r="J29" s="580">
        <f>VLOOKUP($D$4,Wrought_Fit_Mech._Prop.[],11,FALSE)</f>
        <v>-46</v>
      </c>
      <c r="K29" s="521"/>
      <c r="L29" s="521"/>
      <c r="M29" s="521"/>
      <c r="X29" s="322" t="s">
        <v>657</v>
      </c>
      <c r="Y29" s="323">
        <v>1050</v>
      </c>
      <c r="Z29" s="322" t="s">
        <v>657</v>
      </c>
      <c r="AA29" s="323">
        <v>1067</v>
      </c>
      <c r="AB29" s="322" t="s">
        <v>650</v>
      </c>
      <c r="AC29" s="524" t="s">
        <v>1330</v>
      </c>
      <c r="AD29" s="322" t="s">
        <v>368</v>
      </c>
      <c r="AE29" s="524" t="s">
        <v>1297</v>
      </c>
      <c r="AF29" s="322">
        <v>12.7</v>
      </c>
      <c r="AG29" s="322">
        <v>15.9</v>
      </c>
      <c r="AH29" s="322">
        <v>19.100000000000001</v>
      </c>
      <c r="AI29" s="322">
        <v>20.6</v>
      </c>
      <c r="AJ29" s="322">
        <v>22.2</v>
      </c>
      <c r="AL29" s="313">
        <v>1118</v>
      </c>
      <c r="AM29" s="310" t="s">
        <v>25</v>
      </c>
      <c r="AN29" s="304" t="s">
        <v>36</v>
      </c>
      <c r="AO29" s="307" t="s">
        <v>330</v>
      </c>
      <c r="AP29" s="307" t="s">
        <v>330</v>
      </c>
      <c r="AQ29" s="307" t="s">
        <v>330</v>
      </c>
      <c r="AR29" s="307" t="s">
        <v>331</v>
      </c>
      <c r="AS29" s="307" t="s">
        <v>331</v>
      </c>
      <c r="AT29" s="307"/>
      <c r="AU29" s="307"/>
      <c r="AV29" s="307"/>
      <c r="AW29" s="307"/>
      <c r="AX29" s="307"/>
      <c r="AY29" s="307"/>
      <c r="AZ29" s="307"/>
      <c r="BA29" s="307"/>
      <c r="BB29" s="307"/>
      <c r="BC29" s="307" t="s">
        <v>332</v>
      </c>
      <c r="BD29" s="307"/>
      <c r="BE29" s="307" t="s">
        <v>329</v>
      </c>
      <c r="BF29" s="307" t="s">
        <v>329</v>
      </c>
      <c r="BG29" s="307" t="s">
        <v>329</v>
      </c>
      <c r="BH29" s="307" t="s">
        <v>329</v>
      </c>
      <c r="BI29" s="307" t="s">
        <v>329</v>
      </c>
      <c r="BJ29" s="307" t="s">
        <v>329</v>
      </c>
      <c r="BK29" s="307" t="s">
        <v>329</v>
      </c>
      <c r="BL29" s="307" t="s">
        <v>329</v>
      </c>
      <c r="BM29" s="307" t="s">
        <v>329</v>
      </c>
      <c r="BN29" s="307" t="s">
        <v>329</v>
      </c>
      <c r="BO29" s="306" t="s">
        <v>328</v>
      </c>
      <c r="BP29" s="307"/>
      <c r="BQ29" s="307"/>
      <c r="BR29" s="307"/>
      <c r="BS29" s="307"/>
      <c r="BT29" s="741"/>
    </row>
    <row r="30" spans="1:72" x14ac:dyDescent="0.15">
      <c r="X30" s="324" t="s">
        <v>656</v>
      </c>
      <c r="Y30" s="329">
        <v>1100</v>
      </c>
      <c r="Z30" s="324" t="s">
        <v>656</v>
      </c>
      <c r="AA30" s="329">
        <v>1118</v>
      </c>
      <c r="AB30" s="324" t="s">
        <v>650</v>
      </c>
      <c r="AC30" s="525" t="s">
        <v>1330</v>
      </c>
      <c r="AD30" s="324" t="s">
        <v>368</v>
      </c>
      <c r="AE30" s="525" t="s">
        <v>1297</v>
      </c>
      <c r="AF30" s="324">
        <v>14.3</v>
      </c>
      <c r="AG30" s="324">
        <v>15.9</v>
      </c>
      <c r="AH30" s="324">
        <v>19.100000000000001</v>
      </c>
      <c r="AI30" s="324">
        <v>20.6</v>
      </c>
      <c r="AJ30" s="324">
        <v>22.2</v>
      </c>
      <c r="AL30" s="314">
        <v>1168</v>
      </c>
      <c r="AM30" s="309" t="s">
        <v>25</v>
      </c>
      <c r="AN30" s="308" t="s">
        <v>37</v>
      </c>
      <c r="AO30" s="307" t="s">
        <v>330</v>
      </c>
      <c r="AP30" s="307" t="s">
        <v>330</v>
      </c>
      <c r="AQ30" s="307" t="s">
        <v>330</v>
      </c>
      <c r="AR30" s="307" t="s">
        <v>331</v>
      </c>
      <c r="AS30" s="307" t="s">
        <v>331</v>
      </c>
      <c r="AT30" s="307"/>
      <c r="AU30" s="307"/>
      <c r="AV30" s="307"/>
      <c r="AW30" s="307"/>
      <c r="AX30" s="307"/>
      <c r="AY30" s="307"/>
      <c r="AZ30" s="307"/>
      <c r="BA30" s="307"/>
      <c r="BB30" s="307"/>
      <c r="BC30" s="307" t="s">
        <v>332</v>
      </c>
      <c r="BD30" s="307"/>
      <c r="BE30" s="307"/>
      <c r="BF30" s="307" t="s">
        <v>329</v>
      </c>
      <c r="BG30" s="307" t="s">
        <v>329</v>
      </c>
      <c r="BH30" s="307" t="s">
        <v>329</v>
      </c>
      <c r="BI30" s="307" t="s">
        <v>329</v>
      </c>
      <c r="BJ30" s="307" t="s">
        <v>329</v>
      </c>
      <c r="BK30" s="307" t="s">
        <v>329</v>
      </c>
      <c r="BL30" s="307" t="s">
        <v>329</v>
      </c>
      <c r="BM30" s="307" t="s">
        <v>329</v>
      </c>
      <c r="BN30" s="307" t="s">
        <v>329</v>
      </c>
      <c r="BO30" s="307" t="s">
        <v>329</v>
      </c>
      <c r="BP30" s="306" t="s">
        <v>328</v>
      </c>
      <c r="BQ30" s="307"/>
      <c r="BR30" s="307"/>
      <c r="BS30" s="307"/>
      <c r="BT30" s="741"/>
    </row>
    <row r="31" spans="1:72" x14ac:dyDescent="0.15">
      <c r="A31" s="1086" t="s">
        <v>1394</v>
      </c>
      <c r="B31" s="1086"/>
      <c r="C31" s="521" t="str">
        <f>D5</f>
        <v>ASTM A860 WPHY52</v>
      </c>
      <c r="D31" s="521"/>
      <c r="E31" s="521"/>
      <c r="F31" s="521"/>
      <c r="G31" s="521"/>
      <c r="H31" s="521"/>
      <c r="I31" s="521"/>
      <c r="J31" s="521"/>
      <c r="K31" s="521"/>
      <c r="L31" s="521"/>
      <c r="M31" s="521"/>
      <c r="X31" s="322" t="s">
        <v>655</v>
      </c>
      <c r="Y31" s="323">
        <v>1150</v>
      </c>
      <c r="Z31" s="322" t="s">
        <v>655</v>
      </c>
      <c r="AA31" s="323">
        <v>1168</v>
      </c>
      <c r="AB31" s="322" t="s">
        <v>650</v>
      </c>
      <c r="AC31" s="524" t="s">
        <v>1330</v>
      </c>
      <c r="AD31" s="322" t="s">
        <v>368</v>
      </c>
      <c r="AE31" s="524" t="s">
        <v>1297</v>
      </c>
      <c r="AF31" s="322">
        <v>14.3</v>
      </c>
      <c r="AG31" s="322">
        <v>17.5</v>
      </c>
      <c r="AH31" s="322">
        <v>20.6</v>
      </c>
      <c r="AI31" s="322">
        <v>22.2</v>
      </c>
      <c r="AJ31" s="322">
        <v>23.8</v>
      </c>
      <c r="AL31" s="313">
        <v>1219</v>
      </c>
      <c r="AM31" s="310" t="s">
        <v>25</v>
      </c>
      <c r="AN31" s="304" t="s">
        <v>38</v>
      </c>
      <c r="AO31" s="307" t="s">
        <v>330</v>
      </c>
      <c r="AP31" s="307" t="s">
        <v>330</v>
      </c>
      <c r="AQ31" s="307" t="s">
        <v>330</v>
      </c>
      <c r="AR31" s="307" t="s">
        <v>331</v>
      </c>
      <c r="AS31" s="307" t="s">
        <v>331</v>
      </c>
      <c r="AT31" s="307"/>
      <c r="AU31" s="307"/>
      <c r="AV31" s="307"/>
      <c r="AW31" s="307"/>
      <c r="AX31" s="307"/>
      <c r="AY31" s="307"/>
      <c r="AZ31" s="307"/>
      <c r="BA31" s="307"/>
      <c r="BB31" s="307"/>
      <c r="BC31" s="311" t="s">
        <v>329</v>
      </c>
      <c r="BD31" s="311" t="s">
        <v>329</v>
      </c>
      <c r="BE31" s="311" t="s">
        <v>329</v>
      </c>
      <c r="BF31" s="307" t="s">
        <v>329</v>
      </c>
      <c r="BG31" s="307" t="s">
        <v>329</v>
      </c>
      <c r="BH31" s="307" t="s">
        <v>329</v>
      </c>
      <c r="BI31" s="307" t="s">
        <v>329</v>
      </c>
      <c r="BJ31" s="307" t="s">
        <v>329</v>
      </c>
      <c r="BK31" s="307" t="s">
        <v>329</v>
      </c>
      <c r="BL31" s="307" t="s">
        <v>329</v>
      </c>
      <c r="BM31" s="307" t="s">
        <v>329</v>
      </c>
      <c r="BN31" s="307" t="s">
        <v>329</v>
      </c>
      <c r="BO31" s="307" t="s">
        <v>329</v>
      </c>
      <c r="BP31" s="307" t="s">
        <v>329</v>
      </c>
      <c r="BQ31" s="306" t="s">
        <v>328</v>
      </c>
      <c r="BR31" s="307"/>
      <c r="BS31" s="307"/>
      <c r="BT31" s="741"/>
    </row>
    <row r="32" spans="1:72" x14ac:dyDescent="0.15">
      <c r="A32" s="542" t="s">
        <v>358</v>
      </c>
      <c r="B32" s="542" t="s">
        <v>359</v>
      </c>
      <c r="C32" s="542" t="s">
        <v>360</v>
      </c>
      <c r="D32" s="542" t="s">
        <v>361</v>
      </c>
      <c r="E32" s="542" t="s">
        <v>362</v>
      </c>
      <c r="F32" s="542" t="s">
        <v>363</v>
      </c>
      <c r="G32" s="542" t="s">
        <v>364</v>
      </c>
      <c r="H32" s="542" t="s">
        <v>1163</v>
      </c>
      <c r="I32" s="542" t="s">
        <v>1164</v>
      </c>
      <c r="J32" s="542" t="s">
        <v>1165</v>
      </c>
      <c r="K32" s="542" t="s">
        <v>1342</v>
      </c>
      <c r="L32" s="542" t="s">
        <v>1343</v>
      </c>
      <c r="M32" s="542" t="s">
        <v>1198</v>
      </c>
      <c r="X32" s="324" t="s">
        <v>654</v>
      </c>
      <c r="Y32" s="329">
        <v>1200</v>
      </c>
      <c r="Z32" s="324" t="s">
        <v>654</v>
      </c>
      <c r="AA32" s="329">
        <v>1219</v>
      </c>
      <c r="AB32" s="324" t="s">
        <v>650</v>
      </c>
      <c r="AC32" s="525" t="s">
        <v>1330</v>
      </c>
      <c r="AD32" s="324" t="s">
        <v>368</v>
      </c>
      <c r="AE32" s="525" t="s">
        <v>1297</v>
      </c>
      <c r="AF32" s="324">
        <v>14.3</v>
      </c>
      <c r="AG32" s="324">
        <v>17.5</v>
      </c>
      <c r="AH32" s="324">
        <v>20.6</v>
      </c>
      <c r="AI32" s="324">
        <v>22.2</v>
      </c>
      <c r="AJ32" s="324">
        <v>23.8</v>
      </c>
      <c r="AL32" s="314">
        <v>1321</v>
      </c>
      <c r="AM32" s="309" t="s">
        <v>25</v>
      </c>
      <c r="AN32" s="308" t="s">
        <v>39</v>
      </c>
      <c r="AO32" s="307" t="s">
        <v>330</v>
      </c>
      <c r="AP32" s="307" t="s">
        <v>330</v>
      </c>
      <c r="AQ32" s="307" t="s">
        <v>330</v>
      </c>
      <c r="AR32" s="307" t="s">
        <v>331</v>
      </c>
      <c r="AS32" s="307" t="s">
        <v>331</v>
      </c>
      <c r="AT32" s="307"/>
      <c r="AU32" s="307"/>
      <c r="AV32" s="307"/>
      <c r="AW32" s="307"/>
      <c r="AX32" s="307"/>
      <c r="AY32" s="307"/>
      <c r="AZ32" s="307"/>
      <c r="BA32" s="307"/>
      <c r="BB32" s="307"/>
      <c r="BC32" s="307"/>
      <c r="BD32" s="307"/>
      <c r="BE32" s="307"/>
      <c r="BF32" s="307"/>
      <c r="BG32" s="311" t="s">
        <v>329</v>
      </c>
      <c r="BH32" s="311" t="s">
        <v>329</v>
      </c>
      <c r="BI32" s="307"/>
      <c r="BJ32" s="312"/>
      <c r="BK32" s="311" t="s">
        <v>329</v>
      </c>
      <c r="BL32" s="307"/>
      <c r="BM32" s="307"/>
      <c r="BN32" s="311" t="s">
        <v>329</v>
      </c>
      <c r="BO32" s="307"/>
      <c r="BP32" s="307"/>
      <c r="BQ32" s="311" t="s">
        <v>329</v>
      </c>
      <c r="BR32" s="306" t="s">
        <v>328</v>
      </c>
      <c r="BS32" s="307"/>
      <c r="BT32" s="741"/>
    </row>
    <row r="33" spans="1:72" x14ac:dyDescent="0.15">
      <c r="A33" s="577" t="str">
        <f>VLOOKUP('Fitting Seçim Aracı'!$D$4,Wrought_Fit_Chem._Comp[],2,FALSE)</f>
        <v>≤0.20*A</v>
      </c>
      <c r="B33" s="577" t="str">
        <f>VLOOKUP('Fitting Seçim Aracı'!$D$4,Wrought_Fit_Chem._Comp[],3,FALSE)</f>
        <v>1.00-1.45</v>
      </c>
      <c r="C33" s="577" t="str">
        <f>VLOOKUP('Fitting Seçim Aracı'!$D$4,Wrought_Fit_Chem._Comp[],4,FALSE)</f>
        <v>0.15-0.40*B</v>
      </c>
      <c r="D33" s="577" t="str">
        <f>VLOOKUP('Fitting Seçim Aracı'!$D$4,Wrought_Fit_Chem._Comp[],5,FALSE)</f>
        <v>≤0.010</v>
      </c>
      <c r="E33" s="577" t="str">
        <f>VLOOKUP('Fitting Seçim Aracı'!$D$4,Wrought_Fit_Chem._Comp[],6,FALSE)</f>
        <v>≤0.030</v>
      </c>
      <c r="F33" s="577" t="str">
        <f>VLOOKUP('Fitting Seçim Aracı'!$D$4,Wrought_Fit_Chem._Comp[],7,FALSE)</f>
        <v>≤0.30*C</v>
      </c>
      <c r="G33" s="577" t="str">
        <f>VLOOKUP('Fitting Seçim Aracı'!$D$4,Wrought_Fit_Chem._Comp[],8,FALSE)</f>
        <v>≤0.50*C</v>
      </c>
      <c r="H33" s="577" t="str">
        <f>VLOOKUP('Fitting Seçim Aracı'!$D$4,Wrought_Fit_Chem._Comp[],9,FALSE)</f>
        <v>≤0.25*C</v>
      </c>
      <c r="I33" s="577" t="str">
        <f>VLOOKUP('Fitting Seçim Aracı'!$D$4,Wrought_Fit_Chem._Comp[],10,FALSE)</f>
        <v>≤0.10</v>
      </c>
      <c r="J33" s="577" t="str">
        <f>VLOOKUP('Fitting Seçim Aracı'!$D$4,Wrought_Fit_Chem._Comp[],11,FALSE)</f>
        <v>≤0.35*C</v>
      </c>
      <c r="K33" s="577" t="str">
        <f>VLOOKUP('Fitting Seçim Aracı'!$D$4,Wrought_Fit_Chem._Comp[],12,FALSE)</f>
        <v>≤0.04</v>
      </c>
      <c r="L33" s="577" t="str">
        <f>VLOOKUP('Fitting Seçim Aracı'!$D$4,Wrought_Fit_Chem._Comp[],13,FALSE)</f>
        <v>≤0.06</v>
      </c>
      <c r="M33" s="577">
        <f>VLOOKUP('Fitting Seçim Aracı'!$D$4,Wrought_Fit_Chem._Comp[],14,FALSE)</f>
        <v>0</v>
      </c>
      <c r="X33" s="322" t="s">
        <v>653</v>
      </c>
      <c r="Y33" s="323">
        <v>1300</v>
      </c>
      <c r="Z33" s="322" t="s">
        <v>653</v>
      </c>
      <c r="AA33" s="323">
        <v>1321</v>
      </c>
      <c r="AB33" s="322" t="s">
        <v>650</v>
      </c>
      <c r="AC33" s="524" t="s">
        <v>1330</v>
      </c>
      <c r="AD33" s="322" t="s">
        <v>368</v>
      </c>
      <c r="AE33" s="524" t="s">
        <v>1297</v>
      </c>
      <c r="AF33" s="322">
        <v>15.9</v>
      </c>
      <c r="AG33" s="322">
        <v>19.100000000000001</v>
      </c>
      <c r="AH33" s="322">
        <v>22.2</v>
      </c>
      <c r="AI33" s="322">
        <v>23.8</v>
      </c>
      <c r="AJ33" s="322">
        <v>27</v>
      </c>
      <c r="AL33" s="313">
        <v>1422</v>
      </c>
      <c r="AM33" s="310" t="s">
        <v>25</v>
      </c>
      <c r="AN33" s="304" t="s">
        <v>40</v>
      </c>
      <c r="AO33" s="307" t="s">
        <v>330</v>
      </c>
      <c r="AP33" s="307" t="s">
        <v>330</v>
      </c>
      <c r="AQ33" s="307" t="s">
        <v>330</v>
      </c>
      <c r="AR33" s="307" t="s">
        <v>331</v>
      </c>
      <c r="AS33" s="307" t="s">
        <v>331</v>
      </c>
      <c r="AT33" s="307"/>
      <c r="AU33" s="307"/>
      <c r="AV33" s="307"/>
      <c r="AW33" s="307"/>
      <c r="AX33" s="307"/>
      <c r="AY33" s="307"/>
      <c r="AZ33" s="307"/>
      <c r="BA33" s="307"/>
      <c r="BB33" s="307"/>
      <c r="BC33" s="307"/>
      <c r="BD33" s="307"/>
      <c r="BE33" s="307"/>
      <c r="BF33" s="307"/>
      <c r="BG33" s="311" t="s">
        <v>329</v>
      </c>
      <c r="BH33" s="311" t="s">
        <v>329</v>
      </c>
      <c r="BI33" s="307"/>
      <c r="BJ33" s="307"/>
      <c r="BK33" s="311" t="s">
        <v>329</v>
      </c>
      <c r="BL33" s="307"/>
      <c r="BM33" s="307"/>
      <c r="BN33" s="311" t="s">
        <v>329</v>
      </c>
      <c r="BO33" s="307"/>
      <c r="BP33" s="307"/>
      <c r="BQ33" s="311" t="s">
        <v>329</v>
      </c>
      <c r="BR33" s="311" t="s">
        <v>329</v>
      </c>
      <c r="BS33" s="306" t="s">
        <v>328</v>
      </c>
      <c r="BT33" s="742"/>
    </row>
    <row r="34" spans="1:72" ht="12" thickBot="1" x14ac:dyDescent="0.2">
      <c r="A34" s="521"/>
      <c r="B34" s="521"/>
      <c r="C34" s="521"/>
      <c r="D34" s="521"/>
      <c r="E34" s="521"/>
      <c r="F34" s="521"/>
      <c r="G34" s="521"/>
      <c r="H34" s="521"/>
      <c r="I34" s="521"/>
      <c r="J34" s="521"/>
      <c r="K34" s="521"/>
      <c r="L34" s="521"/>
      <c r="M34" s="521"/>
      <c r="X34" s="324" t="s">
        <v>652</v>
      </c>
      <c r="Y34" s="329">
        <v>1400</v>
      </c>
      <c r="Z34" s="324" t="s">
        <v>652</v>
      </c>
      <c r="AA34" s="329">
        <v>1422</v>
      </c>
      <c r="AB34" s="324" t="s">
        <v>650</v>
      </c>
      <c r="AC34" s="525" t="s">
        <v>1330</v>
      </c>
      <c r="AD34" s="324" t="s">
        <v>368</v>
      </c>
      <c r="AE34" s="525" t="s">
        <v>1297</v>
      </c>
      <c r="AF34" s="324">
        <v>17.5</v>
      </c>
      <c r="AG34" s="324">
        <v>20.6</v>
      </c>
      <c r="AH34" s="324">
        <v>23.8</v>
      </c>
      <c r="AI34" s="324">
        <v>25.4</v>
      </c>
      <c r="AJ34" s="324">
        <v>28.6</v>
      </c>
      <c r="AL34" s="320">
        <v>1524</v>
      </c>
      <c r="AM34" s="321" t="s">
        <v>25</v>
      </c>
      <c r="AN34" s="743" t="s">
        <v>41</v>
      </c>
      <c r="AO34" s="744" t="s">
        <v>330</v>
      </c>
      <c r="AP34" s="744" t="s">
        <v>330</v>
      </c>
      <c r="AQ34" s="744" t="s">
        <v>330</v>
      </c>
      <c r="AR34" s="744" t="s">
        <v>331</v>
      </c>
      <c r="AS34" s="744" t="s">
        <v>331</v>
      </c>
      <c r="AT34" s="744"/>
      <c r="AU34" s="744"/>
      <c r="AV34" s="744"/>
      <c r="AW34" s="744"/>
      <c r="AX34" s="744"/>
      <c r="AY34" s="744"/>
      <c r="AZ34" s="744"/>
      <c r="BA34" s="744"/>
      <c r="BB34" s="744"/>
      <c r="BC34" s="744"/>
      <c r="BD34" s="744"/>
      <c r="BE34" s="744" t="s">
        <v>332</v>
      </c>
      <c r="BF34" s="744"/>
      <c r="BG34" s="744"/>
      <c r="BH34" s="745" t="s">
        <v>329</v>
      </c>
      <c r="BI34" s="744"/>
      <c r="BJ34" s="744"/>
      <c r="BK34" s="745" t="s">
        <v>329</v>
      </c>
      <c r="BL34" s="744"/>
      <c r="BM34" s="744"/>
      <c r="BN34" s="745" t="s">
        <v>329</v>
      </c>
      <c r="BO34" s="744"/>
      <c r="BP34" s="744"/>
      <c r="BQ34" s="745" t="s">
        <v>329</v>
      </c>
      <c r="BR34" s="744"/>
      <c r="BS34" s="744"/>
      <c r="BT34" s="746" t="s">
        <v>328</v>
      </c>
    </row>
    <row r="35" spans="1:72" x14ac:dyDescent="0.15">
      <c r="A35" s="1086" t="s">
        <v>1393</v>
      </c>
      <c r="B35" s="1086"/>
      <c r="C35" s="521" t="str">
        <f>D5</f>
        <v>ASTM A860 WPHY52</v>
      </c>
      <c r="D35" s="521"/>
      <c r="E35" s="521"/>
      <c r="F35" s="521"/>
      <c r="G35" s="521"/>
      <c r="H35" s="521"/>
      <c r="I35" s="521"/>
      <c r="J35" s="521"/>
      <c r="K35" s="521"/>
      <c r="L35" s="521"/>
      <c r="M35" s="521"/>
      <c r="X35" s="322" t="s">
        <v>651</v>
      </c>
      <c r="Y35" s="323">
        <v>1500</v>
      </c>
      <c r="Z35" s="322" t="s">
        <v>651</v>
      </c>
      <c r="AA35" s="323">
        <v>1524</v>
      </c>
      <c r="AB35" s="322" t="s">
        <v>650</v>
      </c>
      <c r="AC35" s="524" t="s">
        <v>1330</v>
      </c>
      <c r="AD35" s="322" t="s">
        <v>368</v>
      </c>
      <c r="AE35" s="524" t="s">
        <v>1297</v>
      </c>
      <c r="AF35" s="322">
        <v>19.100000000000001</v>
      </c>
      <c r="AG35" s="322">
        <v>22.2</v>
      </c>
      <c r="AH35" s="322">
        <v>25.4</v>
      </c>
      <c r="AI35" s="322">
        <v>27</v>
      </c>
      <c r="AJ35" s="322">
        <v>30.2</v>
      </c>
    </row>
    <row r="36" spans="1:72" x14ac:dyDescent="0.15">
      <c r="A36" s="542" t="s">
        <v>372</v>
      </c>
      <c r="B36" s="542" t="s">
        <v>373</v>
      </c>
      <c r="C36" s="542" t="s">
        <v>369</v>
      </c>
      <c r="D36" s="542" t="s">
        <v>370</v>
      </c>
      <c r="E36" s="542" t="s">
        <v>374</v>
      </c>
      <c r="F36" s="542" t="s">
        <v>375</v>
      </c>
      <c r="G36" s="542" t="s">
        <v>1321</v>
      </c>
      <c r="H36" s="542" t="s">
        <v>1288</v>
      </c>
      <c r="I36" s="542" t="s">
        <v>1287</v>
      </c>
      <c r="J36" s="542" t="s">
        <v>1286</v>
      </c>
      <c r="K36" s="521"/>
      <c r="L36" s="521"/>
      <c r="M36" s="521"/>
    </row>
    <row r="37" spans="1:72" x14ac:dyDescent="0.15">
      <c r="A37" s="593">
        <f>VLOOKUP($D$4,Wrought_Fit_Mech._Prop.[],2,FALSE)</f>
        <v>46000</v>
      </c>
      <c r="B37" s="593">
        <f>VLOOKUP($D$4,Wrought_Fit_Mech._Prop.[],3,FALSE)</f>
        <v>315</v>
      </c>
      <c r="C37" s="593" t="str">
        <f>VLOOKUP($D$4,Wrought_Fit_Mech._Prop.[],4,FALSE)</f>
        <v>63000-88000</v>
      </c>
      <c r="D37" s="593" t="str">
        <f>VLOOKUP($D$4,Wrought_Fit_Mech._Prop.[],5,FALSE)</f>
        <v>435-605</v>
      </c>
      <c r="E37" s="593">
        <f>VLOOKUP($D$4,Wrought_Fit_Mech._Prop.[],6,FALSE)</f>
        <v>32</v>
      </c>
      <c r="F37" s="593">
        <f>VLOOKUP($D$4,Wrought_Fit_Mech._Prop.[],7,FALSE)</f>
        <v>0</v>
      </c>
      <c r="G37" s="593">
        <f>VLOOKUP($D$4,Wrought_Fit_Mech._Prop.[],8,FALSE)</f>
        <v>235</v>
      </c>
      <c r="H37" s="593">
        <f>VLOOKUP($D$4,Wrought_Fit_Mech._Prop.[],9,FALSE)</f>
        <v>40</v>
      </c>
      <c r="I37" s="593">
        <f>VLOOKUP($D$4,Wrought_Fit_Mech._Prop.[],10,FALSE)</f>
        <v>34</v>
      </c>
      <c r="J37" s="593">
        <f>VLOOKUP($D$4,Wrought_Fit_Mech._Prop.[],11,FALSE)</f>
        <v>-46</v>
      </c>
      <c r="K37" s="521"/>
      <c r="L37" s="521"/>
      <c r="M37" s="521"/>
      <c r="AO37" s="302" t="s">
        <v>330</v>
      </c>
      <c r="AP37" s="302" t="s">
        <v>333</v>
      </c>
    </row>
    <row r="38" spans="1:72" x14ac:dyDescent="0.15">
      <c r="A38" s="521"/>
      <c r="B38" s="521"/>
      <c r="C38" s="521"/>
      <c r="D38" s="521"/>
      <c r="E38" s="521"/>
      <c r="F38" s="521"/>
      <c r="G38" s="521"/>
      <c r="H38" s="521"/>
      <c r="I38" s="521"/>
      <c r="J38" s="521"/>
      <c r="K38" s="521"/>
      <c r="L38" s="521"/>
      <c r="M38" s="521"/>
      <c r="AO38" s="302" t="s">
        <v>331</v>
      </c>
      <c r="AP38" s="302" t="s">
        <v>334</v>
      </c>
    </row>
    <row r="39" spans="1:72" x14ac:dyDescent="0.15">
      <c r="A39" s="1086" t="s">
        <v>1395</v>
      </c>
      <c r="B39" s="1086"/>
      <c r="C39" s="521" t="str">
        <f>D6</f>
        <v xml:space="preserve">ASTM A860 WPHY65 </v>
      </c>
      <c r="D39" s="521"/>
      <c r="E39" s="521"/>
      <c r="F39" s="521"/>
      <c r="G39" s="521"/>
      <c r="H39" s="521"/>
      <c r="I39" s="521"/>
      <c r="J39" s="521"/>
      <c r="K39" s="521"/>
      <c r="L39" s="521"/>
      <c r="M39" s="521"/>
      <c r="AO39" s="302" t="s">
        <v>329</v>
      </c>
      <c r="AP39" s="302" t="s">
        <v>335</v>
      </c>
    </row>
    <row r="40" spans="1:72" x14ac:dyDescent="0.15">
      <c r="A40" s="542" t="s">
        <v>358</v>
      </c>
      <c r="B40" s="542" t="s">
        <v>359</v>
      </c>
      <c r="C40" s="542" t="s">
        <v>360</v>
      </c>
      <c r="D40" s="542" t="s">
        <v>361</v>
      </c>
      <c r="E40" s="542" t="s">
        <v>362</v>
      </c>
      <c r="F40" s="542" t="s">
        <v>363</v>
      </c>
      <c r="G40" s="542" t="s">
        <v>364</v>
      </c>
      <c r="H40" s="542" t="s">
        <v>1163</v>
      </c>
      <c r="I40" s="542" t="s">
        <v>1164</v>
      </c>
      <c r="J40" s="542" t="s">
        <v>1165</v>
      </c>
      <c r="K40" s="542" t="s">
        <v>1342</v>
      </c>
      <c r="L40" s="542" t="s">
        <v>1343</v>
      </c>
      <c r="M40" s="542" t="s">
        <v>1198</v>
      </c>
      <c r="AO40" s="302" t="s">
        <v>328</v>
      </c>
      <c r="AP40" s="302" t="s">
        <v>336</v>
      </c>
    </row>
    <row r="41" spans="1:72" x14ac:dyDescent="0.15">
      <c r="A41" s="578" t="str">
        <f>VLOOKUP('Fitting Seçim Aracı'!$D$4,Wrought_Fit_Chem._Comp[],2,FALSE)</f>
        <v>≤0.20*A</v>
      </c>
      <c r="B41" s="578" t="str">
        <f>VLOOKUP('Fitting Seçim Aracı'!$D$4,Wrought_Fit_Chem._Comp[],3,FALSE)</f>
        <v>1.00-1.45</v>
      </c>
      <c r="C41" s="578" t="str">
        <f>VLOOKUP('Fitting Seçim Aracı'!$D$4,Wrought_Fit_Chem._Comp[],4,FALSE)</f>
        <v>0.15-0.40*B</v>
      </c>
      <c r="D41" s="578" t="str">
        <f>VLOOKUP('Fitting Seçim Aracı'!$D$4,Wrought_Fit_Chem._Comp[],5,FALSE)</f>
        <v>≤0.010</v>
      </c>
      <c r="E41" s="578" t="str">
        <f>VLOOKUP('Fitting Seçim Aracı'!$D$4,Wrought_Fit_Chem._Comp[],6,FALSE)</f>
        <v>≤0.030</v>
      </c>
      <c r="F41" s="578" t="str">
        <f>VLOOKUP('Fitting Seçim Aracı'!$D$4,Wrought_Fit_Chem._Comp[],7,FALSE)</f>
        <v>≤0.30*C</v>
      </c>
      <c r="G41" s="578" t="str">
        <f>VLOOKUP('Fitting Seçim Aracı'!$D$4,Wrought_Fit_Chem._Comp[],8,FALSE)</f>
        <v>≤0.50*C</v>
      </c>
      <c r="H41" s="578" t="str">
        <f>VLOOKUP('Fitting Seçim Aracı'!$D$4,Wrought_Fit_Chem._Comp[],9,FALSE)</f>
        <v>≤0.25*C</v>
      </c>
      <c r="I41" s="578" t="str">
        <f>VLOOKUP('Fitting Seçim Aracı'!$D$4,Wrought_Fit_Chem._Comp[],10,FALSE)</f>
        <v>≤0.10</v>
      </c>
      <c r="J41" s="578" t="str">
        <f>VLOOKUP('Fitting Seçim Aracı'!$D$4,Wrought_Fit_Chem._Comp[],11,FALSE)</f>
        <v>≤0.35*C</v>
      </c>
      <c r="K41" s="578" t="str">
        <f>VLOOKUP('Fitting Seçim Aracı'!$D$4,Wrought_Fit_Chem._Comp[],12,FALSE)</f>
        <v>≤0.04</v>
      </c>
      <c r="L41" s="578" t="str">
        <f>VLOOKUP('Fitting Seçim Aracı'!$D$4,Wrought_Fit_Chem._Comp[],13,FALSE)</f>
        <v>≤0.06</v>
      </c>
      <c r="M41" s="578">
        <f>VLOOKUP('Fitting Seçim Aracı'!$D$4,Wrought_Fit_Chem._Comp[],14,FALSE)</f>
        <v>0</v>
      </c>
    </row>
    <row r="42" spans="1:72" x14ac:dyDescent="0.15">
      <c r="A42" s="521"/>
      <c r="B42" s="521"/>
      <c r="C42" s="521"/>
      <c r="D42" s="521"/>
      <c r="E42" s="521"/>
      <c r="F42" s="521"/>
      <c r="G42" s="521"/>
      <c r="H42" s="521"/>
      <c r="I42" s="521"/>
      <c r="J42" s="521"/>
      <c r="K42" s="521"/>
      <c r="L42" s="521"/>
      <c r="M42" s="521"/>
      <c r="AO42" s="299" t="s">
        <v>337</v>
      </c>
      <c r="AP42" s="299" t="s">
        <v>338</v>
      </c>
    </row>
    <row r="43" spans="1:72" x14ac:dyDescent="0.15">
      <c r="A43" s="1086" t="s">
        <v>1396</v>
      </c>
      <c r="B43" s="1086"/>
      <c r="C43" s="521" t="str">
        <f>D6</f>
        <v xml:space="preserve">ASTM A860 WPHY65 </v>
      </c>
      <c r="D43" s="521"/>
      <c r="E43" s="521"/>
      <c r="F43" s="521"/>
      <c r="G43" s="521"/>
      <c r="H43" s="521"/>
      <c r="I43" s="521"/>
      <c r="J43" s="521"/>
      <c r="K43" s="521"/>
      <c r="L43" s="521"/>
      <c r="M43" s="521"/>
    </row>
    <row r="44" spans="1:72" x14ac:dyDescent="0.15">
      <c r="A44" s="542" t="s">
        <v>372</v>
      </c>
      <c r="B44" s="542" t="s">
        <v>373</v>
      </c>
      <c r="C44" s="542" t="s">
        <v>369</v>
      </c>
      <c r="D44" s="542" t="s">
        <v>370</v>
      </c>
      <c r="E44" s="542" t="s">
        <v>374</v>
      </c>
      <c r="F44" s="542" t="s">
        <v>375</v>
      </c>
      <c r="G44" s="542" t="s">
        <v>1321</v>
      </c>
      <c r="H44" s="542" t="s">
        <v>1288</v>
      </c>
      <c r="I44" s="542" t="s">
        <v>1287</v>
      </c>
      <c r="J44" s="542" t="s">
        <v>1286</v>
      </c>
      <c r="K44" s="521"/>
      <c r="L44" s="521"/>
      <c r="M44" s="521"/>
    </row>
    <row r="45" spans="1:72" x14ac:dyDescent="0.15">
      <c r="A45" s="594">
        <f>VLOOKUP($D$4,Wrought_Fit_Mech._Prop.[],2,FALSE)</f>
        <v>46000</v>
      </c>
      <c r="B45" s="594">
        <f>VLOOKUP($D$4,Wrought_Fit_Mech._Prop.[],3,FALSE)</f>
        <v>315</v>
      </c>
      <c r="C45" s="594" t="str">
        <f>VLOOKUP($D$4,Wrought_Fit_Mech._Prop.[],4,FALSE)</f>
        <v>63000-88000</v>
      </c>
      <c r="D45" s="594" t="str">
        <f>VLOOKUP($D$4,Wrought_Fit_Mech._Prop.[],5,FALSE)</f>
        <v>435-605</v>
      </c>
      <c r="E45" s="594">
        <f>VLOOKUP($D$4,Wrought_Fit_Mech._Prop.[],6,FALSE)</f>
        <v>32</v>
      </c>
      <c r="F45" s="594">
        <f>VLOOKUP($D$4,Wrought_Fit_Mech._Prop.[],7,FALSE)</f>
        <v>0</v>
      </c>
      <c r="G45" s="594">
        <f>VLOOKUP($D$4,Wrought_Fit_Mech._Prop.[],8,FALSE)</f>
        <v>235</v>
      </c>
      <c r="H45" s="594">
        <f>VLOOKUP($D$4,Wrought_Fit_Mech._Prop.[],9,FALSE)</f>
        <v>40</v>
      </c>
      <c r="I45" s="594">
        <f>VLOOKUP($D$4,Wrought_Fit_Mech._Prop.[],10,FALSE)</f>
        <v>34</v>
      </c>
      <c r="J45" s="594">
        <f>VLOOKUP($D$4,Wrought_Fit_Mech._Prop.[],11,FALSE)</f>
        <v>-46</v>
      </c>
      <c r="K45" s="521"/>
      <c r="L45" s="521"/>
      <c r="M45" s="521"/>
    </row>
    <row r="46" spans="1:72" x14ac:dyDescent="0.15">
      <c r="A46" s="521"/>
      <c r="B46" s="521"/>
      <c r="C46" s="521"/>
      <c r="D46" s="521"/>
      <c r="E46" s="521"/>
      <c r="F46" s="521"/>
      <c r="G46" s="521"/>
      <c r="H46" s="521"/>
      <c r="I46" s="521"/>
      <c r="J46" s="521"/>
      <c r="K46" s="521"/>
      <c r="L46" s="521"/>
      <c r="M46" s="521"/>
    </row>
    <row r="65" spans="1:14" x14ac:dyDescent="0.15">
      <c r="A65" s="1078" t="s">
        <v>1414</v>
      </c>
      <c r="B65" s="1078"/>
      <c r="C65" s="416" t="str">
        <f>AH11</f>
        <v xml:space="preserve"> </v>
      </c>
      <c r="D65" s="416"/>
      <c r="E65" s="416"/>
      <c r="F65" s="416"/>
      <c r="G65" s="416"/>
      <c r="H65" s="416"/>
      <c r="I65" s="416"/>
      <c r="J65" s="416"/>
      <c r="K65" s="416"/>
      <c r="L65" s="416"/>
      <c r="M65" s="416"/>
      <c r="N65" s="416"/>
    </row>
    <row r="66" spans="1:14" x14ac:dyDescent="0.15">
      <c r="A66" s="542" t="s">
        <v>141</v>
      </c>
      <c r="B66" s="542" t="s">
        <v>358</v>
      </c>
      <c r="C66" s="542" t="s">
        <v>359</v>
      </c>
      <c r="D66" s="542" t="s">
        <v>360</v>
      </c>
      <c r="E66" s="542" t="s">
        <v>361</v>
      </c>
      <c r="F66" s="542" t="s">
        <v>362</v>
      </c>
      <c r="G66" s="542" t="s">
        <v>363</v>
      </c>
      <c r="H66" s="542" t="s">
        <v>364</v>
      </c>
      <c r="I66" s="542" t="s">
        <v>1163</v>
      </c>
      <c r="J66" s="542" t="s">
        <v>1164</v>
      </c>
      <c r="K66" s="542" t="s">
        <v>1165</v>
      </c>
      <c r="L66" s="542" t="s">
        <v>1342</v>
      </c>
      <c r="M66" s="542" t="s">
        <v>1343</v>
      </c>
      <c r="N66" s="542" t="s">
        <v>1198</v>
      </c>
    </row>
    <row r="67" spans="1:14" x14ac:dyDescent="0.15">
      <c r="A67" s="542" t="s">
        <v>1415</v>
      </c>
      <c r="B67" s="542">
        <v>0.25</v>
      </c>
      <c r="C67" s="587">
        <v>1.6</v>
      </c>
      <c r="D67" s="542" t="s">
        <v>1423</v>
      </c>
      <c r="E67" s="542">
        <v>1.4999999999999999E-2</v>
      </c>
      <c r="F67" s="542">
        <v>2.5000000000000001E-2</v>
      </c>
      <c r="G67" s="542">
        <v>0.25</v>
      </c>
      <c r="H67" s="542">
        <v>0.5</v>
      </c>
      <c r="I67" s="542">
        <v>0.25</v>
      </c>
      <c r="J67" s="542">
        <v>0.11</v>
      </c>
      <c r="K67" s="542">
        <v>0.45</v>
      </c>
      <c r="L67" s="542">
        <v>0.1</v>
      </c>
      <c r="M67" s="542" t="s">
        <v>1424</v>
      </c>
      <c r="N67" s="542" t="s">
        <v>1425</v>
      </c>
    </row>
    <row r="68" spans="1:14" x14ac:dyDescent="0.15">
      <c r="A68" s="542" t="s">
        <v>1416</v>
      </c>
      <c r="B68" s="542">
        <v>0.25</v>
      </c>
      <c r="C68" s="587">
        <v>1.6</v>
      </c>
      <c r="D68" s="542" t="s">
        <v>1423</v>
      </c>
      <c r="E68" s="542">
        <v>1.4999999999999999E-2</v>
      </c>
      <c r="F68" s="542">
        <v>2.5000000000000001E-2</v>
      </c>
      <c r="G68" s="542">
        <v>0.25</v>
      </c>
      <c r="H68" s="542">
        <v>0.5</v>
      </c>
      <c r="I68" s="542">
        <v>0.25</v>
      </c>
      <c r="J68" s="542">
        <v>0.11</v>
      </c>
      <c r="K68" s="542">
        <v>0.45</v>
      </c>
      <c r="L68" s="542">
        <v>0.1</v>
      </c>
      <c r="M68" s="542" t="s">
        <v>1424</v>
      </c>
      <c r="N68" s="542" t="s">
        <v>1425</v>
      </c>
    </row>
    <row r="69" spans="1:14" x14ac:dyDescent="0.15">
      <c r="A69" s="542" t="s">
        <v>1417</v>
      </c>
      <c r="B69" s="542">
        <v>0.25</v>
      </c>
      <c r="C69" s="587">
        <v>1.6</v>
      </c>
      <c r="D69" s="542" t="s">
        <v>1423</v>
      </c>
      <c r="E69" s="542">
        <v>1.4999999999999999E-2</v>
      </c>
      <c r="F69" s="542">
        <v>2.5000000000000001E-2</v>
      </c>
      <c r="G69" s="542">
        <v>0.25</v>
      </c>
      <c r="H69" s="542">
        <v>0.5</v>
      </c>
      <c r="I69" s="542">
        <v>0.25</v>
      </c>
      <c r="J69" s="542">
        <v>0.11</v>
      </c>
      <c r="K69" s="542">
        <v>0.45</v>
      </c>
      <c r="L69" s="542">
        <v>0.1</v>
      </c>
      <c r="M69" s="542" t="s">
        <v>1424</v>
      </c>
      <c r="N69" s="542" t="s">
        <v>1425</v>
      </c>
    </row>
    <row r="70" spans="1:14" x14ac:dyDescent="0.15">
      <c r="A70" s="542" t="s">
        <v>1418</v>
      </c>
      <c r="B70" s="542">
        <v>0.25</v>
      </c>
      <c r="C70" s="587">
        <v>1.6</v>
      </c>
      <c r="D70" s="542" t="s">
        <v>1423</v>
      </c>
      <c r="E70" s="542">
        <v>1.4999999999999999E-2</v>
      </c>
      <c r="F70" s="542">
        <v>2.5000000000000001E-2</v>
      </c>
      <c r="G70" s="542">
        <v>0.25</v>
      </c>
      <c r="H70" s="542">
        <v>0.5</v>
      </c>
      <c r="I70" s="542">
        <v>0.25</v>
      </c>
      <c r="J70" s="542">
        <v>0.11</v>
      </c>
      <c r="K70" s="542">
        <v>0.45</v>
      </c>
      <c r="L70" s="542">
        <v>0.1</v>
      </c>
      <c r="M70" s="542" t="s">
        <v>1424</v>
      </c>
      <c r="N70" s="542" t="s">
        <v>1425</v>
      </c>
    </row>
    <row r="71" spans="1:14" x14ac:dyDescent="0.15">
      <c r="A71" s="542" t="s">
        <v>1419</v>
      </c>
      <c r="B71" s="542">
        <v>0.25</v>
      </c>
      <c r="C71" s="587">
        <v>1.6</v>
      </c>
      <c r="D71" s="542" t="s">
        <v>1423</v>
      </c>
      <c r="E71" s="542">
        <v>1.4999999999999999E-2</v>
      </c>
      <c r="F71" s="542">
        <v>2.5000000000000001E-2</v>
      </c>
      <c r="G71" s="542">
        <v>0.25</v>
      </c>
      <c r="H71" s="542">
        <v>0.5</v>
      </c>
      <c r="I71" s="542">
        <v>0.25</v>
      </c>
      <c r="J71" s="542">
        <v>0.11</v>
      </c>
      <c r="K71" s="542">
        <v>0.45</v>
      </c>
      <c r="L71" s="542">
        <v>0.1</v>
      </c>
      <c r="M71" s="542" t="s">
        <v>1424</v>
      </c>
      <c r="N71" s="542" t="s">
        <v>1425</v>
      </c>
    </row>
    <row r="72" spans="1:14" x14ac:dyDescent="0.15">
      <c r="A72" s="542" t="s">
        <v>1420</v>
      </c>
      <c r="B72" s="542">
        <v>0.25</v>
      </c>
      <c r="C72" s="587">
        <v>1.6</v>
      </c>
      <c r="D72" s="542" t="s">
        <v>1423</v>
      </c>
      <c r="E72" s="542">
        <v>1.4999999999999999E-2</v>
      </c>
      <c r="F72" s="542">
        <v>2.5000000000000001E-2</v>
      </c>
      <c r="G72" s="542">
        <v>0.25</v>
      </c>
      <c r="H72" s="542">
        <v>0.5</v>
      </c>
      <c r="I72" s="542">
        <v>0.25</v>
      </c>
      <c r="J72" s="542">
        <v>0.11</v>
      </c>
      <c r="K72" s="542">
        <v>0.45</v>
      </c>
      <c r="L72" s="542">
        <v>0.1</v>
      </c>
      <c r="M72" s="542" t="s">
        <v>1424</v>
      </c>
      <c r="N72" s="542" t="s">
        <v>1425</v>
      </c>
    </row>
    <row r="73" spans="1:14" x14ac:dyDescent="0.15">
      <c r="A73" s="542" t="s">
        <v>1421</v>
      </c>
      <c r="B73" s="542">
        <v>0.25</v>
      </c>
      <c r="C73" s="587">
        <v>1.6</v>
      </c>
      <c r="D73" s="542" t="s">
        <v>1423</v>
      </c>
      <c r="E73" s="542">
        <v>1.4999999999999999E-2</v>
      </c>
      <c r="F73" s="542">
        <v>2.5000000000000001E-2</v>
      </c>
      <c r="G73" s="542">
        <v>0.25</v>
      </c>
      <c r="H73" s="542">
        <v>0.5</v>
      </c>
      <c r="I73" s="542">
        <v>0.25</v>
      </c>
      <c r="J73" s="542">
        <v>0.11</v>
      </c>
      <c r="K73" s="542">
        <v>0.45</v>
      </c>
      <c r="L73" s="542">
        <v>0.1</v>
      </c>
      <c r="M73" s="542" t="s">
        <v>1424</v>
      </c>
      <c r="N73" s="542" t="s">
        <v>1425</v>
      </c>
    </row>
    <row r="74" spans="1:14" x14ac:dyDescent="0.15">
      <c r="A74" s="542" t="s">
        <v>1422</v>
      </c>
      <c r="B74" s="542">
        <v>0.25</v>
      </c>
      <c r="C74" s="587">
        <v>1.6</v>
      </c>
      <c r="D74" s="542" t="s">
        <v>1423</v>
      </c>
      <c r="E74" s="542">
        <v>1.4999999999999999E-2</v>
      </c>
      <c r="F74" s="542">
        <v>2.5000000000000001E-2</v>
      </c>
      <c r="G74" s="542">
        <v>0.25</v>
      </c>
      <c r="H74" s="542">
        <v>0.5</v>
      </c>
      <c r="I74" s="542">
        <v>0.25</v>
      </c>
      <c r="J74" s="542">
        <v>0.11</v>
      </c>
      <c r="K74" s="542">
        <v>0.45</v>
      </c>
      <c r="L74" s="542">
        <v>0.1</v>
      </c>
      <c r="M74" s="542" t="s">
        <v>1424</v>
      </c>
      <c r="N74" s="542" t="s">
        <v>1425</v>
      </c>
    </row>
    <row r="78" spans="1:14" x14ac:dyDescent="0.15">
      <c r="A78" s="1079" t="s">
        <v>1396</v>
      </c>
      <c r="B78" s="1079"/>
      <c r="C78" s="521" t="str">
        <f>AH11</f>
        <v xml:space="preserve"> </v>
      </c>
      <c r="D78" s="521"/>
      <c r="E78" s="521"/>
      <c r="F78" s="521"/>
      <c r="G78" s="521"/>
      <c r="H78" s="521"/>
      <c r="I78" s="521"/>
      <c r="J78" s="521"/>
    </row>
    <row r="79" spans="1:14" ht="20.25" x14ac:dyDescent="0.15">
      <c r="A79" s="522" t="s">
        <v>141</v>
      </c>
      <c r="B79" s="542" t="s">
        <v>372</v>
      </c>
      <c r="C79" s="542" t="s">
        <v>373</v>
      </c>
      <c r="D79" s="542" t="s">
        <v>369</v>
      </c>
      <c r="E79" s="542" t="s">
        <v>370</v>
      </c>
      <c r="F79" s="542" t="s">
        <v>374</v>
      </c>
      <c r="G79" s="542" t="s">
        <v>375</v>
      </c>
      <c r="H79" s="542" t="s">
        <v>1321</v>
      </c>
      <c r="I79" s="542" t="s">
        <v>1288</v>
      </c>
      <c r="J79" s="542" t="s">
        <v>1287</v>
      </c>
      <c r="K79" s="542" t="s">
        <v>1286</v>
      </c>
    </row>
    <row r="80" spans="1:14" x14ac:dyDescent="0.15">
      <c r="A80" s="522" t="s">
        <v>1415</v>
      </c>
      <c r="B80" s="522">
        <v>42000</v>
      </c>
      <c r="C80" s="522">
        <v>290</v>
      </c>
      <c r="D80" s="522">
        <v>60000</v>
      </c>
      <c r="E80" s="522">
        <v>415</v>
      </c>
      <c r="F80" s="522">
        <v>25</v>
      </c>
      <c r="G80" s="522">
        <f>VLOOKUP($D$4,Wrought_Fit_Mech._Prop.[],7,FALSE)</f>
        <v>0</v>
      </c>
      <c r="H80" s="522" t="s">
        <v>1426</v>
      </c>
      <c r="I80" s="522">
        <f t="shared" ref="I80:I87" si="0">20*1.36</f>
        <v>27.200000000000003</v>
      </c>
      <c r="J80" s="522">
        <f t="shared" ref="J80:J87" si="1">15*1.36</f>
        <v>20.400000000000002</v>
      </c>
      <c r="K80" s="522">
        <v>-7</v>
      </c>
    </row>
    <row r="81" spans="1:11" x14ac:dyDescent="0.15">
      <c r="A81" s="522" t="s">
        <v>1416</v>
      </c>
      <c r="B81" s="522">
        <v>46000</v>
      </c>
      <c r="C81" s="522">
        <v>315</v>
      </c>
      <c r="D81" s="522">
        <v>63000</v>
      </c>
      <c r="E81" s="522">
        <v>435</v>
      </c>
      <c r="F81" s="522">
        <v>25</v>
      </c>
      <c r="G81" s="522">
        <f>VLOOKUP($D$4,Wrought_Fit_Mech._Prop.[],7,FALSE)</f>
        <v>0</v>
      </c>
      <c r="H81" s="522" t="s">
        <v>1426</v>
      </c>
      <c r="I81" s="522">
        <f t="shared" si="0"/>
        <v>27.200000000000003</v>
      </c>
      <c r="J81" s="522">
        <f t="shared" si="1"/>
        <v>20.400000000000002</v>
      </c>
      <c r="K81" s="522">
        <v>-7</v>
      </c>
    </row>
    <row r="82" spans="1:11" x14ac:dyDescent="0.15">
      <c r="A82" s="522" t="s">
        <v>1417</v>
      </c>
      <c r="B82" s="522">
        <v>52000</v>
      </c>
      <c r="C82" s="522">
        <v>360</v>
      </c>
      <c r="D82" s="522">
        <v>66000</v>
      </c>
      <c r="E82" s="522">
        <v>455</v>
      </c>
      <c r="F82" s="522">
        <v>25</v>
      </c>
      <c r="G82" s="522">
        <f>VLOOKUP($D$4,Wrought_Fit_Mech._Prop.[],7,FALSE)</f>
        <v>0</v>
      </c>
      <c r="H82" s="522" t="s">
        <v>1426</v>
      </c>
      <c r="I82" s="522">
        <f t="shared" si="0"/>
        <v>27.200000000000003</v>
      </c>
      <c r="J82" s="522">
        <f t="shared" si="1"/>
        <v>20.400000000000002</v>
      </c>
      <c r="K82" s="522">
        <v>-7</v>
      </c>
    </row>
    <row r="83" spans="1:11" x14ac:dyDescent="0.15">
      <c r="A83" s="522" t="s">
        <v>1418</v>
      </c>
      <c r="B83" s="522">
        <v>56000</v>
      </c>
      <c r="C83" s="522">
        <v>385</v>
      </c>
      <c r="D83" s="522">
        <v>71000</v>
      </c>
      <c r="E83" s="522">
        <v>490</v>
      </c>
      <c r="F83" s="522">
        <v>20</v>
      </c>
      <c r="G83" s="522">
        <f>VLOOKUP($D$4,Wrought_Fit_Mech._Prop.[],7,FALSE)</f>
        <v>0</v>
      </c>
      <c r="H83" s="522" t="s">
        <v>1426</v>
      </c>
      <c r="I83" s="522">
        <f t="shared" si="0"/>
        <v>27.200000000000003</v>
      </c>
      <c r="J83" s="522">
        <f t="shared" si="1"/>
        <v>20.400000000000002</v>
      </c>
      <c r="K83" s="522">
        <v>-7</v>
      </c>
    </row>
    <row r="84" spans="1:11" x14ac:dyDescent="0.15">
      <c r="A84" s="522" t="s">
        <v>1419</v>
      </c>
      <c r="B84" s="522">
        <v>60000</v>
      </c>
      <c r="C84" s="522">
        <v>415</v>
      </c>
      <c r="D84" s="522">
        <v>75000</v>
      </c>
      <c r="E84" s="522">
        <v>515</v>
      </c>
      <c r="F84" s="522">
        <v>20</v>
      </c>
      <c r="G84" s="522">
        <f>VLOOKUP($D$4,Wrought_Fit_Mech._Prop.[],7,FALSE)</f>
        <v>0</v>
      </c>
      <c r="H84" s="522" t="s">
        <v>1426</v>
      </c>
      <c r="I84" s="522">
        <f t="shared" si="0"/>
        <v>27.200000000000003</v>
      </c>
      <c r="J84" s="522">
        <f t="shared" si="1"/>
        <v>20.400000000000002</v>
      </c>
      <c r="K84" s="522">
        <v>-7</v>
      </c>
    </row>
    <row r="85" spans="1:11" x14ac:dyDescent="0.15">
      <c r="A85" s="522" t="s">
        <v>1420</v>
      </c>
      <c r="B85" s="522">
        <v>65000</v>
      </c>
      <c r="C85" s="522">
        <v>450</v>
      </c>
      <c r="D85" s="522">
        <v>77000</v>
      </c>
      <c r="E85" s="522">
        <v>530</v>
      </c>
      <c r="F85" s="522">
        <v>20</v>
      </c>
      <c r="G85" s="522">
        <f>VLOOKUP($D$4,Wrought_Fit_Mech._Prop.[],7,FALSE)</f>
        <v>0</v>
      </c>
      <c r="H85" s="522" t="s">
        <v>1426</v>
      </c>
      <c r="I85" s="522">
        <f t="shared" si="0"/>
        <v>27.200000000000003</v>
      </c>
      <c r="J85" s="522">
        <f t="shared" si="1"/>
        <v>20.400000000000002</v>
      </c>
      <c r="K85" s="522">
        <v>-7</v>
      </c>
    </row>
    <row r="86" spans="1:11" x14ac:dyDescent="0.15">
      <c r="A86" s="522" t="s">
        <v>1421</v>
      </c>
      <c r="B86" s="522">
        <v>70000</v>
      </c>
      <c r="C86" s="522">
        <v>485</v>
      </c>
      <c r="D86" s="522">
        <v>82000</v>
      </c>
      <c r="E86" s="522">
        <v>565</v>
      </c>
      <c r="F86" s="522">
        <v>18</v>
      </c>
      <c r="G86" s="522">
        <f>VLOOKUP($D$4,Wrought_Fit_Mech._Prop.[],7,FALSE)</f>
        <v>0</v>
      </c>
      <c r="H86" s="522" t="s">
        <v>1426</v>
      </c>
      <c r="I86" s="522">
        <f t="shared" si="0"/>
        <v>27.200000000000003</v>
      </c>
      <c r="J86" s="522">
        <f t="shared" si="1"/>
        <v>20.400000000000002</v>
      </c>
      <c r="K86" s="522">
        <v>-7</v>
      </c>
    </row>
    <row r="87" spans="1:11" x14ac:dyDescent="0.15">
      <c r="A87" s="522" t="s">
        <v>1422</v>
      </c>
      <c r="B87" s="522">
        <v>80000</v>
      </c>
      <c r="C87" s="522">
        <v>550</v>
      </c>
      <c r="D87" s="522">
        <v>90000</v>
      </c>
      <c r="E87" s="522">
        <v>620</v>
      </c>
      <c r="F87" s="522">
        <v>16</v>
      </c>
      <c r="G87" s="522">
        <f>VLOOKUP($D$4,Wrought_Fit_Mech._Prop.[],7,FALSE)</f>
        <v>0</v>
      </c>
      <c r="H87" s="522" t="s">
        <v>1426</v>
      </c>
      <c r="I87" s="522">
        <f t="shared" si="0"/>
        <v>27.200000000000003</v>
      </c>
      <c r="J87" s="522">
        <f t="shared" si="1"/>
        <v>20.400000000000002</v>
      </c>
      <c r="K87" s="522">
        <v>-7</v>
      </c>
    </row>
    <row r="88" spans="1:11" x14ac:dyDescent="0.15">
      <c r="A88" s="522"/>
      <c r="B88" s="522"/>
      <c r="C88" s="522"/>
      <c r="D88" s="522"/>
      <c r="E88" s="522"/>
      <c r="F88" s="522"/>
      <c r="G88" s="522"/>
      <c r="H88" s="522"/>
      <c r="I88" s="522"/>
      <c r="J88" s="522"/>
      <c r="K88" s="522"/>
    </row>
  </sheetData>
  <mergeCells count="14">
    <mergeCell ref="Q1:Q2"/>
    <mergeCell ref="A23:B23"/>
    <mergeCell ref="A18:B18"/>
    <mergeCell ref="A14:B14"/>
    <mergeCell ref="A27:B27"/>
    <mergeCell ref="A65:B65"/>
    <mergeCell ref="A78:B78"/>
    <mergeCell ref="N1:N2"/>
    <mergeCell ref="O1:P1"/>
    <mergeCell ref="O2:P2"/>
    <mergeCell ref="A31:B31"/>
    <mergeCell ref="A35:B35"/>
    <mergeCell ref="A39:B39"/>
    <mergeCell ref="A43:B43"/>
  </mergeCells>
  <dataValidations count="3">
    <dataValidation type="list" allowBlank="1" showInputMessage="1" showErrorMessage="1" sqref="A3:A7" xr:uid="{00000000-0002-0000-0600-000000000000}">
      <formula1>$A$3:$A$7</formula1>
    </dataValidation>
    <dataValidation type="list" allowBlank="1" showInputMessage="1" showErrorMessage="1" sqref="B3:B7" xr:uid="{00000000-0002-0000-0600-000001000000}">
      <formula1>$X$3:$X$35</formula1>
    </dataValidation>
    <dataValidation type="list" allowBlank="1" showInputMessage="1" showErrorMessage="1" sqref="H3" xr:uid="{00000000-0002-0000-0600-000002000000}">
      <formula1>$T$3:$T$4</formula1>
    </dataValidation>
  </dataValidations>
  <pageMargins left="0.7" right="0.7" top="0.75" bottom="0.75" header="0.3" footer="0.3"/>
  <pageSetup paperSize="9" orientation="portrait" r:id="rId1"/>
  <drawing r:id="rId2"/>
  <tableParts count="13">
    <tablePart r:id="rId3"/>
    <tablePart r:id="rId4"/>
    <tablePart r:id="rId5"/>
    <tablePart r:id="rId6"/>
    <tablePart r:id="rId7"/>
    <tablePart r:id="rId8"/>
    <tablePart r:id="rId9"/>
    <tablePart r:id="rId10"/>
    <tablePart r:id="rId11"/>
    <tablePart r:id="rId12"/>
    <tablePart r:id="rId13"/>
    <tablePart r:id="rId14"/>
    <tablePart r:id="rId15"/>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3000000}">
          <x14:formula1>
            <xm:f>'Wrought Fittings'!$P$38:$P$59</xm:f>
          </x14:formula1>
          <xm:sqref>G3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ublished="0" codeName="Sayfa14">
    <tabColor rgb="FFFFFF00"/>
  </sheetPr>
  <dimension ref="A1:AQ74"/>
  <sheetViews>
    <sheetView workbookViewId="0">
      <selection activeCell="B3" sqref="B3"/>
    </sheetView>
  </sheetViews>
  <sheetFormatPr defaultRowHeight="15" x14ac:dyDescent="0.2"/>
  <cols>
    <col min="1" max="1" width="23.5390625" customWidth="1"/>
    <col min="2" max="2" width="27.57421875" bestFit="1" customWidth="1"/>
    <col min="3" max="3" width="14.390625" customWidth="1"/>
    <col min="4" max="4" width="12.5078125" customWidth="1"/>
    <col min="5" max="5" width="15.33203125" customWidth="1"/>
    <col min="6" max="6" width="16.0078125" customWidth="1"/>
    <col min="7" max="7" width="14.390625" customWidth="1"/>
    <col min="8" max="8" width="21.1171875" customWidth="1"/>
    <col min="9" max="9" width="12.5078125" customWidth="1"/>
    <col min="10" max="10" width="12.9140625" customWidth="1"/>
    <col min="11" max="12" width="11.56640625" customWidth="1"/>
    <col min="13" max="13" width="13.85546875" customWidth="1"/>
    <col min="14" max="14" width="13.71875" bestFit="1" customWidth="1"/>
    <col min="15" max="15" width="14.52734375" customWidth="1"/>
    <col min="16" max="16" width="31.34375" bestFit="1" customWidth="1"/>
    <col min="17" max="17" width="18.16015625" customWidth="1"/>
    <col min="18" max="18" width="21.1171875" customWidth="1"/>
    <col min="19" max="19" width="19.50390625" customWidth="1"/>
    <col min="20" max="20" width="22.46484375" customWidth="1"/>
    <col min="21" max="21" width="23.13671875" customWidth="1"/>
    <col min="22" max="22" width="17.3515625" customWidth="1"/>
    <col min="23" max="23" width="20.04296875" customWidth="1"/>
    <col min="24" max="24" width="11.8359375" customWidth="1"/>
    <col min="25" max="25" width="9.28125" customWidth="1"/>
    <col min="28" max="28" width="18.29296875" customWidth="1"/>
    <col min="31" max="31" width="16.140625" customWidth="1"/>
    <col min="32" max="32" width="15.6015625" customWidth="1"/>
    <col min="33" max="33" width="16.41015625" customWidth="1"/>
    <col min="34" max="34" width="17.484375" bestFit="1" customWidth="1"/>
    <col min="35" max="35" width="13.71875" customWidth="1"/>
    <col min="36" max="36" width="13.5859375" customWidth="1"/>
    <col min="37" max="37" width="15.6015625" customWidth="1"/>
    <col min="38" max="38" width="14.9296875" customWidth="1"/>
    <col min="39" max="39" width="15.46875" customWidth="1"/>
    <col min="40" max="40" width="16.41015625" customWidth="1"/>
    <col min="41" max="41" width="14.390625" customWidth="1"/>
    <col min="42" max="42" width="13.85546875" customWidth="1"/>
    <col min="43" max="43" width="15.06640625" customWidth="1"/>
  </cols>
  <sheetData>
    <row r="1" spans="1:22" x14ac:dyDescent="0.2">
      <c r="A1" s="299"/>
      <c r="B1" s="299"/>
      <c r="C1" s="299"/>
      <c r="D1" s="299"/>
      <c r="E1" s="299"/>
      <c r="F1" s="299"/>
      <c r="G1" s="299"/>
      <c r="H1" s="299"/>
      <c r="I1" s="299"/>
      <c r="J1" s="299"/>
      <c r="K1" s="299"/>
      <c r="L1" s="299"/>
      <c r="M1" s="299"/>
      <c r="N1" s="299"/>
    </row>
    <row r="2" spans="1:22" ht="30.75" x14ac:dyDescent="0.2">
      <c r="A2" s="548" t="s">
        <v>858</v>
      </c>
      <c r="B2" s="549" t="s">
        <v>1284</v>
      </c>
      <c r="C2" s="549" t="s">
        <v>1285</v>
      </c>
      <c r="D2" s="523" t="s">
        <v>1295</v>
      </c>
      <c r="E2" s="588" t="s">
        <v>121</v>
      </c>
      <c r="F2" s="523" t="s">
        <v>1427</v>
      </c>
      <c r="G2" s="549" t="s">
        <v>1294</v>
      </c>
      <c r="H2" s="523" t="s">
        <v>1293</v>
      </c>
      <c r="I2" s="523" t="s">
        <v>1411</v>
      </c>
      <c r="J2" s="523" t="s">
        <v>1327</v>
      </c>
      <c r="K2" s="523" t="s">
        <v>1460</v>
      </c>
      <c r="M2" s="299"/>
    </row>
    <row r="3" spans="1:22" ht="21" x14ac:dyDescent="0.2">
      <c r="A3" s="558" t="s">
        <v>711</v>
      </c>
      <c r="B3" s="558" t="s">
        <v>691</v>
      </c>
      <c r="C3" s="558">
        <f>VLOOKUP(Tablo1538[[#This Row],[Çap(inch)]],Fitting_Flanş[[#All],[BORU DIŞ ÇAPI Anma (inch)]:[Nominal (mm)]],4,0)</f>
        <v>114.3</v>
      </c>
      <c r="D3" s="542" t="str">
        <f>IF(Tablo1538[[#This Row],[Çap(mm)]]&gt;60.3," Class 600 "," Class 1500")</f>
        <v xml:space="preserve"> Class 600 </v>
      </c>
      <c r="E3" s="542"/>
      <c r="F3" s="542">
        <v>-28</v>
      </c>
      <c r="G3" s="573" t="str">
        <f>VLOOKUP(B3,Fitting_Flanş[#All],(IF(Tablo1538[[#This Row],[FİTTİNG]]="FLANŞ",7,7)),FALSE)</f>
        <v>ASTM A105</v>
      </c>
      <c r="H3" s="575" t="e">
        <f>VLOOKUP(Tablo1538[[#This Row],[Malzeme Standardı]],A55:L66,2,0)</f>
        <v>#N/A</v>
      </c>
      <c r="I3" s="578"/>
      <c r="J3" s="578" t="s">
        <v>1216</v>
      </c>
      <c r="K3" s="579" t="s">
        <v>1405</v>
      </c>
      <c r="M3" s="300"/>
    </row>
    <row r="4" spans="1:22" ht="29.25" customHeight="1" x14ac:dyDescent="0.2">
      <c r="A4" s="558" t="s">
        <v>710</v>
      </c>
      <c r="B4" s="558" t="str">
        <f>B3</f>
        <v xml:space="preserve">4" </v>
      </c>
      <c r="C4" s="558">
        <f>VLOOKUP(Tablo1538[[#This Row],[Çap(inch)]],Fitting_Flanş[[#All],[BORU DIŞ ÇAPI Anma (inch)]:[Nominal (mm)]],4,0)</f>
        <v>114.3</v>
      </c>
      <c r="D4" s="542" t="str">
        <f>IF(Tablo1538[[#This Row],[Çap(mm)]]&gt;60.3," Class 600 "," Class 1500")</f>
        <v xml:space="preserve"> Class 600 </v>
      </c>
      <c r="E4" s="542"/>
      <c r="F4" s="542">
        <v>-28</v>
      </c>
      <c r="G4" s="573" t="s">
        <v>1325</v>
      </c>
      <c r="H4" s="576" t="s">
        <v>1325</v>
      </c>
      <c r="I4" s="578"/>
      <c r="J4" s="578"/>
      <c r="K4" s="579"/>
      <c r="M4" s="299"/>
    </row>
    <row r="5" spans="1:22" x14ac:dyDescent="0.2">
      <c r="A5" s="558" t="s">
        <v>709</v>
      </c>
      <c r="B5" s="558" t="str">
        <f>B3</f>
        <v xml:space="preserve">4" </v>
      </c>
      <c r="C5" s="558">
        <f>VLOOKUP(Tablo1538[[#This Row],[Çap(inch)]],Fitting_Flanş[[#All],[BORU DIŞ ÇAPI Anma (inch)]:[Nominal (mm)]],4,0)</f>
        <v>114.3</v>
      </c>
      <c r="D5" s="542" t="str">
        <f>IF(Tablo1538[[#This Row],[Çap(mm)]]&gt;60.3," Class 600 "," Class 1500")</f>
        <v xml:space="preserve"> Class 600 </v>
      </c>
      <c r="E5" s="542"/>
      <c r="F5" s="542">
        <v>-28</v>
      </c>
      <c r="G5" s="573" t="s">
        <v>1326</v>
      </c>
      <c r="H5" s="575"/>
      <c r="I5" s="578"/>
      <c r="J5" s="578"/>
      <c r="K5" s="579"/>
      <c r="M5" s="299"/>
    </row>
    <row r="6" spans="1:22" ht="21" x14ac:dyDescent="0.2">
      <c r="A6" s="558" t="s">
        <v>708</v>
      </c>
      <c r="B6" s="558" t="str">
        <f>B3</f>
        <v xml:space="preserve">4" </v>
      </c>
      <c r="C6" s="558">
        <f>VLOOKUP(Tablo1538[[#This Row],[Çap(inch)]],Fitting_Flanş[[#All],[BORU DIŞ ÇAPI Anma (inch)]:[Nominal (mm)]],4,0)</f>
        <v>114.3</v>
      </c>
      <c r="D6" s="542" t="str">
        <f>IF(Tablo1538[[#This Row],[Çap(mm)]]&gt;60.3," Class 600 "," Class 1500")</f>
        <v xml:space="preserve"> Class 600 </v>
      </c>
      <c r="E6" s="542"/>
      <c r="F6" s="542">
        <v>-28</v>
      </c>
      <c r="G6" s="573" t="str">
        <f>VLOOKUP(B6,Fitting_Flanş[#All],(IF(Tablo1538[[#This Row],[FİTTİNG]]="KÖR FLANŞ",7,5)),FALSE)</f>
        <v>ASTM A105</v>
      </c>
      <c r="H6" s="575" t="e">
        <f>H3</f>
        <v>#N/A</v>
      </c>
      <c r="I6" s="578"/>
      <c r="J6" s="578" t="str">
        <f>J3</f>
        <v>ASTM A182 F6a Class1</v>
      </c>
      <c r="K6" s="579" t="s">
        <v>856</v>
      </c>
      <c r="M6" s="299"/>
    </row>
    <row r="7" spans="1:22" x14ac:dyDescent="0.2">
      <c r="N7" s="299"/>
      <c r="Q7" s="521"/>
      <c r="R7" s="522"/>
      <c r="S7" s="522"/>
      <c r="T7" s="522"/>
      <c r="U7" s="521"/>
      <c r="V7" s="521"/>
    </row>
    <row r="9" spans="1:22" x14ac:dyDescent="0.2">
      <c r="A9" s="550" t="str">
        <f>"Seçilen Flanş için Malzeme Standardının Kimyasal Kompozisyon Sınırları"</f>
        <v>Seçilen Flanş için Malzeme Standardının Kimyasal Kompozisyon Sınırları</v>
      </c>
      <c r="B9" s="299"/>
      <c r="C9" s="299"/>
      <c r="D9" s="299"/>
      <c r="E9" s="299"/>
      <c r="F9" s="299"/>
      <c r="G9" s="299"/>
      <c r="H9" s="299"/>
      <c r="I9" s="299"/>
      <c r="J9" s="299"/>
      <c r="K9" s="299"/>
      <c r="L9" s="299"/>
      <c r="M9" s="299"/>
    </row>
    <row r="10" spans="1:22" x14ac:dyDescent="0.2">
      <c r="A10" s="522" t="s">
        <v>141</v>
      </c>
      <c r="B10" s="300" t="s">
        <v>358</v>
      </c>
      <c r="C10" s="300" t="s">
        <v>359</v>
      </c>
      <c r="D10" s="300" t="s">
        <v>360</v>
      </c>
      <c r="E10" s="300" t="s">
        <v>361</v>
      </c>
      <c r="F10" s="300" t="s">
        <v>362</v>
      </c>
      <c r="G10" s="300" t="s">
        <v>363</v>
      </c>
      <c r="H10" s="300" t="s">
        <v>364</v>
      </c>
      <c r="I10" s="300" t="s">
        <v>1163</v>
      </c>
      <c r="J10" s="300" t="s">
        <v>1164</v>
      </c>
      <c r="K10" s="300" t="s">
        <v>1165</v>
      </c>
      <c r="L10" s="300" t="s">
        <v>1166</v>
      </c>
      <c r="M10" s="300" t="s">
        <v>1167</v>
      </c>
      <c r="N10" s="300" t="s">
        <v>1198</v>
      </c>
    </row>
    <row r="11" spans="1:22" x14ac:dyDescent="0.2">
      <c r="A11" s="580" t="str">
        <f>G3</f>
        <v>ASTM A105</v>
      </c>
      <c r="B11" s="580" t="str">
        <f>VLOOKUP($G$3,Tablo11[#All],2,0)</f>
        <v>0,35 max</v>
      </c>
      <c r="C11" s="580" t="str">
        <f>VLOOKUP($G$3,Tablo11[#All],3,0)</f>
        <v>0,6/1,05</v>
      </c>
      <c r="D11" s="580">
        <f>VLOOKUP($G$3,Tablo11[#All],4,0)</f>
        <v>3.5000000000000003E-2</v>
      </c>
      <c r="E11" s="580">
        <f>VLOOKUP($G$3,Tablo11[#All],5,0)</f>
        <v>0.04</v>
      </c>
      <c r="F11" s="580" t="str">
        <f>VLOOKUP($G$3,Tablo11[#All],6,0)</f>
        <v>0,035 max</v>
      </c>
      <c r="G11" s="580">
        <f>VLOOKUP($G$3,Tablo11[#All],7,0)</f>
        <v>0.4</v>
      </c>
      <c r="H11" s="580">
        <f>VLOOKUP($G$3,Tablo11[#All],8,0)</f>
        <v>0.4</v>
      </c>
      <c r="I11" s="580">
        <f>VLOOKUP($G$3,Tablo11[#All],9,0)</f>
        <v>0.12</v>
      </c>
      <c r="J11" s="580">
        <f>VLOOKUP($G$3,Tablo11[#All],10,0)</f>
        <v>0.08</v>
      </c>
      <c r="K11" s="580">
        <f>VLOOKUP($G$3,Tablo11[#All],11,0)</f>
        <v>0</v>
      </c>
      <c r="L11" s="580">
        <f>VLOOKUP($G$3,Tablo11[#All],12,0)</f>
        <v>0</v>
      </c>
      <c r="M11" s="580">
        <f>VLOOKUP($G$3,Tablo11[#All],13,0)</f>
        <v>0</v>
      </c>
      <c r="N11" s="580">
        <f>VLOOKUP($G$3,Tablo11[#All],14,0)</f>
        <v>0</v>
      </c>
    </row>
    <row r="12" spans="1:22" s="510" customFormat="1" x14ac:dyDescent="0.2">
      <c r="A12" s="522"/>
      <c r="B12" s="522"/>
      <c r="C12" s="522"/>
      <c r="D12" s="522"/>
      <c r="E12" s="522"/>
      <c r="F12" s="522"/>
      <c r="G12" s="522"/>
      <c r="H12" s="522"/>
      <c r="I12" s="522"/>
      <c r="J12" s="522"/>
      <c r="K12" s="522"/>
      <c r="L12" s="522"/>
      <c r="M12" s="522"/>
    </row>
    <row r="13" spans="1:22" s="510" customFormat="1" x14ac:dyDescent="0.2">
      <c r="A13" s="550" t="str">
        <f>"Seçilen Flanş için Üretim Standardının Kimyasal Kompozisyon Sınırları"</f>
        <v>Seçilen Flanş için Üretim Standardının Kimyasal Kompozisyon Sınırları</v>
      </c>
      <c r="B13" s="521"/>
      <c r="C13" s="521"/>
      <c r="D13" s="521"/>
      <c r="E13" s="521"/>
      <c r="F13" s="521"/>
      <c r="G13" s="521"/>
      <c r="H13" s="521"/>
      <c r="I13" s="521"/>
      <c r="J13" s="521"/>
      <c r="K13" s="521"/>
      <c r="L13" s="521"/>
      <c r="M13" s="521"/>
    </row>
    <row r="14" spans="1:22" s="510" customFormat="1" x14ac:dyDescent="0.2">
      <c r="A14" s="522" t="s">
        <v>141</v>
      </c>
      <c r="B14" s="522" t="s">
        <v>358</v>
      </c>
      <c r="C14" s="522" t="s">
        <v>359</v>
      </c>
      <c r="D14" s="522" t="s">
        <v>360</v>
      </c>
      <c r="E14" s="522" t="s">
        <v>361</v>
      </c>
      <c r="F14" s="522" t="s">
        <v>362</v>
      </c>
      <c r="G14" s="522" t="s">
        <v>363</v>
      </c>
      <c r="H14" s="522" t="s">
        <v>364</v>
      </c>
      <c r="I14" s="522" t="s">
        <v>1163</v>
      </c>
      <c r="J14" s="522" t="s">
        <v>1164</v>
      </c>
      <c r="K14" s="522" t="s">
        <v>1165</v>
      </c>
      <c r="L14" s="522" t="s">
        <v>1166</v>
      </c>
      <c r="M14" s="522" t="s">
        <v>1167</v>
      </c>
      <c r="N14" s="522" t="s">
        <v>1198</v>
      </c>
    </row>
    <row r="15" spans="1:22" s="510" customFormat="1" x14ac:dyDescent="0.2">
      <c r="A15" s="581" t="e">
        <f>H3</f>
        <v>#N/A</v>
      </c>
      <c r="B15" s="581" t="e">
        <f>VLOOKUP($H$3,$H$38:$U$49,2,0)</f>
        <v>#N/A</v>
      </c>
      <c r="C15" s="581" t="e">
        <f>VLOOKUP($H$3,$H$38:$U$49,3,0)</f>
        <v>#N/A</v>
      </c>
      <c r="D15" s="581" t="e">
        <f>VLOOKUP($H$3,$H$38:$U$49,4,0)</f>
        <v>#N/A</v>
      </c>
      <c r="E15" s="581" t="e">
        <f>VLOOKUP($H$3,$H$38:$U$49,5,0)</f>
        <v>#N/A</v>
      </c>
      <c r="F15" s="581" t="e">
        <f>VLOOKUP($H$3,$H$38:$U$49,6,0)</f>
        <v>#N/A</v>
      </c>
      <c r="G15" s="581" t="e">
        <f>VLOOKUP($H$3,$H$38:$U$49,7,0)</f>
        <v>#N/A</v>
      </c>
      <c r="H15" s="581" t="e">
        <f>VLOOKUP($H$3,$H$38:$U$49,8,0)</f>
        <v>#N/A</v>
      </c>
      <c r="I15" s="581" t="e">
        <f>VLOOKUP($H$3,$H$38:$U$49,9,0)</f>
        <v>#N/A</v>
      </c>
      <c r="J15" s="581" t="e">
        <f>VLOOKUP($H$3,$H$38:$U$49,10,0)</f>
        <v>#N/A</v>
      </c>
      <c r="K15" s="581" t="e">
        <f>VLOOKUP($H$3,$H$38:$U$49,11,0)</f>
        <v>#N/A</v>
      </c>
      <c r="L15" s="581" t="e">
        <f>VLOOKUP($H$3,$H$38:$U$49,12,0)</f>
        <v>#N/A</v>
      </c>
      <c r="M15" s="581" t="e">
        <f>VLOOKUP($H$3,$H$38:$U$49,13,0)</f>
        <v>#N/A</v>
      </c>
      <c r="N15" s="581" t="e">
        <f>VLOOKUP($H$3,$H$38:$U$49,14,0)</f>
        <v>#N/A</v>
      </c>
    </row>
    <row r="16" spans="1:22" s="510" customFormat="1" x14ac:dyDescent="0.2">
      <c r="A16" s="551"/>
      <c r="B16" s="551"/>
      <c r="C16" s="551"/>
      <c r="D16" s="551"/>
      <c r="E16" s="551"/>
      <c r="F16" s="551"/>
      <c r="G16" s="551"/>
      <c r="H16" s="551"/>
      <c r="I16" s="551"/>
      <c r="J16" s="551"/>
      <c r="K16" s="551"/>
      <c r="L16" s="551"/>
      <c r="M16" s="551"/>
    </row>
    <row r="17" spans="1:13" s="510" customFormat="1" x14ac:dyDescent="0.2">
      <c r="A17" s="550" t="s">
        <v>1399</v>
      </c>
      <c r="B17" s="521"/>
      <c r="C17" s="521"/>
      <c r="D17" s="521"/>
      <c r="E17" s="521"/>
      <c r="F17" s="521"/>
      <c r="G17" s="521"/>
      <c r="H17" s="521"/>
      <c r="I17" s="521"/>
      <c r="J17" s="521"/>
      <c r="K17" s="521"/>
      <c r="L17" s="551"/>
      <c r="M17" s="551"/>
    </row>
    <row r="18" spans="1:13" s="510" customFormat="1" ht="21" x14ac:dyDescent="0.2">
      <c r="A18" s="542" t="s">
        <v>141</v>
      </c>
      <c r="B18" s="542" t="s">
        <v>372</v>
      </c>
      <c r="C18" s="542" t="s">
        <v>373</v>
      </c>
      <c r="D18" s="542" t="s">
        <v>369</v>
      </c>
      <c r="E18" s="542" t="s">
        <v>370</v>
      </c>
      <c r="F18" s="542" t="s">
        <v>374</v>
      </c>
      <c r="G18" s="542" t="s">
        <v>375</v>
      </c>
      <c r="H18" s="542" t="s">
        <v>376</v>
      </c>
      <c r="I18" s="542" t="s">
        <v>1288</v>
      </c>
      <c r="J18" s="542" t="s">
        <v>1287</v>
      </c>
      <c r="K18" s="542" t="s">
        <v>1286</v>
      </c>
      <c r="L18" s="551"/>
      <c r="M18" s="551"/>
    </row>
    <row r="19" spans="1:13" s="510" customFormat="1" x14ac:dyDescent="0.2">
      <c r="A19" s="582" t="str">
        <f>G3</f>
        <v>ASTM A105</v>
      </c>
      <c r="B19" s="582">
        <f>VLOOKUP($G$3,Tablo12[#All],2,0)</f>
        <v>36000</v>
      </c>
      <c r="C19" s="582">
        <f>VLOOKUP($G$3,Tablo12[#All],3,0)</f>
        <v>250</v>
      </c>
      <c r="D19" s="582">
        <f>VLOOKUP($G$3,Tablo12[#All],4,0)</f>
        <v>70000</v>
      </c>
      <c r="E19" s="582">
        <f>VLOOKUP($G$3,Tablo12[#All],5,0)</f>
        <v>485</v>
      </c>
      <c r="F19" s="582" t="str">
        <f>VLOOKUP($G$3,Tablo12[#All],6,0)</f>
        <v>22**</v>
      </c>
      <c r="G19" s="582">
        <f>VLOOKUP($G$3,Tablo12[#All],7,0)</f>
        <v>30</v>
      </c>
      <c r="H19" s="582">
        <f>VLOOKUP($G$3,Tablo12[#All],8,0)</f>
        <v>197</v>
      </c>
      <c r="I19" s="582">
        <f>VLOOKUP($G$3,Tablo12[#All],9,0)</f>
        <v>0</v>
      </c>
      <c r="J19" s="582">
        <f>VLOOKUP($G$3,Tablo12[#All],10,0)</f>
        <v>0</v>
      </c>
      <c r="K19" s="582">
        <f>VLOOKUP($G$3,Tablo12[#All],11,0)</f>
        <v>0</v>
      </c>
      <c r="L19" s="551"/>
      <c r="M19" s="551"/>
    </row>
    <row r="20" spans="1:13" s="510" customFormat="1" x14ac:dyDescent="0.2">
      <c r="L20" s="551"/>
      <c r="M20" s="551"/>
    </row>
    <row r="21" spans="1:13" s="510" customFormat="1" x14ac:dyDescent="0.2">
      <c r="A21" s="550" t="str">
        <f>" Seçilen Flanş için Üretim Standardı Mekanik Özellikler "</f>
        <v xml:space="preserve"> Seçilen Flanş için Üretim Standardı Mekanik Özellikler </v>
      </c>
      <c r="B21" s="521"/>
      <c r="C21" s="521"/>
      <c r="D21" s="521"/>
      <c r="E21" s="521"/>
      <c r="F21" s="521"/>
      <c r="G21" s="521"/>
      <c r="H21" s="521"/>
      <c r="L21" s="551"/>
      <c r="M21" s="551"/>
    </row>
    <row r="22" spans="1:13" s="510" customFormat="1" ht="21" x14ac:dyDescent="0.2">
      <c r="A22" s="542" t="s">
        <v>141</v>
      </c>
      <c r="B22" s="542" t="s">
        <v>372</v>
      </c>
      <c r="C22" s="542" t="s">
        <v>373</v>
      </c>
      <c r="D22" s="542" t="s">
        <v>369</v>
      </c>
      <c r="E22" s="542" t="s">
        <v>370</v>
      </c>
      <c r="F22" s="542" t="s">
        <v>374</v>
      </c>
      <c r="G22" s="542" t="s">
        <v>375</v>
      </c>
      <c r="H22" s="542" t="s">
        <v>1321</v>
      </c>
      <c r="I22" s="542" t="s">
        <v>1322</v>
      </c>
      <c r="J22" s="542" t="s">
        <v>1323</v>
      </c>
      <c r="K22" s="542" t="s">
        <v>1324</v>
      </c>
      <c r="L22" s="522"/>
      <c r="M22" s="522"/>
    </row>
    <row r="23" spans="1:13" x14ac:dyDescent="0.2">
      <c r="A23" s="583" t="e">
        <f>H3</f>
        <v>#N/A</v>
      </c>
      <c r="B23" s="583" t="e">
        <f>VLOOKUP($H$3,Tablo49[],2,0)</f>
        <v>#N/A</v>
      </c>
      <c r="C23" s="583" t="e">
        <f>VLOOKUP($H$3,Tablo49[],3,0)</f>
        <v>#N/A</v>
      </c>
      <c r="D23" s="583" t="e">
        <f>VLOOKUP($H$3,Tablo49[],4,0)</f>
        <v>#N/A</v>
      </c>
      <c r="E23" s="583" t="e">
        <f>VLOOKUP($H$3,Tablo49[],5,0)</f>
        <v>#N/A</v>
      </c>
      <c r="F23" s="583" t="e">
        <f>VLOOKUP($H$3,Tablo49[],6,0)</f>
        <v>#N/A</v>
      </c>
      <c r="G23" s="583" t="e">
        <f>VLOOKUP($H$3,Tablo49[],7,0)</f>
        <v>#N/A</v>
      </c>
      <c r="H23" s="583" t="e">
        <f>VLOOKUP($H$3,Tablo49[],8,0)</f>
        <v>#N/A</v>
      </c>
      <c r="I23" s="583" t="e">
        <f>VLOOKUP($H$3,Tablo49[],9,0)</f>
        <v>#N/A</v>
      </c>
      <c r="J23" s="583" t="e">
        <f>VLOOKUP($H$3,Tablo49[],10,0)</f>
        <v>#N/A</v>
      </c>
      <c r="K23" s="583" t="e">
        <f>VLOOKUP($H$3,Tablo49[],11,0)</f>
        <v>#N/A</v>
      </c>
      <c r="L23" s="299"/>
      <c r="M23" s="299"/>
    </row>
    <row r="24" spans="1:13" x14ac:dyDescent="0.2">
      <c r="I24" s="299"/>
      <c r="J24" s="299"/>
      <c r="K24" s="299"/>
      <c r="L24" s="299"/>
      <c r="M24" s="299"/>
    </row>
    <row r="25" spans="1:13" x14ac:dyDescent="0.2">
      <c r="A25" s="550" t="s">
        <v>1336</v>
      </c>
      <c r="B25" s="299"/>
      <c r="C25" s="299"/>
      <c r="D25" s="299"/>
      <c r="E25" s="299"/>
      <c r="F25" s="299"/>
      <c r="G25" s="299"/>
      <c r="H25" s="299"/>
      <c r="I25" s="299"/>
      <c r="J25" s="299"/>
      <c r="K25" s="299"/>
      <c r="L25" s="299"/>
      <c r="M25" s="299"/>
    </row>
    <row r="26" spans="1:13" ht="21" x14ac:dyDescent="0.2">
      <c r="A26" s="503" t="s">
        <v>372</v>
      </c>
      <c r="B26" s="503" t="s">
        <v>373</v>
      </c>
      <c r="C26" s="503" t="s">
        <v>369</v>
      </c>
      <c r="D26" s="503" t="s">
        <v>370</v>
      </c>
      <c r="E26" s="503" t="s">
        <v>374</v>
      </c>
      <c r="F26" s="503" t="s">
        <v>375</v>
      </c>
      <c r="G26" s="503" t="s">
        <v>376</v>
      </c>
      <c r="H26" s="542" t="s">
        <v>1288</v>
      </c>
      <c r="I26" s="542" t="s">
        <v>1287</v>
      </c>
      <c r="J26" s="542" t="s">
        <v>1286</v>
      </c>
      <c r="K26" s="299"/>
      <c r="L26" s="299"/>
      <c r="M26" s="299"/>
    </row>
    <row r="27" spans="1:13" x14ac:dyDescent="0.2">
      <c r="A27" s="499">
        <f>VLOOKUP($J$3,Tablo12[#All],2,0)</f>
        <v>40000</v>
      </c>
      <c r="B27" s="541">
        <f>VLOOKUP($J$3,Tablo12[#All],3,0)</f>
        <v>275</v>
      </c>
      <c r="C27" s="541">
        <f>VLOOKUP($J$3,Tablo12[#All],4,0)</f>
        <v>70000</v>
      </c>
      <c r="D27" s="541">
        <f>VLOOKUP($J$3,Tablo12[#All],5,0)</f>
        <v>485</v>
      </c>
      <c r="E27" s="541">
        <f>VLOOKUP($J$3,Tablo12[#All],6,0)</f>
        <v>18</v>
      </c>
      <c r="F27" s="541">
        <f>VLOOKUP($J$3,Tablo12[#All],7,0)</f>
        <v>35</v>
      </c>
      <c r="G27" s="541" t="str">
        <f>VLOOKUP($J$3,Tablo12[#All],8,0)</f>
        <v>143-207</v>
      </c>
      <c r="H27" s="541">
        <f>VLOOKUP($J$3,Tablo12[#All],9,0)</f>
        <v>0</v>
      </c>
      <c r="I27" s="541">
        <f>VLOOKUP($J$3,Tablo12[#All],10,0)</f>
        <v>0</v>
      </c>
      <c r="J27" s="541">
        <f>VLOOKUP($J$3,Tablo12[#All],11,0)</f>
        <v>0</v>
      </c>
    </row>
    <row r="29" spans="1:13" x14ac:dyDescent="0.2">
      <c r="A29" s="550" t="str">
        <f>" Seçilen Flanş için Üretim Standardı Mekanik Özellikler Manuel"</f>
        <v xml:space="preserve"> Seçilen Flanş için Üretim Standardı Mekanik Özellikler Manuel</v>
      </c>
      <c r="B29" s="521"/>
      <c r="C29" s="521"/>
      <c r="D29" s="521"/>
      <c r="E29" s="521"/>
      <c r="F29" s="521"/>
      <c r="G29" s="521"/>
      <c r="H29" s="521"/>
    </row>
    <row r="30" spans="1:13" ht="21" x14ac:dyDescent="0.2">
      <c r="A30" s="542" t="s">
        <v>141</v>
      </c>
      <c r="B30" s="542" t="s">
        <v>372</v>
      </c>
      <c r="C30" s="542" t="s">
        <v>373</v>
      </c>
      <c r="D30" s="542" t="s">
        <v>369</v>
      </c>
      <c r="E30" s="542" t="s">
        <v>370</v>
      </c>
      <c r="F30" s="542" t="s">
        <v>374</v>
      </c>
      <c r="G30" s="542" t="s">
        <v>375</v>
      </c>
      <c r="H30" s="542" t="s">
        <v>1321</v>
      </c>
      <c r="I30" s="542" t="s">
        <v>1322</v>
      </c>
      <c r="J30" s="542" t="s">
        <v>1323</v>
      </c>
      <c r="K30" s="542" t="s">
        <v>1324</v>
      </c>
    </row>
    <row r="31" spans="1:13" x14ac:dyDescent="0.2">
      <c r="A31" s="546" t="str">
        <f>K3</f>
        <v>MSS SP-44 F52</v>
      </c>
      <c r="B31" s="546">
        <f>VLOOKUP($K$3,Tablo49[],2,0)</f>
        <v>52000</v>
      </c>
      <c r="C31" s="546">
        <f>VLOOKUP($K$3,Tablo49[],3,0)</f>
        <v>359</v>
      </c>
      <c r="D31" s="546">
        <f>VLOOKUP($K$3,Tablo49[],4,0)</f>
        <v>66000</v>
      </c>
      <c r="E31" s="546">
        <f>VLOOKUP($K$3,Tablo49[],5,0)</f>
        <v>455</v>
      </c>
      <c r="F31" s="546">
        <f>VLOOKUP($K$3,Tablo49[],6,0)</f>
        <v>20</v>
      </c>
      <c r="G31" s="546">
        <f>VLOOKUP($K$3,Tablo49[],7,0)</f>
        <v>0</v>
      </c>
      <c r="H31" s="546">
        <f>VLOOKUP($K$3,Tablo49[],8,0)</f>
        <v>235</v>
      </c>
      <c r="I31" s="546">
        <f>VLOOKUP($K$3,Tablo49[],9,0)</f>
        <v>27</v>
      </c>
      <c r="J31" s="546">
        <f>VLOOKUP($K$3,Tablo49[],10,0)</f>
        <v>20</v>
      </c>
      <c r="K31" s="546">
        <f>VLOOKUP($K$3,Tablo49[],11,0)</f>
        <v>-45</v>
      </c>
    </row>
    <row r="32" spans="1:13" s="510" customFormat="1" x14ac:dyDescent="0.2">
      <c r="A32" s="546"/>
      <c r="B32" s="546"/>
      <c r="C32" s="546"/>
      <c r="D32" s="546"/>
      <c r="E32" s="546"/>
      <c r="F32" s="546"/>
      <c r="G32" s="546"/>
      <c r="H32" s="546"/>
      <c r="I32" s="546"/>
      <c r="J32" s="546"/>
      <c r="K32" s="546"/>
    </row>
    <row r="33" spans="1:43" s="510" customFormat="1" x14ac:dyDescent="0.2">
      <c r="A33" s="546"/>
      <c r="B33" s="546"/>
      <c r="C33" s="546"/>
      <c r="D33" s="546"/>
      <c r="E33" s="546"/>
      <c r="F33" s="546"/>
      <c r="G33" s="546"/>
      <c r="H33" s="546"/>
      <c r="I33" s="546"/>
      <c r="J33" s="546"/>
      <c r="K33" s="546"/>
    </row>
    <row r="36" spans="1:43" ht="27.75" x14ac:dyDescent="0.2">
      <c r="A36" s="540" t="s">
        <v>1293</v>
      </c>
      <c r="B36" s="736" t="s">
        <v>1294</v>
      </c>
      <c r="C36" s="540" t="s">
        <v>1311</v>
      </c>
      <c r="D36" s="736" t="s">
        <v>1309</v>
      </c>
      <c r="E36" s="540" t="s">
        <v>1312</v>
      </c>
      <c r="F36" s="736" t="s">
        <v>1310</v>
      </c>
    </row>
    <row r="37" spans="1:43" ht="14.1" customHeight="1" thickBot="1" x14ac:dyDescent="0.25">
      <c r="A37" s="513" t="s">
        <v>1400</v>
      </c>
      <c r="B37" s="513" t="s">
        <v>140</v>
      </c>
      <c r="C37" s="513">
        <v>150</v>
      </c>
      <c r="D37" s="513" t="s">
        <v>1307</v>
      </c>
      <c r="E37" s="513">
        <v>150</v>
      </c>
      <c r="F37" s="513" t="s">
        <v>1315</v>
      </c>
      <c r="H37" t="s">
        <v>1301</v>
      </c>
    </row>
    <row r="38" spans="1:43" ht="14.1" customHeight="1" thickBot="1" x14ac:dyDescent="0.25">
      <c r="A38" s="513" t="s">
        <v>1401</v>
      </c>
      <c r="B38" s="513" t="s">
        <v>152</v>
      </c>
      <c r="C38" s="513">
        <v>300</v>
      </c>
      <c r="D38" s="513" t="s">
        <v>1308</v>
      </c>
      <c r="E38" s="513">
        <v>300</v>
      </c>
      <c r="F38" s="513">
        <v>150</v>
      </c>
      <c r="H38" s="572" t="s">
        <v>141</v>
      </c>
      <c r="I38" t="s">
        <v>358</v>
      </c>
      <c r="J38" t="s">
        <v>359</v>
      </c>
      <c r="K38" t="s">
        <v>360</v>
      </c>
      <c r="L38" t="s">
        <v>361</v>
      </c>
      <c r="M38" t="s">
        <v>362</v>
      </c>
      <c r="N38" t="s">
        <v>363</v>
      </c>
      <c r="O38" t="s">
        <v>364</v>
      </c>
      <c r="P38" t="s">
        <v>1163</v>
      </c>
      <c r="Q38" t="s">
        <v>1164</v>
      </c>
      <c r="R38" t="s">
        <v>1165</v>
      </c>
      <c r="S38" t="s">
        <v>1166</v>
      </c>
      <c r="T38" t="s">
        <v>1167</v>
      </c>
      <c r="U38" t="s">
        <v>1198</v>
      </c>
    </row>
    <row r="39" spans="1:43" ht="14.1" customHeight="1" x14ac:dyDescent="0.2">
      <c r="A39" s="513" t="s">
        <v>1402</v>
      </c>
      <c r="B39" s="513" t="s">
        <v>1298</v>
      </c>
      <c r="C39" s="513">
        <v>400</v>
      </c>
      <c r="D39" s="513">
        <v>100</v>
      </c>
      <c r="E39" s="513">
        <v>400</v>
      </c>
      <c r="F39" s="513">
        <v>175</v>
      </c>
      <c r="H39" s="584" t="s">
        <v>1400</v>
      </c>
      <c r="I39" s="512" t="s">
        <v>914</v>
      </c>
      <c r="J39" s="512" t="s">
        <v>1302</v>
      </c>
      <c r="K39" s="512" t="s">
        <v>1303</v>
      </c>
      <c r="L39" s="512" t="s">
        <v>924</v>
      </c>
      <c r="M39" s="512" t="s">
        <v>924</v>
      </c>
      <c r="N39" s="512" t="s">
        <v>914</v>
      </c>
      <c r="O39" s="512" t="s">
        <v>929</v>
      </c>
      <c r="P39" s="512" t="s">
        <v>936</v>
      </c>
      <c r="Q39" s="512" t="s">
        <v>1304</v>
      </c>
      <c r="R39" s="512" t="s">
        <v>929</v>
      </c>
      <c r="S39" s="512" t="s">
        <v>942</v>
      </c>
      <c r="T39" s="512"/>
      <c r="U39" s="512" t="s">
        <v>1305</v>
      </c>
    </row>
    <row r="40" spans="1:43" ht="14.1" customHeight="1" x14ac:dyDescent="0.2">
      <c r="A40" s="513" t="s">
        <v>1403</v>
      </c>
      <c r="B40" s="513" t="s">
        <v>1299</v>
      </c>
      <c r="C40" s="513">
        <v>600</v>
      </c>
      <c r="D40" s="513">
        <v>150</v>
      </c>
      <c r="E40" s="513">
        <v>600</v>
      </c>
      <c r="F40" s="513">
        <v>200</v>
      </c>
      <c r="H40" s="585" t="s">
        <v>1401</v>
      </c>
      <c r="I40" s="512" t="s">
        <v>914</v>
      </c>
      <c r="J40" s="512" t="s">
        <v>1302</v>
      </c>
      <c r="K40" s="512" t="s">
        <v>1303</v>
      </c>
      <c r="L40" s="512" t="s">
        <v>924</v>
      </c>
      <c r="M40" s="512" t="s">
        <v>924</v>
      </c>
      <c r="N40" s="512" t="s">
        <v>914</v>
      </c>
      <c r="O40" s="512" t="s">
        <v>929</v>
      </c>
      <c r="P40" s="512" t="s">
        <v>936</v>
      </c>
      <c r="Q40" s="512" t="s">
        <v>1304</v>
      </c>
      <c r="R40" s="512" t="s">
        <v>929</v>
      </c>
      <c r="S40" s="512" t="s">
        <v>942</v>
      </c>
      <c r="T40" s="512"/>
      <c r="U40" s="512" t="s">
        <v>1305</v>
      </c>
    </row>
    <row r="41" spans="1:43" ht="14.1" customHeight="1" x14ac:dyDescent="0.2">
      <c r="A41" s="513" t="s">
        <v>1404</v>
      </c>
      <c r="B41" s="513"/>
      <c r="C41" s="513">
        <v>900</v>
      </c>
      <c r="D41" s="513">
        <v>200</v>
      </c>
      <c r="E41" s="513">
        <v>900</v>
      </c>
      <c r="F41" s="513">
        <v>225</v>
      </c>
      <c r="H41" s="584" t="s">
        <v>1402</v>
      </c>
      <c r="I41" s="512" t="s">
        <v>914</v>
      </c>
      <c r="J41" s="512" t="s">
        <v>1302</v>
      </c>
      <c r="K41" s="512" t="s">
        <v>1303</v>
      </c>
      <c r="L41" s="512" t="s">
        <v>924</v>
      </c>
      <c r="M41" s="512" t="s">
        <v>924</v>
      </c>
      <c r="N41" s="512" t="s">
        <v>914</v>
      </c>
      <c r="O41" s="512" t="s">
        <v>929</v>
      </c>
      <c r="P41" s="512" t="s">
        <v>936</v>
      </c>
      <c r="Q41" s="512" t="s">
        <v>1304</v>
      </c>
      <c r="R41" s="512" t="s">
        <v>929</v>
      </c>
      <c r="S41" s="512" t="s">
        <v>942</v>
      </c>
      <c r="T41" s="512"/>
      <c r="U41" s="512" t="s">
        <v>1305</v>
      </c>
    </row>
    <row r="42" spans="1:43" ht="14.1" customHeight="1" x14ac:dyDescent="0.2">
      <c r="A42" s="513" t="s">
        <v>1405</v>
      </c>
      <c r="B42" s="513"/>
      <c r="C42" s="513">
        <v>1500</v>
      </c>
      <c r="D42" s="513">
        <v>250</v>
      </c>
      <c r="E42" s="513"/>
      <c r="F42" s="513">
        <v>232</v>
      </c>
      <c r="H42" s="585" t="s">
        <v>1403</v>
      </c>
      <c r="I42" s="512" t="s">
        <v>914</v>
      </c>
      <c r="J42" s="512" t="s">
        <v>1302</v>
      </c>
      <c r="K42" s="512" t="s">
        <v>1303</v>
      </c>
      <c r="L42" s="512" t="s">
        <v>924</v>
      </c>
      <c r="M42" s="512" t="s">
        <v>924</v>
      </c>
      <c r="N42" s="512" t="s">
        <v>914</v>
      </c>
      <c r="O42" s="512" t="s">
        <v>929</v>
      </c>
      <c r="P42" s="512" t="s">
        <v>936</v>
      </c>
      <c r="Q42" s="512" t="s">
        <v>1304</v>
      </c>
      <c r="R42" s="512" t="s">
        <v>929</v>
      </c>
      <c r="S42" s="512" t="s">
        <v>942</v>
      </c>
      <c r="T42" s="512"/>
      <c r="U42" s="512" t="s">
        <v>1305</v>
      </c>
    </row>
    <row r="43" spans="1:43" ht="14.1" customHeight="1" x14ac:dyDescent="0.2">
      <c r="A43" s="513" t="s">
        <v>1406</v>
      </c>
      <c r="B43" s="513"/>
      <c r="C43" s="513">
        <v>2500</v>
      </c>
      <c r="D43" s="513">
        <v>300</v>
      </c>
      <c r="E43" s="513"/>
      <c r="F43" s="513"/>
      <c r="H43" s="584" t="s">
        <v>1404</v>
      </c>
      <c r="I43" s="512" t="s">
        <v>914</v>
      </c>
      <c r="J43" s="512" t="s">
        <v>1302</v>
      </c>
      <c r="K43" s="512" t="s">
        <v>1303</v>
      </c>
      <c r="L43" s="512" t="s">
        <v>924</v>
      </c>
      <c r="M43" s="512" t="s">
        <v>924</v>
      </c>
      <c r="N43" s="512" t="s">
        <v>914</v>
      </c>
      <c r="O43" s="512" t="s">
        <v>929</v>
      </c>
      <c r="P43" s="512" t="s">
        <v>936</v>
      </c>
      <c r="Q43" s="512" t="s">
        <v>1304</v>
      </c>
      <c r="R43" s="512" t="s">
        <v>929</v>
      </c>
      <c r="S43" s="512" t="s">
        <v>942</v>
      </c>
      <c r="T43" s="512"/>
      <c r="U43" s="512" t="s">
        <v>1305</v>
      </c>
    </row>
    <row r="44" spans="1:43" ht="14.1" customHeight="1" x14ac:dyDescent="0.2">
      <c r="A44" s="513" t="s">
        <v>1407</v>
      </c>
      <c r="B44" s="513"/>
      <c r="C44" s="513"/>
      <c r="D44" s="513">
        <v>325</v>
      </c>
      <c r="E44" s="513"/>
      <c r="F44" s="513"/>
      <c r="H44" s="585" t="s">
        <v>1405</v>
      </c>
      <c r="I44" s="512" t="s">
        <v>914</v>
      </c>
      <c r="J44" s="512" t="s">
        <v>1302</v>
      </c>
      <c r="K44" s="512" t="s">
        <v>1303</v>
      </c>
      <c r="L44" s="512" t="s">
        <v>924</v>
      </c>
      <c r="M44" s="512" t="s">
        <v>924</v>
      </c>
      <c r="N44" s="512" t="s">
        <v>914</v>
      </c>
      <c r="O44" s="512" t="s">
        <v>929</v>
      </c>
      <c r="P44" s="512" t="s">
        <v>936</v>
      </c>
      <c r="Q44" s="512" t="s">
        <v>1304</v>
      </c>
      <c r="R44" s="512" t="s">
        <v>929</v>
      </c>
      <c r="S44" s="512" t="s">
        <v>942</v>
      </c>
      <c r="T44" s="512"/>
      <c r="U44" s="512" t="s">
        <v>1305</v>
      </c>
      <c r="AE44" t="s">
        <v>1334</v>
      </c>
    </row>
    <row r="45" spans="1:43" ht="14.1" customHeight="1" thickBot="1" x14ac:dyDescent="0.25">
      <c r="A45" s="513" t="s">
        <v>1408</v>
      </c>
      <c r="B45" s="513"/>
      <c r="C45" s="513"/>
      <c r="D45" s="513">
        <v>350</v>
      </c>
      <c r="E45" s="513"/>
      <c r="F45" s="513"/>
      <c r="H45" s="584" t="s">
        <v>1406</v>
      </c>
      <c r="I45" s="512" t="s">
        <v>914</v>
      </c>
      <c r="J45" s="512" t="s">
        <v>1302</v>
      </c>
      <c r="K45" s="512" t="s">
        <v>1303</v>
      </c>
      <c r="L45" s="512" t="s">
        <v>924</v>
      </c>
      <c r="M45" s="512" t="s">
        <v>924</v>
      </c>
      <c r="N45" s="512" t="s">
        <v>914</v>
      </c>
      <c r="O45" s="512" t="s">
        <v>929</v>
      </c>
      <c r="P45" s="512" t="s">
        <v>936</v>
      </c>
      <c r="Q45" s="512" t="s">
        <v>1304</v>
      </c>
      <c r="R45" s="512" t="s">
        <v>929</v>
      </c>
      <c r="S45" s="512" t="s">
        <v>942</v>
      </c>
      <c r="T45" s="512"/>
      <c r="U45" s="512" t="s">
        <v>1305</v>
      </c>
      <c r="AE45" s="500" t="s">
        <v>358</v>
      </c>
      <c r="AF45" s="501" t="s">
        <v>359</v>
      </c>
      <c r="AG45" s="501" t="s">
        <v>360</v>
      </c>
      <c r="AH45" s="501" t="s">
        <v>361</v>
      </c>
      <c r="AI45" s="501" t="s">
        <v>362</v>
      </c>
      <c r="AJ45" s="501" t="s">
        <v>363</v>
      </c>
      <c r="AK45" s="501" t="s">
        <v>364</v>
      </c>
      <c r="AL45" s="501" t="s">
        <v>1163</v>
      </c>
      <c r="AM45" s="501" t="s">
        <v>1164</v>
      </c>
      <c r="AN45" s="501" t="s">
        <v>1165</v>
      </c>
      <c r="AO45" s="501" t="s">
        <v>1166</v>
      </c>
      <c r="AP45" s="501" t="s">
        <v>1167</v>
      </c>
      <c r="AQ45" s="502" t="s">
        <v>1198</v>
      </c>
    </row>
    <row r="46" spans="1:43" ht="14.1" customHeight="1" thickTop="1" x14ac:dyDescent="0.2">
      <c r="A46" s="513" t="s">
        <v>1409</v>
      </c>
      <c r="B46" s="513"/>
      <c r="C46" s="513"/>
      <c r="D46" s="513">
        <v>375</v>
      </c>
      <c r="E46" s="513"/>
      <c r="F46" s="513"/>
      <c r="H46" s="585" t="s">
        <v>1407</v>
      </c>
      <c r="I46" s="512" t="s">
        <v>914</v>
      </c>
      <c r="J46" s="512" t="s">
        <v>1302</v>
      </c>
      <c r="K46" s="512" t="s">
        <v>1303</v>
      </c>
      <c r="L46" s="512" t="s">
        <v>924</v>
      </c>
      <c r="M46" s="512" t="s">
        <v>924</v>
      </c>
      <c r="N46" s="512" t="s">
        <v>914</v>
      </c>
      <c r="O46" s="512" t="s">
        <v>929</v>
      </c>
      <c r="P46" s="512" t="s">
        <v>936</v>
      </c>
      <c r="Q46" s="512" t="s">
        <v>1304</v>
      </c>
      <c r="R46" s="512" t="s">
        <v>929</v>
      </c>
      <c r="S46" s="512" t="s">
        <v>942</v>
      </c>
      <c r="T46" s="512"/>
      <c r="U46" s="512" t="s">
        <v>1305</v>
      </c>
      <c r="AE46" s="512" t="s">
        <v>1335</v>
      </c>
      <c r="AF46" s="512" t="s">
        <v>1335</v>
      </c>
      <c r="AG46" s="512" t="s">
        <v>1335</v>
      </c>
      <c r="AH46" s="512" t="s">
        <v>1335</v>
      </c>
      <c r="AI46" s="512" t="s">
        <v>1335</v>
      </c>
      <c r="AJ46" s="512" t="s">
        <v>1335</v>
      </c>
      <c r="AK46" s="512" t="s">
        <v>1335</v>
      </c>
      <c r="AL46" s="512" t="s">
        <v>1335</v>
      </c>
      <c r="AM46" s="512" t="s">
        <v>1335</v>
      </c>
      <c r="AN46" s="512" t="s">
        <v>1335</v>
      </c>
      <c r="AO46" s="512" t="s">
        <v>1335</v>
      </c>
      <c r="AP46" s="512" t="s">
        <v>1335</v>
      </c>
      <c r="AQ46" s="512" t="s">
        <v>1335</v>
      </c>
    </row>
    <row r="47" spans="1:43" ht="14.1" customHeight="1" x14ac:dyDescent="0.2">
      <c r="A47" s="513" t="s">
        <v>1410</v>
      </c>
      <c r="B47" s="513"/>
      <c r="C47" s="513"/>
      <c r="D47" s="513">
        <v>400</v>
      </c>
      <c r="E47" s="513"/>
      <c r="F47" s="513"/>
      <c r="H47" s="584" t="s">
        <v>1408</v>
      </c>
      <c r="I47" s="512" t="s">
        <v>914</v>
      </c>
      <c r="J47" s="512" t="s">
        <v>1302</v>
      </c>
      <c r="K47" s="512" t="s">
        <v>1303</v>
      </c>
      <c r="L47" s="512" t="s">
        <v>924</v>
      </c>
      <c r="M47" s="512" t="s">
        <v>924</v>
      </c>
      <c r="N47" s="512" t="s">
        <v>914</v>
      </c>
      <c r="O47" s="512" t="s">
        <v>929</v>
      </c>
      <c r="P47" s="512" t="s">
        <v>936</v>
      </c>
      <c r="Q47" s="512" t="s">
        <v>1304</v>
      </c>
      <c r="R47" s="512" t="s">
        <v>929</v>
      </c>
      <c r="S47" s="512" t="s">
        <v>942</v>
      </c>
      <c r="T47" s="512"/>
      <c r="U47" s="512" t="s">
        <v>1305</v>
      </c>
    </row>
    <row r="48" spans="1:43" ht="14.1" customHeight="1" thickBot="1" x14ac:dyDescent="0.25">
      <c r="A48" s="513" t="s">
        <v>1296</v>
      </c>
      <c r="B48" s="513"/>
      <c r="C48" s="513"/>
      <c r="D48" s="513">
        <v>425</v>
      </c>
      <c r="E48" s="513"/>
      <c r="F48" s="513"/>
      <c r="H48" s="585" t="s">
        <v>1409</v>
      </c>
      <c r="I48" s="512" t="s">
        <v>914</v>
      </c>
      <c r="J48" s="512" t="s">
        <v>1302</v>
      </c>
      <c r="K48" s="512" t="s">
        <v>1303</v>
      </c>
      <c r="L48" s="512" t="s">
        <v>924</v>
      </c>
      <c r="M48" s="512" t="s">
        <v>924</v>
      </c>
      <c r="N48" s="512" t="s">
        <v>914</v>
      </c>
      <c r="O48" s="512" t="s">
        <v>929</v>
      </c>
      <c r="P48" s="512" t="s">
        <v>936</v>
      </c>
      <c r="Q48" s="512" t="s">
        <v>1304</v>
      </c>
      <c r="R48" s="512" t="s">
        <v>929</v>
      </c>
      <c r="S48" s="512" t="s">
        <v>942</v>
      </c>
      <c r="T48" s="512"/>
      <c r="U48" s="512" t="s">
        <v>1305</v>
      </c>
    </row>
    <row r="49" spans="1:41" ht="14.1" customHeight="1" thickBot="1" x14ac:dyDescent="0.25">
      <c r="A49" s="513" t="s">
        <v>1297</v>
      </c>
      <c r="B49" s="513"/>
      <c r="C49" s="513"/>
      <c r="D49" s="513">
        <v>450</v>
      </c>
      <c r="E49" s="513"/>
      <c r="F49" s="513"/>
      <c r="H49" s="586" t="s">
        <v>1410</v>
      </c>
      <c r="I49" s="512" t="s">
        <v>914</v>
      </c>
      <c r="J49" s="512" t="s">
        <v>1302</v>
      </c>
      <c r="K49" s="512" t="s">
        <v>1303</v>
      </c>
      <c r="L49" s="512" t="s">
        <v>924</v>
      </c>
      <c r="M49" s="512" t="s">
        <v>924</v>
      </c>
      <c r="N49" s="512" t="s">
        <v>914</v>
      </c>
      <c r="O49" s="512" t="s">
        <v>929</v>
      </c>
      <c r="P49" s="512" t="s">
        <v>936</v>
      </c>
      <c r="Q49" s="512" t="s">
        <v>1304</v>
      </c>
      <c r="R49" s="512" t="s">
        <v>929</v>
      </c>
      <c r="S49" s="512" t="s">
        <v>942</v>
      </c>
      <c r="T49" s="512"/>
      <c r="U49" s="512" t="s">
        <v>1305</v>
      </c>
      <c r="AE49" s="556" t="s">
        <v>141</v>
      </c>
      <c r="AF49" s="556" t="s">
        <v>372</v>
      </c>
      <c r="AG49" s="554" t="s">
        <v>373</v>
      </c>
      <c r="AH49" s="554" t="s">
        <v>369</v>
      </c>
      <c r="AI49" s="554" t="s">
        <v>370</v>
      </c>
      <c r="AJ49" s="554" t="s">
        <v>374</v>
      </c>
      <c r="AK49" s="554" t="s">
        <v>375</v>
      </c>
      <c r="AL49" s="554" t="s">
        <v>1321</v>
      </c>
      <c r="AM49" s="557" t="s">
        <v>1322</v>
      </c>
      <c r="AN49" s="557" t="s">
        <v>1323</v>
      </c>
      <c r="AO49" s="555" t="s">
        <v>1324</v>
      </c>
    </row>
    <row r="50" spans="1:41" s="510" customFormat="1" ht="15.75" customHeight="1" x14ac:dyDescent="0.2">
      <c r="B50" s="513"/>
      <c r="C50" s="513"/>
      <c r="D50" s="513">
        <v>475</v>
      </c>
      <c r="E50" s="513"/>
      <c r="F50" s="513"/>
      <c r="AE50" s="559" t="s">
        <v>1335</v>
      </c>
      <c r="AF50" s="559" t="s">
        <v>1335</v>
      </c>
      <c r="AG50" s="559" t="s">
        <v>1335</v>
      </c>
      <c r="AH50" s="559" t="s">
        <v>1335</v>
      </c>
      <c r="AI50" s="559" t="s">
        <v>1335</v>
      </c>
      <c r="AJ50" s="559" t="s">
        <v>1335</v>
      </c>
      <c r="AK50" s="559" t="s">
        <v>1335</v>
      </c>
      <c r="AL50" s="559" t="s">
        <v>1335</v>
      </c>
      <c r="AM50" s="559" t="s">
        <v>1335</v>
      </c>
      <c r="AN50" s="559" t="s">
        <v>1335</v>
      </c>
      <c r="AO50" s="559" t="s">
        <v>1335</v>
      </c>
    </row>
    <row r="51" spans="1:41" s="510" customFormat="1" x14ac:dyDescent="0.2">
      <c r="B51" s="513"/>
      <c r="C51" s="513"/>
      <c r="D51" s="513">
        <v>500</v>
      </c>
      <c r="E51" s="513"/>
      <c r="F51" s="513"/>
    </row>
    <row r="52" spans="1:41" s="510" customFormat="1" x14ac:dyDescent="0.2">
      <c r="A52" s="513"/>
      <c r="B52" s="513"/>
      <c r="C52" s="513"/>
      <c r="D52" s="513">
        <v>538</v>
      </c>
      <c r="E52" s="513"/>
      <c r="F52" s="513"/>
    </row>
    <row r="53" spans="1:41" s="510" customFormat="1" x14ac:dyDescent="0.2">
      <c r="A53"/>
      <c r="B53"/>
      <c r="C53"/>
      <c r="D53"/>
      <c r="E53"/>
      <c r="F53"/>
    </row>
    <row r="54" spans="1:41" s="510" customFormat="1" x14ac:dyDescent="0.2">
      <c r="A54"/>
      <c r="B54" s="510" t="s">
        <v>1306</v>
      </c>
      <c r="C54"/>
      <c r="D54"/>
      <c r="E54"/>
      <c r="F54"/>
      <c r="G54"/>
      <c r="H54"/>
      <c r="I54"/>
      <c r="J54"/>
      <c r="K54"/>
      <c r="L54"/>
    </row>
    <row r="55" spans="1:41" s="510" customFormat="1" ht="21.75" thickBot="1" x14ac:dyDescent="0.25">
      <c r="A55"/>
      <c r="B55" s="504" t="s">
        <v>141</v>
      </c>
      <c r="C55" s="504" t="s">
        <v>372</v>
      </c>
      <c r="D55" s="505" t="s">
        <v>373</v>
      </c>
      <c r="E55" s="505" t="s">
        <v>369</v>
      </c>
      <c r="F55" s="505" t="s">
        <v>370</v>
      </c>
      <c r="G55" s="505" t="s">
        <v>374</v>
      </c>
      <c r="H55" s="505" t="s">
        <v>375</v>
      </c>
      <c r="I55" s="505" t="s">
        <v>1321</v>
      </c>
      <c r="J55" s="506" t="s">
        <v>1322</v>
      </c>
      <c r="K55" s="506" t="s">
        <v>1323</v>
      </c>
      <c r="L55" s="553" t="s">
        <v>1324</v>
      </c>
    </row>
    <row r="56" spans="1:41" s="510" customFormat="1" ht="15.75" thickTop="1" x14ac:dyDescent="0.2">
      <c r="B56" s="513" t="s">
        <v>1400</v>
      </c>
      <c r="C56" s="513">
        <v>36000</v>
      </c>
      <c r="D56" s="513">
        <v>248</v>
      </c>
      <c r="E56" s="513">
        <v>60000</v>
      </c>
      <c r="F56" s="513">
        <v>414</v>
      </c>
      <c r="G56" s="513">
        <v>20</v>
      </c>
      <c r="H56" s="513"/>
      <c r="I56" s="513">
        <v>235</v>
      </c>
      <c r="J56" s="513"/>
      <c r="K56" s="513"/>
      <c r="L56" s="513"/>
    </row>
    <row r="57" spans="1:41" x14ac:dyDescent="0.2">
      <c r="A57" s="571" t="s">
        <v>365</v>
      </c>
      <c r="B57" s="513" t="s">
        <v>1401</v>
      </c>
      <c r="C57" s="513">
        <v>42000</v>
      </c>
      <c r="D57" s="513">
        <v>290</v>
      </c>
      <c r="E57" s="513">
        <v>60000</v>
      </c>
      <c r="F57" s="513">
        <v>414</v>
      </c>
      <c r="G57" s="513">
        <v>20</v>
      </c>
      <c r="H57" s="513"/>
      <c r="I57" s="513">
        <v>235</v>
      </c>
      <c r="J57" s="513"/>
      <c r="K57" s="513"/>
      <c r="L57" s="513"/>
    </row>
    <row r="58" spans="1:41" x14ac:dyDescent="0.2">
      <c r="A58" s="571" t="s">
        <v>676</v>
      </c>
      <c r="B58" s="513" t="s">
        <v>1402</v>
      </c>
      <c r="C58" s="513">
        <v>46000</v>
      </c>
      <c r="D58" s="513">
        <v>317</v>
      </c>
      <c r="E58" s="513">
        <v>60000</v>
      </c>
      <c r="F58" s="513">
        <v>414</v>
      </c>
      <c r="G58" s="513">
        <v>20</v>
      </c>
      <c r="H58" s="513"/>
      <c r="I58" s="513">
        <v>235</v>
      </c>
      <c r="J58" s="513">
        <v>27</v>
      </c>
      <c r="K58" s="513">
        <v>20</v>
      </c>
      <c r="L58" s="513">
        <v>-45</v>
      </c>
    </row>
    <row r="59" spans="1:41" x14ac:dyDescent="0.2">
      <c r="A59" s="571" t="s">
        <v>732</v>
      </c>
      <c r="B59" s="513" t="s">
        <v>1403</v>
      </c>
      <c r="C59" s="513">
        <v>48000</v>
      </c>
      <c r="D59" s="513">
        <v>331</v>
      </c>
      <c r="E59" s="513">
        <v>62000</v>
      </c>
      <c r="F59" s="513">
        <v>427</v>
      </c>
      <c r="G59" s="513">
        <v>20</v>
      </c>
      <c r="H59" s="513"/>
      <c r="I59" s="513">
        <v>235</v>
      </c>
      <c r="J59" s="513">
        <v>27</v>
      </c>
      <c r="K59" s="513">
        <v>20</v>
      </c>
      <c r="L59" s="513">
        <v>-45</v>
      </c>
    </row>
    <row r="60" spans="1:41" x14ac:dyDescent="0.2">
      <c r="A60" s="571" t="s">
        <v>733</v>
      </c>
      <c r="B60" s="513" t="s">
        <v>1404</v>
      </c>
      <c r="C60" s="513">
        <v>50000</v>
      </c>
      <c r="D60" s="513">
        <v>345</v>
      </c>
      <c r="E60" s="513">
        <v>64000</v>
      </c>
      <c r="F60" s="513">
        <v>441</v>
      </c>
      <c r="G60" s="513">
        <v>20</v>
      </c>
      <c r="H60" s="513"/>
      <c r="I60" s="513">
        <v>235</v>
      </c>
      <c r="J60" s="513">
        <v>27</v>
      </c>
      <c r="K60" s="513">
        <v>20</v>
      </c>
      <c r="L60" s="513">
        <v>-45</v>
      </c>
    </row>
    <row r="61" spans="1:41" x14ac:dyDescent="0.2">
      <c r="A61" s="571" t="s">
        <v>366</v>
      </c>
      <c r="B61" s="513" t="s">
        <v>1405</v>
      </c>
      <c r="C61" s="513">
        <v>52000</v>
      </c>
      <c r="D61" s="513">
        <v>359</v>
      </c>
      <c r="E61" s="513">
        <v>66000</v>
      </c>
      <c r="F61" s="513">
        <v>455</v>
      </c>
      <c r="G61" s="513">
        <v>20</v>
      </c>
      <c r="H61" s="513"/>
      <c r="I61" s="513">
        <v>235</v>
      </c>
      <c r="J61" s="513">
        <v>27</v>
      </c>
      <c r="K61" s="513">
        <v>20</v>
      </c>
      <c r="L61" s="513">
        <v>-45</v>
      </c>
    </row>
    <row r="62" spans="1:41" x14ac:dyDescent="0.2">
      <c r="A62" s="571" t="s">
        <v>734</v>
      </c>
      <c r="B62" s="513" t="s">
        <v>1406</v>
      </c>
      <c r="C62" s="513">
        <v>56000</v>
      </c>
      <c r="D62" s="513">
        <v>386</v>
      </c>
      <c r="E62" s="513">
        <v>68000</v>
      </c>
      <c r="F62" s="513">
        <v>469</v>
      </c>
      <c r="G62" s="513">
        <v>20</v>
      </c>
      <c r="H62" s="513"/>
      <c r="I62" s="513">
        <v>235</v>
      </c>
      <c r="J62" s="513">
        <v>27</v>
      </c>
      <c r="K62" s="513">
        <v>20</v>
      </c>
      <c r="L62" s="513">
        <v>-45</v>
      </c>
    </row>
    <row r="63" spans="1:41" x14ac:dyDescent="0.2">
      <c r="A63" s="571" t="s">
        <v>367</v>
      </c>
      <c r="B63" s="513" t="s">
        <v>1407</v>
      </c>
      <c r="C63" s="513">
        <v>60000</v>
      </c>
      <c r="D63" s="513">
        <v>414</v>
      </c>
      <c r="E63" s="513">
        <v>75000</v>
      </c>
      <c r="F63" s="513">
        <v>517</v>
      </c>
      <c r="G63" s="513">
        <v>20</v>
      </c>
      <c r="H63" s="513"/>
      <c r="I63" s="513">
        <v>235</v>
      </c>
      <c r="J63" s="513">
        <v>27</v>
      </c>
      <c r="K63" s="513">
        <v>20</v>
      </c>
      <c r="L63" s="513">
        <v>-45</v>
      </c>
    </row>
    <row r="64" spans="1:41" x14ac:dyDescent="0.2">
      <c r="A64" s="571" t="s">
        <v>368</v>
      </c>
      <c r="B64" s="513" t="s">
        <v>1408</v>
      </c>
      <c r="C64" s="513">
        <v>65000</v>
      </c>
      <c r="D64" s="513">
        <v>448</v>
      </c>
      <c r="E64" s="513">
        <v>77000</v>
      </c>
      <c r="F64" s="513">
        <v>531</v>
      </c>
      <c r="G64" s="513">
        <v>18</v>
      </c>
      <c r="H64" s="513"/>
      <c r="I64" s="513">
        <v>235</v>
      </c>
      <c r="J64" s="513">
        <v>27</v>
      </c>
      <c r="K64" s="513">
        <v>20</v>
      </c>
      <c r="L64" s="513">
        <v>-45</v>
      </c>
    </row>
    <row r="65" spans="1:12" x14ac:dyDescent="0.2">
      <c r="A65" s="571" t="s">
        <v>735</v>
      </c>
      <c r="B65" s="513" t="s">
        <v>1409</v>
      </c>
      <c r="C65" s="513">
        <v>70000</v>
      </c>
      <c r="D65" s="513">
        <v>483</v>
      </c>
      <c r="E65" s="513">
        <v>80000</v>
      </c>
      <c r="F65" s="513">
        <v>552</v>
      </c>
      <c r="G65" s="513">
        <v>18</v>
      </c>
      <c r="H65" s="513"/>
      <c r="I65" s="513">
        <v>235</v>
      </c>
      <c r="J65" s="513">
        <v>27</v>
      </c>
      <c r="K65" s="513">
        <v>20</v>
      </c>
      <c r="L65" s="513">
        <v>-45</v>
      </c>
    </row>
    <row r="66" spans="1:12" x14ac:dyDescent="0.2">
      <c r="A66" s="571" t="s">
        <v>1412</v>
      </c>
      <c r="B66" s="513" t="s">
        <v>1410</v>
      </c>
      <c r="C66" s="513">
        <v>80000</v>
      </c>
      <c r="D66" s="513">
        <v>550</v>
      </c>
      <c r="E66" s="513">
        <v>90000</v>
      </c>
      <c r="F66" s="513">
        <v>620</v>
      </c>
      <c r="G66" s="513">
        <v>16</v>
      </c>
      <c r="H66" s="513"/>
      <c r="I66" s="513">
        <v>235</v>
      </c>
      <c r="J66" s="513">
        <v>27</v>
      </c>
      <c r="K66" s="513">
        <v>20</v>
      </c>
      <c r="L66" s="513">
        <v>-45</v>
      </c>
    </row>
    <row r="67" spans="1:12" x14ac:dyDescent="0.2">
      <c r="C67" t="s">
        <v>1313</v>
      </c>
    </row>
    <row r="68" spans="1:12" x14ac:dyDescent="0.2">
      <c r="C68" t="s">
        <v>1314</v>
      </c>
      <c r="D68" s="494" t="s">
        <v>1316</v>
      </c>
      <c r="E68" s="494" t="s">
        <v>1317</v>
      </c>
      <c r="F68" s="494" t="s">
        <v>1318</v>
      </c>
      <c r="G68" s="494" t="s">
        <v>1319</v>
      </c>
      <c r="H68" s="494" t="s">
        <v>1320</v>
      </c>
    </row>
    <row r="69" spans="1:12" x14ac:dyDescent="0.2">
      <c r="C69" s="513" t="str">
        <f>"-29 to121"</f>
        <v>-29 to121</v>
      </c>
      <c r="D69" s="513">
        <v>19.600000000000001</v>
      </c>
      <c r="E69" s="513">
        <v>51</v>
      </c>
      <c r="F69" s="513">
        <v>68.3</v>
      </c>
      <c r="G69" s="513">
        <v>102</v>
      </c>
      <c r="H69" s="513">
        <v>153.1</v>
      </c>
    </row>
    <row r="70" spans="1:12" x14ac:dyDescent="0.2">
      <c r="C70" s="513">
        <v>150</v>
      </c>
      <c r="D70" s="513">
        <v>18.899999999999999</v>
      </c>
      <c r="E70" s="513">
        <v>49.2</v>
      </c>
      <c r="F70" s="513">
        <v>65.8</v>
      </c>
      <c r="G70" s="513">
        <v>98.5</v>
      </c>
      <c r="H70" s="513">
        <v>147.69999999999999</v>
      </c>
    </row>
    <row r="71" spans="1:12" x14ac:dyDescent="0.2">
      <c r="C71" s="494">
        <v>175</v>
      </c>
      <c r="D71" s="513">
        <v>18.3</v>
      </c>
      <c r="E71" s="513">
        <v>47.7</v>
      </c>
      <c r="F71" s="513">
        <v>63.9</v>
      </c>
      <c r="G71" s="513">
        <v>95.4</v>
      </c>
      <c r="H71" s="513">
        <v>143</v>
      </c>
    </row>
    <row r="72" spans="1:12" x14ac:dyDescent="0.2">
      <c r="C72" s="513">
        <v>200</v>
      </c>
      <c r="D72" s="513">
        <v>17.7</v>
      </c>
      <c r="E72" s="513">
        <v>46.8</v>
      </c>
      <c r="F72" s="513">
        <v>62.8</v>
      </c>
      <c r="G72" s="513">
        <v>93.7</v>
      </c>
      <c r="H72" s="513">
        <v>140.69999999999999</v>
      </c>
    </row>
    <row r="73" spans="1:12" x14ac:dyDescent="0.2">
      <c r="C73" s="494">
        <v>225</v>
      </c>
      <c r="D73" s="513">
        <v>17.100000000000001</v>
      </c>
      <c r="E73" s="513">
        <v>44.6</v>
      </c>
      <c r="F73" s="513">
        <v>59.8</v>
      </c>
      <c r="G73" s="513">
        <v>89.4</v>
      </c>
      <c r="H73" s="513">
        <v>134.1</v>
      </c>
    </row>
    <row r="74" spans="1:12" x14ac:dyDescent="0.2">
      <c r="C74" s="513">
        <v>232</v>
      </c>
      <c r="D74" s="513">
        <v>16.899999999999999</v>
      </c>
      <c r="E74" s="513">
        <v>4.0999999999999996</v>
      </c>
      <c r="F74" s="513">
        <v>59.3</v>
      </c>
      <c r="G74" s="513">
        <v>88.6</v>
      </c>
      <c r="H74" s="513">
        <v>132.69999999999999</v>
      </c>
    </row>
  </sheetData>
  <dataValidations count="3">
    <dataValidation type="list" allowBlank="1" showInputMessage="1" showErrorMessage="1" sqref="K3 K6" xr:uid="{00000000-0002-0000-0700-000000000000}">
      <formula1>$A$37:$A$49</formula1>
    </dataValidation>
    <dataValidation type="list" allowBlank="1" showInputMessage="1" showErrorMessage="1" sqref="H3" xr:uid="{00000000-0002-0000-0700-000001000000}">
      <formula1>$A$37:$A$47</formula1>
    </dataValidation>
    <dataValidation type="list" allowBlank="1" showInputMessage="1" showErrorMessage="1" sqref="A3:A6" xr:uid="{00000000-0002-0000-0700-000002000000}">
      <formula1>$A$9:$A$27</formula1>
    </dataValidation>
  </dataValidations>
  <pageMargins left="0.7" right="0.7" top="0.75" bottom="0.75" header="0.3" footer="0.3"/>
  <drawing r:id="rId1"/>
  <tableParts count="12">
    <tablePart r:id="rId2"/>
    <tablePart r:id="rId3"/>
    <tablePart r:id="rId4"/>
    <tablePart r:id="rId5"/>
    <tablePart r:id="rId6"/>
    <tablePart r:id="rId7"/>
    <tablePart r:id="rId8"/>
    <tablePart r:id="rId9"/>
    <tablePart r:id="rId10"/>
    <tablePart r:id="rId11"/>
    <tablePart r:id="rId12"/>
    <tablePart r:id="rId13"/>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700-000003000000}">
          <x14:formula1>
            <xm:f>'Forging Fittings Özellikleri'!$Q$16:$Q$110</xm:f>
          </x14:formula1>
          <xm:sqref>J3 J6</xm:sqref>
        </x14:dataValidation>
        <x14:dataValidation type="list" allowBlank="1" showInputMessage="1" showErrorMessage="1" xr:uid="{00000000-0002-0000-0700-000004000000}">
          <x14:formula1>
            <xm:f>'Fitting Seçim Aracı'!$X$3:$X$35</xm:f>
          </x14:formula1>
          <xm:sqref>B3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ublished="0" codeName="Sayfa9"/>
  <dimension ref="A1:BS143"/>
  <sheetViews>
    <sheetView topLeftCell="R79" zoomScale="70" zoomScaleNormal="70" workbookViewId="0">
      <selection activeCell="BG74" sqref="BG74"/>
    </sheetView>
  </sheetViews>
  <sheetFormatPr defaultRowHeight="15" x14ac:dyDescent="0.2"/>
  <cols>
    <col min="3" max="3" width="24.48046875" customWidth="1"/>
    <col min="4" max="4" width="28.11328125" customWidth="1"/>
    <col min="5" max="5" width="20.3125" customWidth="1"/>
    <col min="6" max="6" width="22.8671875" customWidth="1"/>
    <col min="7" max="7" width="20.84765625" customWidth="1"/>
    <col min="8" max="8" width="15.87109375" bestFit="1" customWidth="1"/>
    <col min="9" max="9" width="5.37890625" hidden="1" customWidth="1"/>
    <col min="10" max="10" width="16.94921875" customWidth="1"/>
    <col min="11" max="11" width="9.4140625" customWidth="1"/>
    <col min="12" max="12" width="13.31640625" customWidth="1"/>
    <col min="13" max="13" width="13.5859375" customWidth="1"/>
    <col min="17" max="17" width="15.87109375" customWidth="1"/>
    <col min="18" max="18" width="5.37890625" style="80" customWidth="1"/>
    <col min="19" max="19" width="15.46875" customWidth="1"/>
    <col min="20" max="20" width="13.85546875" customWidth="1"/>
    <col min="21" max="21" width="24.6171875" customWidth="1"/>
    <col min="22" max="22" width="11.8359375" customWidth="1"/>
    <col min="23" max="23" width="13.31640625" customWidth="1"/>
    <col min="24" max="24" width="13.5859375" customWidth="1"/>
    <col min="25" max="25" width="24.88671875" customWidth="1"/>
    <col min="26" max="26" width="17.484375" customWidth="1"/>
    <col min="27" max="27" width="9.55078125" customWidth="1"/>
    <col min="29" max="29" width="13.31640625" customWidth="1"/>
    <col min="30" max="30" width="30.9375" bestFit="1" customWidth="1"/>
    <col min="31" max="31" width="12.10546875" customWidth="1"/>
    <col min="32" max="32" width="46.6796875" bestFit="1" customWidth="1"/>
    <col min="33" max="33" width="14.390625" customWidth="1"/>
    <col min="57" max="57" width="14.390625" customWidth="1"/>
    <col min="58" max="58" width="19.1015625" customWidth="1"/>
    <col min="59" max="59" width="30.1328125" customWidth="1"/>
    <col min="60" max="60" width="29.59375" customWidth="1"/>
    <col min="61" max="61" width="19.1015625" customWidth="1"/>
    <col min="62" max="62" width="14.9296875" customWidth="1"/>
    <col min="63" max="63" width="16.54296875" customWidth="1"/>
    <col min="64" max="64" width="17.484375" customWidth="1"/>
    <col min="65" max="65" width="18.16015625" customWidth="1"/>
    <col min="66" max="66" width="18.29296875" customWidth="1"/>
    <col min="67" max="67" width="13.44921875" customWidth="1"/>
    <col min="68" max="68" width="12.10546875" customWidth="1"/>
    <col min="69" max="69" width="11.02734375" customWidth="1"/>
  </cols>
  <sheetData>
    <row r="1" spans="1:70" x14ac:dyDescent="0.2">
      <c r="A1" s="79"/>
      <c r="B1" s="79"/>
      <c r="C1" s="79"/>
      <c r="D1" s="79"/>
      <c r="E1" s="79"/>
      <c r="F1" s="79"/>
      <c r="G1" s="79"/>
      <c r="H1" s="79"/>
      <c r="I1" s="79"/>
      <c r="J1" s="79"/>
      <c r="K1" s="79"/>
      <c r="L1" s="79"/>
      <c r="M1" s="516"/>
      <c r="N1" s="516"/>
      <c r="O1" s="516"/>
      <c r="P1" s="516"/>
      <c r="Q1" s="516"/>
      <c r="S1" s="80"/>
      <c r="T1" s="81"/>
      <c r="U1" s="81"/>
      <c r="V1" s="81"/>
      <c r="W1" s="81"/>
      <c r="X1" s="81"/>
      <c r="Y1" s="81"/>
      <c r="Z1" s="81"/>
      <c r="AA1" s="81"/>
      <c r="AB1" s="81"/>
      <c r="AC1" s="81"/>
      <c r="AD1" s="81"/>
      <c r="AE1" s="81"/>
      <c r="AF1" s="81"/>
      <c r="AG1" s="81"/>
      <c r="AH1" s="81"/>
      <c r="AI1" s="81"/>
      <c r="AJ1" s="81"/>
      <c r="AK1" s="81"/>
      <c r="AL1" s="81"/>
      <c r="AM1" s="81"/>
      <c r="AN1" s="81"/>
      <c r="AO1" s="80"/>
      <c r="AP1" s="80"/>
      <c r="AQ1" s="123"/>
      <c r="AR1" s="123"/>
      <c r="AS1" s="123"/>
      <c r="AT1" s="123"/>
      <c r="AU1" s="123"/>
      <c r="AV1" s="123"/>
      <c r="AW1" s="123"/>
      <c r="AX1" s="123"/>
      <c r="AY1" s="123"/>
      <c r="AZ1" s="123"/>
      <c r="BA1" s="123"/>
      <c r="BB1" s="123"/>
      <c r="BC1" s="123"/>
      <c r="BD1" s="123"/>
      <c r="BE1" s="123"/>
    </row>
    <row r="2" spans="1:70" x14ac:dyDescent="0.2">
      <c r="A2" s="79"/>
      <c r="B2" s="79"/>
      <c r="C2" s="79"/>
      <c r="D2" s="79"/>
      <c r="E2" s="79"/>
      <c r="F2" s="79"/>
      <c r="G2" s="79"/>
      <c r="H2" s="79"/>
      <c r="I2" s="79"/>
      <c r="J2" s="79"/>
      <c r="K2" s="79"/>
      <c r="L2" s="79"/>
      <c r="M2" s="516"/>
      <c r="N2" s="516"/>
      <c r="O2" s="516"/>
      <c r="P2" s="516"/>
      <c r="Q2" s="516"/>
      <c r="S2" s="80"/>
      <c r="T2" s="81"/>
      <c r="U2" s="81"/>
      <c r="V2" s="81"/>
      <c r="W2" s="81"/>
      <c r="X2" s="81"/>
      <c r="Y2" s="81"/>
      <c r="Z2" s="81"/>
      <c r="AA2" s="81"/>
      <c r="AB2" s="81"/>
      <c r="AC2" s="81"/>
      <c r="AD2" s="81"/>
      <c r="AE2" s="81"/>
      <c r="AF2" s="81"/>
      <c r="AG2" s="81"/>
      <c r="AH2" s="81"/>
      <c r="AI2" s="81"/>
      <c r="AJ2" s="81"/>
      <c r="AK2" s="81"/>
      <c r="AL2" s="81"/>
      <c r="AM2" s="81"/>
      <c r="AN2" s="81"/>
      <c r="AO2" s="80"/>
      <c r="AP2" s="80"/>
      <c r="AQ2" s="123"/>
      <c r="AR2" s="123"/>
      <c r="AS2" s="123"/>
      <c r="AT2" s="123"/>
      <c r="AU2" s="123"/>
      <c r="AV2" s="123"/>
      <c r="AW2" s="123"/>
      <c r="AX2" s="123"/>
      <c r="AY2" s="123"/>
      <c r="AZ2" s="123"/>
      <c r="BA2" s="123"/>
      <c r="BB2" s="123"/>
      <c r="BC2" s="123"/>
      <c r="BD2" s="123"/>
      <c r="BE2" s="123"/>
    </row>
    <row r="3" spans="1:70" x14ac:dyDescent="0.2">
      <c r="A3" s="79"/>
      <c r="B3" s="79"/>
      <c r="C3" s="79"/>
      <c r="D3" s="79"/>
      <c r="E3" s="79"/>
      <c r="F3" s="79"/>
      <c r="G3" s="79"/>
      <c r="H3" s="79"/>
      <c r="I3" s="79"/>
      <c r="J3" s="79"/>
      <c r="K3" s="79"/>
      <c r="L3" s="79"/>
      <c r="M3" s="516"/>
      <c r="N3" s="516"/>
      <c r="O3" s="516"/>
      <c r="P3" s="516"/>
      <c r="Q3" s="516"/>
      <c r="S3" s="80"/>
      <c r="T3" s="81"/>
      <c r="U3" s="81"/>
      <c r="V3" s="81"/>
      <c r="W3" s="81"/>
      <c r="X3" s="81"/>
      <c r="Y3" s="81"/>
      <c r="Z3" s="81"/>
      <c r="AA3" s="81"/>
      <c r="AB3" s="81"/>
      <c r="AC3" s="81"/>
      <c r="AD3" s="81"/>
      <c r="AE3" s="81"/>
      <c r="AF3" s="81"/>
      <c r="AG3" s="81"/>
      <c r="AH3" s="81"/>
      <c r="AI3" s="81"/>
      <c r="AJ3" s="81"/>
      <c r="AK3" s="81"/>
      <c r="AL3" s="81"/>
      <c r="AM3" s="81"/>
      <c r="AN3" s="81"/>
      <c r="AO3" s="80"/>
      <c r="AP3" s="80"/>
      <c r="AQ3" s="123"/>
      <c r="AR3" s="123"/>
      <c r="AS3" s="123"/>
      <c r="AT3" s="123"/>
      <c r="AU3" s="123"/>
      <c r="AV3" s="123"/>
      <c r="AW3" s="123"/>
      <c r="AX3" s="123"/>
      <c r="AY3" s="123"/>
      <c r="AZ3" s="123"/>
      <c r="BA3" s="123"/>
      <c r="BB3" s="123"/>
      <c r="BC3" s="123"/>
      <c r="BD3" s="123"/>
      <c r="BE3" s="123"/>
    </row>
    <row r="4" spans="1:70" x14ac:dyDescent="0.2">
      <c r="A4" s="79"/>
      <c r="B4" s="79"/>
      <c r="C4" s="79"/>
      <c r="D4" s="79"/>
      <c r="E4" s="79"/>
      <c r="F4" s="79"/>
      <c r="G4" s="79"/>
      <c r="H4" s="79"/>
      <c r="I4" s="79"/>
      <c r="J4" s="79"/>
      <c r="K4" s="79"/>
      <c r="L4" s="79"/>
      <c r="M4" s="516"/>
      <c r="N4" s="516"/>
      <c r="O4" s="516"/>
      <c r="P4" s="516"/>
      <c r="Q4" s="516"/>
      <c r="S4" s="80"/>
      <c r="T4" s="81"/>
      <c r="U4" s="81"/>
      <c r="V4" s="81"/>
      <c r="W4" s="81"/>
      <c r="X4" s="81"/>
      <c r="Y4" s="81"/>
      <c r="Z4" s="81"/>
      <c r="AA4" s="81"/>
      <c r="AB4" s="81"/>
      <c r="AC4" s="81"/>
      <c r="AD4" s="81"/>
      <c r="AE4" s="81"/>
      <c r="AF4" s="81"/>
      <c r="AG4" s="81"/>
      <c r="AH4" s="81"/>
      <c r="AI4" s="81"/>
      <c r="AJ4" s="81"/>
      <c r="AK4" s="81"/>
      <c r="AL4" s="81"/>
      <c r="AM4" s="81"/>
      <c r="AN4" s="81"/>
      <c r="AO4" s="80"/>
      <c r="AP4" s="80"/>
      <c r="AQ4" s="123"/>
      <c r="AR4" s="123"/>
      <c r="AS4" s="123"/>
      <c r="AT4" s="123"/>
      <c r="AU4" s="123"/>
      <c r="AV4" s="123"/>
      <c r="AW4" s="123"/>
      <c r="AX4" s="123"/>
      <c r="AY4" s="123"/>
      <c r="AZ4" s="123"/>
      <c r="BA4" s="123"/>
      <c r="BB4" s="123"/>
      <c r="BC4" s="123"/>
      <c r="BD4" s="123"/>
      <c r="BE4" s="123"/>
    </row>
    <row r="5" spans="1:70" x14ac:dyDescent="0.2">
      <c r="A5" s="79"/>
      <c r="B5" s="79"/>
      <c r="C5" s="79"/>
      <c r="D5" s="79"/>
      <c r="E5" s="79"/>
      <c r="F5" s="79"/>
      <c r="G5" s="79"/>
      <c r="H5" s="79"/>
      <c r="I5" s="79"/>
      <c r="J5" s="79"/>
      <c r="K5" s="79"/>
      <c r="L5" s="79"/>
      <c r="M5" s="516"/>
      <c r="N5" s="516"/>
      <c r="O5" s="516"/>
      <c r="P5" s="516"/>
      <c r="Q5" s="516"/>
      <c r="S5" s="80"/>
      <c r="T5" s="81"/>
      <c r="U5" s="81"/>
      <c r="V5" s="81"/>
      <c r="W5" s="81"/>
      <c r="X5" s="81"/>
      <c r="Y5" s="81"/>
      <c r="Z5" s="81"/>
      <c r="AA5" s="81"/>
      <c r="AB5" s="81"/>
      <c r="AC5" s="81"/>
      <c r="AD5" s="81"/>
      <c r="AE5" s="81"/>
      <c r="AF5" s="81"/>
      <c r="AG5" s="81"/>
      <c r="AH5" s="81"/>
      <c r="AI5" s="81"/>
      <c r="AJ5" s="81"/>
      <c r="AK5" s="81"/>
      <c r="AL5" s="81"/>
      <c r="AM5" s="81"/>
      <c r="AN5" s="81"/>
      <c r="AO5" s="80"/>
      <c r="AP5" s="80"/>
      <c r="AQ5" s="123"/>
      <c r="AR5" s="123"/>
      <c r="AS5" s="123"/>
      <c r="AT5" s="123"/>
      <c r="AU5" s="123"/>
      <c r="AV5" s="123"/>
      <c r="AW5" s="123"/>
      <c r="AX5" s="123"/>
      <c r="AY5" s="123"/>
      <c r="AZ5" s="123"/>
      <c r="BA5" s="123"/>
      <c r="BB5" s="123"/>
      <c r="BC5" s="123"/>
      <c r="BD5" s="123"/>
      <c r="BE5" s="123"/>
    </row>
    <row r="6" spans="1:70" x14ac:dyDescent="0.2">
      <c r="A6" s="79"/>
      <c r="B6" s="79"/>
      <c r="C6" s="79"/>
      <c r="D6" s="79"/>
      <c r="E6" s="79"/>
      <c r="F6" s="79"/>
      <c r="G6" s="79"/>
      <c r="H6" s="79"/>
      <c r="I6" s="79"/>
      <c r="J6" s="79"/>
      <c r="K6" s="79"/>
      <c r="L6" s="79"/>
      <c r="M6" s="516"/>
      <c r="N6" s="516"/>
      <c r="O6" s="516"/>
      <c r="P6" s="516"/>
      <c r="Q6" s="516"/>
      <c r="S6" s="80"/>
      <c r="T6" s="81"/>
      <c r="U6" s="81"/>
      <c r="V6" s="81"/>
      <c r="W6" s="81"/>
      <c r="X6" s="81"/>
      <c r="Y6" s="81"/>
      <c r="Z6" s="81"/>
      <c r="AA6" s="81"/>
      <c r="AB6" s="81"/>
      <c r="AC6" s="81"/>
      <c r="AD6" s="81"/>
      <c r="AE6" s="81"/>
      <c r="AF6" s="81"/>
      <c r="AG6" s="81"/>
      <c r="AH6" s="81"/>
      <c r="AI6" s="81"/>
      <c r="AJ6" s="81"/>
      <c r="AK6" s="81"/>
      <c r="AL6" s="81"/>
      <c r="AM6" s="81"/>
      <c r="AN6" s="81"/>
      <c r="AO6" s="80"/>
      <c r="AP6" s="80"/>
      <c r="AQ6" s="123"/>
      <c r="AR6" s="123"/>
      <c r="AS6" s="123"/>
      <c r="AT6" s="123"/>
      <c r="AU6" s="123"/>
      <c r="AV6" s="123"/>
      <c r="AW6" s="123"/>
      <c r="AX6" s="123"/>
      <c r="AY6" s="123"/>
      <c r="AZ6" s="123"/>
      <c r="BA6" s="123"/>
      <c r="BB6" s="123"/>
      <c r="BC6" s="123"/>
      <c r="BD6" s="123"/>
      <c r="BE6" s="123"/>
    </row>
    <row r="7" spans="1:70" x14ac:dyDescent="0.2">
      <c r="A7" s="79"/>
      <c r="B7" s="79"/>
      <c r="C7" s="79"/>
      <c r="D7" s="79"/>
      <c r="E7" s="79"/>
      <c r="F7" s="79"/>
      <c r="G7" s="79"/>
      <c r="H7" s="79"/>
      <c r="I7" s="79"/>
      <c r="J7" s="79"/>
      <c r="K7" s="79"/>
      <c r="L7" s="79"/>
      <c r="M7" s="516"/>
      <c r="N7" s="516"/>
      <c r="O7" s="516"/>
      <c r="P7" s="516"/>
      <c r="Q7" s="516"/>
      <c r="S7" s="80"/>
      <c r="T7" s="81"/>
      <c r="U7" s="81"/>
      <c r="V7" s="81"/>
      <c r="W7" s="81"/>
      <c r="X7" s="81"/>
      <c r="Y7" s="81"/>
      <c r="Z7" s="81"/>
      <c r="AA7" s="81"/>
      <c r="AB7" s="81"/>
      <c r="AC7" s="81"/>
      <c r="AD7" s="81"/>
      <c r="AE7" s="81"/>
      <c r="AF7" s="81"/>
      <c r="AG7" s="81"/>
      <c r="AH7" s="81"/>
      <c r="AI7" s="81"/>
      <c r="AJ7" s="81"/>
      <c r="AK7" s="81"/>
      <c r="AL7" s="81"/>
      <c r="AM7" s="81"/>
      <c r="AN7" s="81"/>
      <c r="AO7" s="80"/>
      <c r="AP7" s="80"/>
      <c r="AQ7" s="123"/>
      <c r="AR7" s="123"/>
      <c r="AS7" s="123"/>
      <c r="AT7" s="123"/>
      <c r="AU7" s="123"/>
      <c r="AV7" s="123"/>
      <c r="AW7" s="123"/>
      <c r="AX7" s="123"/>
      <c r="AY7" s="123"/>
      <c r="AZ7" s="123"/>
      <c r="BA7" s="123"/>
      <c r="BB7" s="123"/>
      <c r="BC7" s="123"/>
      <c r="BD7" s="123"/>
      <c r="BE7" s="123"/>
    </row>
    <row r="8" spans="1:70" x14ac:dyDescent="0.2">
      <c r="A8" s="79"/>
      <c r="B8" s="79"/>
      <c r="C8" s="79"/>
      <c r="D8" s="79"/>
      <c r="E8" s="79"/>
      <c r="F8" s="79"/>
      <c r="G8" s="79"/>
      <c r="H8" s="79"/>
      <c r="I8" s="79"/>
      <c r="J8" s="79"/>
      <c r="K8" s="79"/>
      <c r="L8" s="79"/>
      <c r="M8" s="516"/>
      <c r="N8" s="516"/>
      <c r="O8" s="516"/>
      <c r="P8" s="516"/>
      <c r="Q8" s="516"/>
      <c r="S8" s="80"/>
      <c r="T8" s="81"/>
      <c r="U8" s="81"/>
      <c r="V8" s="81"/>
      <c r="W8" s="81"/>
      <c r="X8" s="81"/>
      <c r="Y8" s="81"/>
      <c r="Z8" s="81"/>
      <c r="AA8" s="81"/>
      <c r="AB8" s="81"/>
      <c r="AC8" s="81"/>
      <c r="AD8" s="81"/>
      <c r="AE8" s="81"/>
      <c r="AF8" s="81"/>
      <c r="AG8" s="81"/>
      <c r="AH8" s="81"/>
      <c r="AI8" s="81"/>
      <c r="AJ8" s="81"/>
      <c r="AK8" s="81"/>
      <c r="AL8" s="81"/>
      <c r="AM8" s="81"/>
      <c r="AN8" s="81"/>
      <c r="AO8" s="80"/>
      <c r="AP8" s="80"/>
      <c r="AQ8" s="123"/>
      <c r="AR8" s="123"/>
      <c r="AS8" s="123"/>
      <c r="AT8" s="123"/>
      <c r="AU8" s="123"/>
      <c r="AV8" s="123"/>
      <c r="AW8" s="123"/>
      <c r="AX8" s="123"/>
      <c r="AY8" s="123"/>
      <c r="AZ8" s="123"/>
      <c r="BA8" s="123"/>
      <c r="BB8" s="123"/>
      <c r="BC8" s="123"/>
      <c r="BD8" s="123"/>
      <c r="BE8" s="123"/>
    </row>
    <row r="9" spans="1:70" x14ac:dyDescent="0.2">
      <c r="A9" s="79"/>
      <c r="B9" s="79"/>
      <c r="C9" s="79"/>
      <c r="D9" s="79"/>
      <c r="E9" s="79"/>
      <c r="F9" s="79"/>
      <c r="G9" s="79"/>
      <c r="H9" s="79"/>
      <c r="I9" s="79"/>
      <c r="J9" s="79"/>
      <c r="K9" s="79"/>
      <c r="L9" s="79"/>
      <c r="M9" s="516"/>
      <c r="N9" s="516"/>
      <c r="O9" s="516"/>
      <c r="P9" s="516"/>
      <c r="Q9" s="516"/>
      <c r="S9" s="80"/>
      <c r="T9" s="81"/>
      <c r="U9" s="81"/>
      <c r="V9" s="81"/>
      <c r="W9" s="81"/>
      <c r="X9" s="81"/>
      <c r="Y9" s="81"/>
      <c r="Z9" s="81"/>
      <c r="AA9" s="81"/>
      <c r="AB9" s="81"/>
      <c r="AC9" s="81"/>
      <c r="AD9" s="81"/>
      <c r="AE9" s="81"/>
      <c r="AF9" s="81"/>
      <c r="AG9" s="81"/>
      <c r="AH9" s="81"/>
      <c r="AI9" s="81"/>
      <c r="AJ9" s="81"/>
      <c r="AK9" s="81"/>
      <c r="AL9" s="81"/>
      <c r="AM9" s="81"/>
      <c r="AN9" s="81"/>
      <c r="AO9" s="80"/>
      <c r="AP9" s="80"/>
      <c r="AQ9" s="123"/>
      <c r="AR9" s="123"/>
      <c r="AS9" s="123"/>
      <c r="AT9" s="123"/>
      <c r="AU9" s="123"/>
      <c r="AV9" s="123"/>
      <c r="AW9" s="123"/>
      <c r="AX9" s="123"/>
      <c r="AY9" s="123"/>
      <c r="AZ9" s="123"/>
      <c r="BA9" s="123"/>
      <c r="BB9" s="123"/>
      <c r="BC9" s="123"/>
      <c r="BD9" s="123"/>
      <c r="BE9" s="123"/>
    </row>
    <row r="10" spans="1:70" x14ac:dyDescent="0.2">
      <c r="A10" s="79"/>
      <c r="B10" s="79"/>
      <c r="C10" s="79"/>
      <c r="D10" s="79"/>
      <c r="E10" s="79"/>
      <c r="F10" s="79"/>
      <c r="G10" s="79"/>
      <c r="H10" s="79"/>
      <c r="I10" s="79"/>
      <c r="J10" s="79"/>
      <c r="K10" s="79"/>
      <c r="L10" s="79"/>
      <c r="M10" s="516"/>
      <c r="N10" s="516"/>
      <c r="O10" s="516"/>
      <c r="P10" s="516"/>
      <c r="Q10" s="516"/>
      <c r="S10" s="80"/>
      <c r="T10" s="81"/>
      <c r="U10" s="81"/>
      <c r="V10" s="81"/>
      <c r="W10" s="81"/>
      <c r="X10" s="81"/>
      <c r="Y10" s="81"/>
      <c r="Z10" s="81"/>
      <c r="AA10" s="81"/>
      <c r="AB10" s="81"/>
      <c r="AC10" s="81"/>
      <c r="AD10" s="81"/>
      <c r="AE10" s="81"/>
      <c r="AF10" s="81"/>
      <c r="AG10" s="81"/>
      <c r="AH10" s="81"/>
      <c r="AI10" s="81"/>
      <c r="AJ10" s="81"/>
      <c r="AK10" s="81"/>
      <c r="AL10" s="81"/>
      <c r="AM10" s="81"/>
      <c r="AN10" s="81"/>
      <c r="AO10" s="80"/>
      <c r="AP10" s="80"/>
      <c r="AQ10" s="123"/>
      <c r="AR10" s="123"/>
      <c r="AS10" s="123"/>
      <c r="AT10" s="123"/>
      <c r="AU10" s="123"/>
      <c r="AV10" s="123"/>
      <c r="AW10" s="123"/>
      <c r="AX10" s="123"/>
      <c r="AY10" s="123"/>
      <c r="AZ10" s="123"/>
      <c r="BA10" s="123"/>
      <c r="BB10" s="123"/>
      <c r="BC10" s="123"/>
      <c r="BD10" s="123"/>
      <c r="BE10" s="123"/>
    </row>
    <row r="11" spans="1:70" x14ac:dyDescent="0.2">
      <c r="A11" s="79"/>
      <c r="B11" s="79"/>
      <c r="C11" s="79"/>
      <c r="D11" s="79"/>
      <c r="E11" s="79"/>
      <c r="F11" s="79"/>
      <c r="G11" s="79"/>
      <c r="H11" s="79"/>
      <c r="I11" s="79"/>
      <c r="J11" s="79"/>
      <c r="K11" s="79"/>
      <c r="L11" s="79"/>
      <c r="M11" s="516"/>
      <c r="N11" s="516"/>
      <c r="O11" s="516"/>
      <c r="P11" s="516"/>
      <c r="Q11" s="516"/>
      <c r="S11" s="80"/>
      <c r="T11" s="81"/>
      <c r="U11" s="81"/>
      <c r="V11" s="81"/>
      <c r="W11" s="81"/>
      <c r="X11" s="81"/>
      <c r="Y11" s="81"/>
      <c r="Z11" s="81"/>
      <c r="AA11" s="81"/>
      <c r="AB11" s="81"/>
      <c r="AC11" s="81"/>
      <c r="AD11" s="81"/>
      <c r="AE11" s="81"/>
      <c r="AF11" s="81"/>
      <c r="AG11" s="81"/>
      <c r="AH11" s="81"/>
      <c r="AI11" s="81"/>
      <c r="AJ11" s="81"/>
      <c r="AK11" s="81"/>
      <c r="AL11" s="81"/>
      <c r="AM11" s="81"/>
      <c r="AN11" s="81"/>
      <c r="AO11" s="80"/>
      <c r="AP11" s="80"/>
      <c r="AQ11" s="123"/>
      <c r="AR11" s="123"/>
      <c r="AS11" s="123"/>
      <c r="AT11" s="123"/>
      <c r="AU11" s="123"/>
      <c r="AV11" s="123"/>
      <c r="AW11" s="123"/>
      <c r="AX11" s="123"/>
      <c r="AY11" s="123"/>
      <c r="AZ11" s="123"/>
      <c r="BA11" s="123"/>
      <c r="BB11" s="123"/>
      <c r="BC11" s="123"/>
      <c r="BD11" s="123"/>
      <c r="BE11" s="123"/>
    </row>
    <row r="12" spans="1:70" x14ac:dyDescent="0.2">
      <c r="A12" s="79"/>
      <c r="B12" s="79"/>
      <c r="C12" s="79"/>
      <c r="D12" s="79"/>
      <c r="E12" s="79"/>
      <c r="F12" s="79"/>
      <c r="G12" s="79"/>
      <c r="H12" s="79"/>
      <c r="I12" s="79"/>
      <c r="J12" s="79"/>
      <c r="K12" s="79"/>
      <c r="L12" s="79"/>
      <c r="M12" s="516"/>
      <c r="N12" s="516"/>
      <c r="O12" s="516"/>
      <c r="P12" s="516"/>
      <c r="Q12" s="516"/>
      <c r="S12" s="80"/>
      <c r="T12" s="81"/>
      <c r="U12" s="81"/>
      <c r="V12" s="81"/>
      <c r="W12" s="81"/>
      <c r="X12" s="81"/>
      <c r="Y12" s="81"/>
      <c r="Z12" s="81"/>
      <c r="AA12" s="81"/>
      <c r="AB12" s="81"/>
      <c r="AC12" s="81"/>
      <c r="AD12" s="81"/>
      <c r="AE12" s="81"/>
      <c r="AF12" s="81"/>
      <c r="AG12" s="81"/>
      <c r="AH12" s="81"/>
      <c r="AI12" s="81"/>
      <c r="AJ12" s="81"/>
      <c r="AK12" s="81"/>
      <c r="AL12" s="81"/>
      <c r="AM12" s="81"/>
      <c r="AN12" s="81"/>
      <c r="AO12" s="80"/>
      <c r="AP12" s="80"/>
      <c r="AQ12" s="123"/>
      <c r="AR12" s="123"/>
      <c r="AS12" s="123"/>
      <c r="AT12" s="123"/>
      <c r="AU12" s="123"/>
      <c r="AV12" s="123"/>
      <c r="AW12" s="123"/>
      <c r="AX12" s="123"/>
      <c r="AY12" s="123"/>
      <c r="AZ12" s="123"/>
      <c r="BA12" s="123"/>
      <c r="BB12" s="123"/>
      <c r="BC12" s="123"/>
      <c r="BD12" s="123"/>
      <c r="BE12" s="123"/>
    </row>
    <row r="13" spans="1:70" x14ac:dyDescent="0.2">
      <c r="A13" s="79"/>
      <c r="B13" s="79"/>
      <c r="C13" s="79"/>
      <c r="D13" s="79"/>
      <c r="E13" s="79"/>
      <c r="F13" s="79"/>
      <c r="G13" s="79"/>
      <c r="H13" s="79"/>
      <c r="I13" s="79"/>
      <c r="J13" s="79"/>
      <c r="K13" s="79"/>
      <c r="L13" s="79"/>
      <c r="M13" s="516"/>
      <c r="N13" s="516"/>
      <c r="O13" s="516"/>
      <c r="P13" s="516"/>
      <c r="Q13" s="516"/>
      <c r="S13" s="80"/>
      <c r="T13" s="81"/>
      <c r="U13" s="81"/>
      <c r="V13" s="81"/>
      <c r="W13" s="81"/>
      <c r="X13" s="81"/>
      <c r="Y13" s="81"/>
      <c r="Z13" s="81"/>
      <c r="AA13" s="81"/>
      <c r="AB13" s="81"/>
      <c r="AC13" s="81"/>
      <c r="AD13" s="81"/>
      <c r="AE13" s="81"/>
      <c r="AF13" s="81"/>
      <c r="AG13" s="81"/>
      <c r="AH13" s="81"/>
      <c r="AI13" s="81"/>
      <c r="AJ13" s="81"/>
      <c r="AK13" s="81"/>
      <c r="AL13" s="81"/>
      <c r="AM13" s="81"/>
      <c r="AN13" s="81"/>
      <c r="AO13" s="80"/>
      <c r="AP13" s="80"/>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3"/>
      <c r="BQ13" s="123"/>
      <c r="BR13" s="123"/>
    </row>
    <row r="14" spans="1:70" x14ac:dyDescent="0.2">
      <c r="A14" s="79"/>
      <c r="B14" s="79"/>
      <c r="C14" s="79"/>
      <c r="D14" s="79"/>
      <c r="E14" s="79"/>
      <c r="F14" s="526"/>
      <c r="G14" s="526"/>
      <c r="H14" s="79"/>
      <c r="I14" s="79"/>
      <c r="J14" s="79"/>
      <c r="K14" s="79"/>
      <c r="L14" s="79"/>
      <c r="M14" s="516"/>
      <c r="N14" s="516"/>
      <c r="O14" s="516"/>
      <c r="P14" s="516"/>
      <c r="Q14" s="516"/>
      <c r="S14" s="80"/>
      <c r="T14" s="81"/>
      <c r="U14" s="81"/>
      <c r="V14" s="81"/>
      <c r="W14" s="81"/>
      <c r="X14" s="81"/>
      <c r="Y14" s="81"/>
      <c r="Z14" s="81"/>
      <c r="AA14" s="81"/>
      <c r="AB14" s="81"/>
      <c r="AC14" s="81"/>
      <c r="AD14" s="81"/>
      <c r="AE14" s="81"/>
      <c r="AF14" s="81"/>
      <c r="AG14" s="81"/>
      <c r="AH14" s="81"/>
      <c r="AI14" s="81"/>
      <c r="AJ14" s="81"/>
      <c r="AK14" s="81"/>
      <c r="AL14" s="81"/>
      <c r="AM14" s="81"/>
      <c r="AN14" s="81"/>
      <c r="AO14" s="80"/>
      <c r="AP14" s="80"/>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3"/>
      <c r="BQ14" s="123"/>
      <c r="BR14" s="123"/>
    </row>
    <row r="15" spans="1:70" x14ac:dyDescent="0.2">
      <c r="A15" s="79"/>
      <c r="B15" s="79"/>
      <c r="C15" s="79"/>
      <c r="D15" s="79"/>
      <c r="E15" s="79"/>
      <c r="F15" s="537" t="s">
        <v>140</v>
      </c>
      <c r="G15" s="537"/>
      <c r="H15" s="79"/>
      <c r="I15" s="79"/>
      <c r="J15" s="79"/>
      <c r="K15" s="79"/>
      <c r="L15" s="79"/>
      <c r="M15" s="516"/>
      <c r="N15" s="516"/>
      <c r="O15" s="516"/>
      <c r="P15" s="516"/>
      <c r="Q15" s="516"/>
      <c r="S15" s="80"/>
      <c r="T15" s="81"/>
      <c r="U15" s="81"/>
      <c r="V15" s="81"/>
      <c r="W15" s="81"/>
      <c r="X15" s="81"/>
      <c r="Y15" s="81"/>
      <c r="Z15" s="81"/>
      <c r="AA15" s="81"/>
      <c r="AB15" s="81"/>
      <c r="AC15" s="81"/>
      <c r="AD15" s="81"/>
      <c r="AE15" s="81"/>
      <c r="AF15" s="81"/>
      <c r="AG15" s="81"/>
      <c r="AH15" s="81"/>
      <c r="AI15" s="81"/>
      <c r="AJ15" s="81"/>
      <c r="AK15" s="81"/>
      <c r="AL15" s="81"/>
      <c r="AM15" s="81"/>
      <c r="AN15" s="81"/>
      <c r="AO15" s="80"/>
      <c r="AP15" s="80"/>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3"/>
      <c r="BQ15" s="123"/>
      <c r="BR15" s="123"/>
    </row>
    <row r="16" spans="1:70" x14ac:dyDescent="0.2">
      <c r="A16" s="79"/>
      <c r="B16" s="79"/>
      <c r="C16" s="79"/>
      <c r="D16" s="79"/>
      <c r="E16" s="79"/>
      <c r="F16" s="79" t="s">
        <v>891</v>
      </c>
      <c r="G16" s="79"/>
      <c r="H16" s="79"/>
      <c r="I16" s="79"/>
      <c r="J16" s="79"/>
      <c r="K16" s="79"/>
      <c r="L16" s="79"/>
      <c r="M16" s="516"/>
      <c r="N16" s="516"/>
      <c r="O16" s="516"/>
      <c r="P16" s="516"/>
      <c r="Q16" s="516"/>
      <c r="S16" s="80"/>
      <c r="T16" s="81"/>
      <c r="U16" s="81"/>
      <c r="V16" s="81"/>
      <c r="W16" s="81"/>
      <c r="X16" s="81"/>
      <c r="Y16" s="81"/>
      <c r="Z16" s="81"/>
      <c r="AA16" s="81"/>
      <c r="AB16" s="81"/>
      <c r="AC16" s="81"/>
      <c r="AD16" s="81"/>
      <c r="AE16" s="81"/>
      <c r="AF16" s="81"/>
      <c r="AG16" s="81"/>
      <c r="AH16" s="81"/>
      <c r="AI16" s="81"/>
      <c r="AJ16" s="81"/>
      <c r="AK16" s="81"/>
      <c r="AL16" s="81"/>
      <c r="AM16" s="81"/>
      <c r="AN16" s="81"/>
      <c r="AO16" s="80"/>
      <c r="AP16" s="80"/>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3"/>
      <c r="BQ16" s="123"/>
      <c r="BR16" s="123"/>
    </row>
    <row r="17" spans="1:70" x14ac:dyDescent="0.2">
      <c r="A17" s="79"/>
      <c r="B17" s="79"/>
      <c r="C17" s="79"/>
      <c r="D17" s="79"/>
      <c r="E17" s="79"/>
      <c r="F17" s="473" t="s">
        <v>890</v>
      </c>
      <c r="G17" s="474" t="s">
        <v>186</v>
      </c>
      <c r="H17" s="474" t="s">
        <v>193</v>
      </c>
      <c r="I17" s="474" t="s">
        <v>198</v>
      </c>
      <c r="J17" s="474" t="s">
        <v>203</v>
      </c>
      <c r="K17" s="475" t="s">
        <v>208</v>
      </c>
      <c r="L17" s="534" t="s">
        <v>1292</v>
      </c>
      <c r="M17" s="516"/>
      <c r="N17" s="516"/>
      <c r="O17" s="516"/>
      <c r="P17" s="516"/>
      <c r="Q17" s="516"/>
      <c r="S17" s="80"/>
      <c r="T17" s="81"/>
      <c r="U17" s="81"/>
      <c r="V17" s="81"/>
      <c r="W17" s="81"/>
      <c r="X17" s="81"/>
      <c r="Y17" s="81"/>
      <c r="Z17" s="81"/>
      <c r="AA17" s="81"/>
      <c r="AB17" s="81"/>
      <c r="AC17" s="81"/>
      <c r="AD17" s="81"/>
      <c r="AE17" s="81"/>
      <c r="AF17" s="81"/>
      <c r="AG17" s="81"/>
      <c r="AH17" s="81"/>
      <c r="AI17" s="81"/>
      <c r="AJ17" s="81"/>
      <c r="AK17" s="81"/>
      <c r="AL17" s="81"/>
      <c r="AM17" s="81"/>
      <c r="AN17" s="81"/>
      <c r="AO17" s="80"/>
      <c r="AP17" s="80"/>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3"/>
      <c r="BQ17" s="123"/>
      <c r="BR17" s="123"/>
    </row>
    <row r="18" spans="1:70" x14ac:dyDescent="0.2">
      <c r="A18" s="79"/>
      <c r="B18" s="79"/>
      <c r="C18" s="79"/>
      <c r="D18" s="79"/>
      <c r="E18" s="79"/>
      <c r="F18" s="471" t="s">
        <v>888</v>
      </c>
      <c r="G18" s="369">
        <v>0.3</v>
      </c>
      <c r="H18" s="369">
        <v>1.6</v>
      </c>
      <c r="I18" s="369">
        <v>2.5000000000000001E-2</v>
      </c>
      <c r="J18" s="369">
        <v>2.5000000000000001E-2</v>
      </c>
      <c r="K18" s="472" t="s">
        <v>741</v>
      </c>
      <c r="L18" s="552">
        <v>2.5000000000000001E-2</v>
      </c>
      <c r="M18" s="516"/>
      <c r="N18" s="516"/>
      <c r="O18" s="516"/>
      <c r="P18" s="516"/>
      <c r="Q18" s="516"/>
      <c r="S18" s="80"/>
      <c r="T18" s="81"/>
      <c r="U18" s="81"/>
      <c r="V18" s="81"/>
      <c r="W18" s="81"/>
      <c r="X18" s="81"/>
      <c r="Y18" s="81"/>
      <c r="Z18" s="81"/>
      <c r="AA18" s="81"/>
      <c r="AB18" s="81"/>
      <c r="AC18" s="81"/>
      <c r="AD18" s="81"/>
      <c r="AE18" s="81"/>
      <c r="AF18" s="81"/>
      <c r="AG18" s="81"/>
      <c r="AH18" s="81"/>
      <c r="AI18" s="81"/>
      <c r="AJ18" s="81"/>
      <c r="AK18" s="81"/>
      <c r="AL18" s="81"/>
      <c r="AM18" s="81"/>
      <c r="AN18" s="81"/>
      <c r="AO18" s="80"/>
      <c r="AP18" s="80"/>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3"/>
      <c r="BQ18" s="123"/>
      <c r="BR18" s="123"/>
    </row>
    <row r="19" spans="1:70" x14ac:dyDescent="0.2">
      <c r="A19" s="79"/>
      <c r="B19" s="79"/>
      <c r="C19" s="79"/>
      <c r="D19" s="79"/>
      <c r="E19" s="79"/>
      <c r="F19" s="476" t="s">
        <v>889</v>
      </c>
      <c r="G19" s="369">
        <v>0.3</v>
      </c>
      <c r="H19" s="369">
        <v>1.6</v>
      </c>
      <c r="I19" s="369">
        <v>2.5000000000000001E-2</v>
      </c>
      <c r="J19" s="369">
        <v>2.5000000000000001E-2</v>
      </c>
      <c r="K19" s="472" t="s">
        <v>1448</v>
      </c>
      <c r="L19" s="552">
        <v>1.0249999999999999</v>
      </c>
      <c r="M19" s="516"/>
      <c r="N19" s="516"/>
      <c r="O19" s="516"/>
      <c r="P19" s="516"/>
      <c r="Q19" s="516"/>
      <c r="S19" s="80"/>
      <c r="T19" s="81"/>
      <c r="U19" s="81"/>
      <c r="V19" s="81"/>
      <c r="W19" s="81"/>
      <c r="X19" s="81"/>
      <c r="Y19" s="81"/>
      <c r="Z19" s="81"/>
      <c r="AA19" s="81"/>
      <c r="AB19" s="81"/>
      <c r="AC19" s="81"/>
      <c r="AD19" s="81"/>
      <c r="AE19" s="81"/>
      <c r="AF19" s="81"/>
      <c r="AG19" s="81"/>
      <c r="AH19" s="81"/>
      <c r="AI19" s="81"/>
      <c r="AJ19" s="81"/>
      <c r="AK19" s="81"/>
      <c r="AL19" s="81"/>
      <c r="AM19" s="81"/>
      <c r="AN19" s="81"/>
      <c r="AO19" s="80"/>
      <c r="AP19" s="80"/>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3"/>
      <c r="BQ19" s="123"/>
      <c r="BR19" s="123"/>
    </row>
    <row r="20" spans="1:70" x14ac:dyDescent="0.2">
      <c r="A20" s="79"/>
      <c r="B20" s="79"/>
      <c r="C20" s="79"/>
      <c r="D20" s="79"/>
      <c r="E20" s="79"/>
      <c r="F20" s="79"/>
      <c r="G20" s="79"/>
      <c r="H20" s="79"/>
      <c r="I20" s="79"/>
      <c r="J20" s="79"/>
      <c r="K20" s="79"/>
      <c r="L20" s="515"/>
      <c r="M20" s="516"/>
      <c r="N20" s="516"/>
      <c r="O20" s="516"/>
      <c r="P20" s="516"/>
      <c r="Q20" s="516"/>
      <c r="S20" s="80"/>
      <c r="T20" s="81"/>
      <c r="U20" s="81"/>
      <c r="V20" s="81"/>
      <c r="W20" s="81"/>
      <c r="X20" s="81"/>
      <c r="Y20" s="81"/>
      <c r="Z20" s="81"/>
      <c r="AA20" s="81"/>
      <c r="AB20" s="81"/>
      <c r="AC20" s="81"/>
      <c r="AD20" s="81"/>
      <c r="AE20" s="81"/>
      <c r="AF20" s="81"/>
      <c r="AG20" s="81"/>
      <c r="AH20" s="81"/>
      <c r="AI20" s="81"/>
      <c r="AJ20" s="81"/>
      <c r="AK20" s="81"/>
      <c r="AL20" s="81"/>
      <c r="AM20" s="81"/>
      <c r="AN20" s="81"/>
      <c r="AO20" s="80"/>
      <c r="AP20" s="80"/>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3"/>
      <c r="BQ20" s="123"/>
      <c r="BR20" s="123"/>
    </row>
    <row r="21" spans="1:70" x14ac:dyDescent="0.2">
      <c r="A21" s="79"/>
      <c r="B21" s="1101" t="s">
        <v>140</v>
      </c>
      <c r="C21" s="1101"/>
      <c r="D21" s="82"/>
      <c r="E21" s="79"/>
      <c r="F21" s="79"/>
      <c r="G21" s="79"/>
      <c r="H21" s="515"/>
      <c r="I21" s="515"/>
      <c r="J21" s="515"/>
      <c r="K21" s="515"/>
      <c r="L21" s="515"/>
      <c r="M21" s="516"/>
      <c r="N21" s="516"/>
      <c r="O21" s="516"/>
      <c r="P21" s="516"/>
      <c r="Q21" s="516"/>
      <c r="S21" s="80"/>
      <c r="T21" s="81"/>
      <c r="U21" s="81"/>
      <c r="V21" s="81"/>
      <c r="W21" s="81"/>
      <c r="X21" s="81"/>
      <c r="Y21" s="81"/>
      <c r="Z21" s="81"/>
      <c r="AA21" s="81"/>
      <c r="AB21" s="81"/>
      <c r="AC21" s="81"/>
      <c r="AD21" s="81"/>
      <c r="AE21" s="81"/>
      <c r="AF21" s="81"/>
      <c r="AG21" s="81"/>
      <c r="AH21" s="81"/>
      <c r="AI21" s="81"/>
      <c r="AJ21" s="81"/>
      <c r="AK21" s="81"/>
      <c r="AL21" s="81"/>
      <c r="AM21" s="81"/>
      <c r="AN21" s="81"/>
      <c r="AO21" s="80"/>
      <c r="AP21" s="80"/>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3"/>
      <c r="BQ21" s="123"/>
      <c r="BR21" s="123"/>
    </row>
    <row r="22" spans="1:70" ht="30" customHeight="1" x14ac:dyDescent="0.2">
      <c r="A22" s="79"/>
      <c r="B22" s="464" t="s">
        <v>141</v>
      </c>
      <c r="C22" s="465" t="s">
        <v>142</v>
      </c>
      <c r="D22" s="465" t="s">
        <v>143</v>
      </c>
      <c r="E22" s="93" t="s">
        <v>1278</v>
      </c>
      <c r="F22" s="93" t="s">
        <v>144</v>
      </c>
      <c r="G22" s="466" t="s">
        <v>145</v>
      </c>
      <c r="H22" s="515"/>
      <c r="I22" s="515"/>
      <c r="J22" s="515"/>
      <c r="K22" s="515"/>
      <c r="L22" s="515"/>
      <c r="M22" s="516"/>
      <c r="N22" s="516"/>
      <c r="O22" s="516"/>
      <c r="P22" s="516"/>
      <c r="Q22" s="516"/>
      <c r="S22" s="80"/>
      <c r="T22" s="81"/>
      <c r="U22" s="81"/>
      <c r="V22" s="81"/>
      <c r="W22" s="81"/>
      <c r="X22" s="81"/>
      <c r="Y22" s="81"/>
      <c r="Z22" s="81"/>
      <c r="AA22" s="81"/>
      <c r="AB22" s="81"/>
      <c r="AC22" s="81"/>
      <c r="AD22" s="81"/>
      <c r="AE22" s="81"/>
      <c r="AF22" s="81"/>
      <c r="AG22" s="81"/>
      <c r="AH22" s="81"/>
      <c r="AI22" s="81"/>
      <c r="AJ22" s="81"/>
      <c r="AK22" s="81"/>
      <c r="AL22" s="81"/>
      <c r="AM22" s="81"/>
      <c r="AN22" s="81"/>
      <c r="AO22" s="80"/>
      <c r="AP22" s="80"/>
      <c r="AQ22" s="123"/>
      <c r="AR22" s="123"/>
      <c r="AS22" s="123"/>
      <c r="AT22" s="123"/>
      <c r="AU22" s="123"/>
      <c r="AV22" s="123"/>
      <c r="AW22" s="123"/>
      <c r="AX22" s="123"/>
      <c r="AY22" s="123"/>
      <c r="AZ22" s="123"/>
      <c r="BA22" s="123"/>
      <c r="BB22" s="123"/>
      <c r="BC22" s="123"/>
      <c r="BD22" s="123"/>
      <c r="BE22" s="123" t="s">
        <v>905</v>
      </c>
      <c r="BF22" s="123"/>
      <c r="BG22" s="123"/>
      <c r="BH22" s="123"/>
      <c r="BI22" s="123"/>
      <c r="BJ22" s="123"/>
      <c r="BK22" s="123"/>
      <c r="BL22" s="123"/>
      <c r="BM22" s="123"/>
      <c r="BN22" s="123"/>
      <c r="BO22" s="123"/>
      <c r="BP22" s="123"/>
      <c r="BQ22" s="123"/>
      <c r="BR22" s="123"/>
    </row>
    <row r="23" spans="1:70" x14ac:dyDescent="0.2">
      <c r="A23" s="79"/>
      <c r="B23" s="462" t="s">
        <v>146</v>
      </c>
      <c r="C23" s="84">
        <v>42000</v>
      </c>
      <c r="D23" s="84">
        <v>290</v>
      </c>
      <c r="E23" s="85">
        <v>60000</v>
      </c>
      <c r="F23" s="85">
        <v>415</v>
      </c>
      <c r="G23" s="463">
        <v>20</v>
      </c>
      <c r="H23" s="515"/>
      <c r="I23" s="515"/>
      <c r="J23" s="515"/>
      <c r="K23" s="515"/>
      <c r="L23" s="515"/>
      <c r="M23" s="516"/>
      <c r="N23" s="516"/>
      <c r="O23" s="516"/>
      <c r="P23" s="516"/>
      <c r="Q23" s="516"/>
      <c r="S23" s="80"/>
      <c r="T23" s="81"/>
      <c r="U23" s="81"/>
      <c r="V23" s="81"/>
      <c r="W23" s="81"/>
      <c r="X23" s="81"/>
      <c r="Y23" s="81"/>
      <c r="Z23" s="81"/>
      <c r="AA23" s="81"/>
      <c r="AB23" s="81"/>
      <c r="AC23" s="81"/>
      <c r="AD23" s="81"/>
      <c r="AE23" s="81"/>
      <c r="AF23" s="81"/>
      <c r="AG23" s="81"/>
      <c r="AH23" s="81"/>
      <c r="AI23" s="81"/>
      <c r="AJ23" s="81"/>
      <c r="AK23" s="81"/>
      <c r="AL23" s="81"/>
      <c r="AM23" s="81"/>
      <c r="AN23" s="81"/>
      <c r="AO23" s="80"/>
      <c r="AP23" s="80"/>
      <c r="AQ23" s="123"/>
      <c r="AR23" s="123"/>
      <c r="AS23" s="123"/>
      <c r="AT23" s="123"/>
      <c r="AU23" s="123"/>
      <c r="AV23" s="123"/>
      <c r="AW23" s="123"/>
      <c r="AX23" s="123"/>
      <c r="AY23" s="123"/>
      <c r="AZ23" s="123"/>
      <c r="BA23" s="123"/>
      <c r="BB23" s="123"/>
      <c r="BC23" s="123"/>
      <c r="BD23" s="123"/>
      <c r="BE23" s="396" t="s">
        <v>625</v>
      </c>
      <c r="BF23" s="384" t="s">
        <v>186</v>
      </c>
      <c r="BG23" s="384" t="s">
        <v>193</v>
      </c>
      <c r="BH23" s="384" t="s">
        <v>198</v>
      </c>
      <c r="BI23" s="384" t="s">
        <v>203</v>
      </c>
      <c r="BJ23" s="384" t="s">
        <v>208</v>
      </c>
      <c r="BK23" s="384" t="s">
        <v>213</v>
      </c>
      <c r="BL23" s="384" t="s">
        <v>218</v>
      </c>
      <c r="BM23" s="384" t="s">
        <v>220</v>
      </c>
      <c r="BN23" s="384" t="s">
        <v>222</v>
      </c>
      <c r="BO23" s="384" t="s">
        <v>228</v>
      </c>
      <c r="BP23" s="384" t="s">
        <v>226</v>
      </c>
      <c r="BQ23" s="397" t="s">
        <v>913</v>
      </c>
      <c r="BR23" s="123"/>
    </row>
    <row r="24" spans="1:70" x14ac:dyDescent="0.2">
      <c r="A24" s="79"/>
      <c r="B24" s="462" t="s">
        <v>147</v>
      </c>
      <c r="C24" s="84">
        <v>46000</v>
      </c>
      <c r="D24" s="84">
        <v>315</v>
      </c>
      <c r="E24" s="85">
        <v>60000</v>
      </c>
      <c r="F24" s="85">
        <v>415</v>
      </c>
      <c r="G24" s="463">
        <v>20</v>
      </c>
      <c r="H24" s="515"/>
      <c r="I24" s="515"/>
      <c r="J24" s="515"/>
      <c r="K24" s="515"/>
      <c r="L24" s="515"/>
      <c r="M24" s="516"/>
      <c r="N24" s="516"/>
      <c r="O24" s="516"/>
      <c r="P24" s="516"/>
      <c r="Q24" s="516"/>
      <c r="S24" s="80"/>
      <c r="T24" s="81"/>
      <c r="U24" s="81"/>
      <c r="V24" s="81"/>
      <c r="W24" s="81"/>
      <c r="X24" s="81"/>
      <c r="Y24" s="81"/>
      <c r="Z24" s="81"/>
      <c r="AA24" s="81"/>
      <c r="AB24" s="81"/>
      <c r="AC24" s="81"/>
      <c r="AD24" s="81"/>
      <c r="AE24" s="81"/>
      <c r="AF24" s="81"/>
      <c r="AG24" s="81"/>
      <c r="AH24" s="81"/>
      <c r="AI24" s="81"/>
      <c r="AJ24" s="81"/>
      <c r="AK24" s="81"/>
      <c r="AL24" s="81"/>
      <c r="AM24" s="81"/>
      <c r="AN24" s="81"/>
      <c r="AO24" s="80"/>
      <c r="AP24" s="80"/>
      <c r="AQ24" s="123"/>
      <c r="AR24" s="123"/>
      <c r="AS24" s="123"/>
      <c r="AT24" s="123"/>
      <c r="AU24" s="123"/>
      <c r="AV24" s="123"/>
      <c r="AW24" s="123"/>
      <c r="AX24" s="123"/>
      <c r="AY24" s="123"/>
      <c r="AZ24" s="123"/>
      <c r="BA24" s="123"/>
      <c r="BB24" s="123"/>
      <c r="BC24" s="123"/>
      <c r="BD24" s="123"/>
      <c r="BE24" s="394" t="s">
        <v>906</v>
      </c>
      <c r="BF24" s="354" t="s">
        <v>914</v>
      </c>
      <c r="BG24" s="354" t="s">
        <v>918</v>
      </c>
      <c r="BH24" s="354" t="s">
        <v>923</v>
      </c>
      <c r="BI24" s="354" t="s">
        <v>925</v>
      </c>
      <c r="BJ24" s="354" t="s">
        <v>926</v>
      </c>
      <c r="BK24" s="354" t="s">
        <v>929</v>
      </c>
      <c r="BL24" s="354" t="s">
        <v>914</v>
      </c>
      <c r="BM24" s="354" t="s">
        <v>936</v>
      </c>
      <c r="BN24" s="354" t="s">
        <v>929</v>
      </c>
      <c r="BO24" s="354" t="s">
        <v>937</v>
      </c>
      <c r="BP24" s="354" t="s">
        <v>942</v>
      </c>
      <c r="BQ24" s="395"/>
      <c r="BR24" s="123"/>
    </row>
    <row r="25" spans="1:70" x14ac:dyDescent="0.2">
      <c r="A25" s="79"/>
      <c r="B25" s="462" t="s">
        <v>148</v>
      </c>
      <c r="C25" s="84">
        <v>48000</v>
      </c>
      <c r="D25" s="84">
        <v>330</v>
      </c>
      <c r="E25" s="85">
        <v>62000</v>
      </c>
      <c r="F25" s="85">
        <v>420</v>
      </c>
      <c r="G25" s="463">
        <v>20</v>
      </c>
      <c r="H25" s="515"/>
      <c r="I25" s="515"/>
      <c r="J25" s="515"/>
      <c r="K25" s="515"/>
      <c r="L25" s="515"/>
      <c r="M25" s="516"/>
      <c r="N25" s="516"/>
      <c r="O25" s="516"/>
      <c r="P25" s="516"/>
      <c r="Q25" s="516"/>
      <c r="S25" s="80"/>
      <c r="T25" s="81"/>
      <c r="U25" s="81"/>
      <c r="V25" s="81"/>
      <c r="W25" s="81"/>
      <c r="X25" s="81"/>
      <c r="Y25" s="81"/>
      <c r="Z25" s="81"/>
      <c r="AA25" s="81"/>
      <c r="AB25" s="81"/>
      <c r="AC25" s="81"/>
      <c r="AD25" s="81"/>
      <c r="AE25" s="81"/>
      <c r="AF25" s="81"/>
      <c r="AG25" s="81"/>
      <c r="AH25" s="81"/>
      <c r="AI25" s="81"/>
      <c r="AJ25" s="81"/>
      <c r="AK25" s="81"/>
      <c r="AL25" s="81"/>
      <c r="AM25" s="81"/>
      <c r="AN25" s="81"/>
      <c r="AO25" s="80"/>
      <c r="AP25" s="80"/>
      <c r="AQ25" s="123"/>
      <c r="AR25" s="123"/>
      <c r="AS25" s="123"/>
      <c r="AT25" s="123"/>
      <c r="AU25" s="123"/>
      <c r="AV25" s="123"/>
      <c r="AW25" s="123"/>
      <c r="AX25" s="123"/>
      <c r="AY25" s="123"/>
      <c r="AZ25" s="123"/>
      <c r="BA25" s="123"/>
      <c r="BB25" s="123"/>
      <c r="BC25" s="123"/>
      <c r="BD25" s="123"/>
      <c r="BE25" s="394" t="s">
        <v>907</v>
      </c>
      <c r="BF25" s="354" t="s">
        <v>914</v>
      </c>
      <c r="BG25" s="354" t="s">
        <v>918</v>
      </c>
      <c r="BH25" s="354" t="s">
        <v>923</v>
      </c>
      <c r="BI25" s="354" t="s">
        <v>925</v>
      </c>
      <c r="BJ25" s="354" t="s">
        <v>927</v>
      </c>
      <c r="BK25" s="354" t="s">
        <v>929</v>
      </c>
      <c r="BL25" s="354" t="s">
        <v>914</v>
      </c>
      <c r="BM25" s="354" t="s">
        <v>936</v>
      </c>
      <c r="BN25" s="354" t="s">
        <v>929</v>
      </c>
      <c r="BO25" s="354" t="s">
        <v>937</v>
      </c>
      <c r="BP25" s="354" t="s">
        <v>942</v>
      </c>
      <c r="BQ25" s="395"/>
      <c r="BR25" s="123"/>
    </row>
    <row r="26" spans="1:70" x14ac:dyDescent="0.2">
      <c r="A26" s="79"/>
      <c r="B26" s="462" t="s">
        <v>149</v>
      </c>
      <c r="C26" s="84">
        <v>50000</v>
      </c>
      <c r="D26" s="84">
        <v>345</v>
      </c>
      <c r="E26" s="85">
        <v>64000</v>
      </c>
      <c r="F26" s="85">
        <v>440</v>
      </c>
      <c r="G26" s="463">
        <v>20</v>
      </c>
      <c r="H26" s="79"/>
      <c r="I26" s="79"/>
      <c r="J26" s="79"/>
      <c r="K26" s="79"/>
      <c r="L26" s="515"/>
      <c r="M26" s="516"/>
      <c r="N26" s="516"/>
      <c r="O26" s="516"/>
      <c r="P26" s="516"/>
      <c r="Q26" s="516"/>
      <c r="S26" s="80"/>
      <c r="T26" s="81"/>
      <c r="U26" s="81"/>
      <c r="V26" s="81"/>
      <c r="W26" s="81"/>
      <c r="X26" s="81"/>
      <c r="Y26" s="81"/>
      <c r="Z26" s="81"/>
      <c r="AA26" s="81"/>
      <c r="AB26" s="81"/>
      <c r="AC26" s="81"/>
      <c r="AD26" s="81"/>
      <c r="AE26" s="81"/>
      <c r="AF26" s="81"/>
      <c r="AG26" s="81"/>
      <c r="AH26" s="81"/>
      <c r="AI26" s="81"/>
      <c r="AJ26" s="81"/>
      <c r="AK26" s="81"/>
      <c r="AL26" s="81"/>
      <c r="AM26" s="81"/>
      <c r="AN26" s="81"/>
      <c r="AO26" s="80"/>
      <c r="AP26" s="80"/>
      <c r="AQ26" s="123"/>
      <c r="AR26" s="123"/>
      <c r="AS26" s="123"/>
      <c r="AT26" s="123"/>
      <c r="AU26" s="123"/>
      <c r="AV26" s="123"/>
      <c r="AW26" s="123"/>
      <c r="AX26" s="123"/>
      <c r="AY26" s="123"/>
      <c r="AZ26" s="123"/>
      <c r="BA26" s="123"/>
      <c r="BB26" s="123"/>
      <c r="BC26" s="123"/>
      <c r="BD26" s="123"/>
      <c r="BE26" s="394" t="s">
        <v>908</v>
      </c>
      <c r="BF26" s="354" t="s">
        <v>915</v>
      </c>
      <c r="BG26" s="354" t="s">
        <v>919</v>
      </c>
      <c r="BH26" s="354" t="s">
        <v>923</v>
      </c>
      <c r="BI26" s="354" t="s">
        <v>925</v>
      </c>
      <c r="BJ26" s="354" t="s">
        <v>928</v>
      </c>
      <c r="BK26" s="354" t="s">
        <v>931</v>
      </c>
      <c r="BL26" s="354" t="s">
        <v>914</v>
      </c>
      <c r="BM26" s="354" t="s">
        <v>936</v>
      </c>
      <c r="BN26" s="354" t="s">
        <v>929</v>
      </c>
      <c r="BO26" s="354" t="s">
        <v>937</v>
      </c>
      <c r="BP26" s="354" t="s">
        <v>944</v>
      </c>
      <c r="BQ26" s="395"/>
      <c r="BR26" s="123"/>
    </row>
    <row r="27" spans="1:70" ht="15.75" thickBot="1" x14ac:dyDescent="0.25">
      <c r="A27" s="79"/>
      <c r="B27" s="462" t="s">
        <v>150</v>
      </c>
      <c r="C27" s="84">
        <v>52000</v>
      </c>
      <c r="D27" s="84">
        <v>360</v>
      </c>
      <c r="E27" s="85">
        <v>66000</v>
      </c>
      <c r="F27" s="85">
        <v>455</v>
      </c>
      <c r="G27" s="463">
        <v>20</v>
      </c>
      <c r="H27" s="79"/>
      <c r="I27" s="79"/>
      <c r="J27" s="79"/>
      <c r="K27" s="79"/>
      <c r="L27" s="515"/>
      <c r="M27" s="516"/>
      <c r="N27" s="516"/>
      <c r="O27" s="516"/>
      <c r="P27" s="516"/>
      <c r="Q27" s="516"/>
      <c r="S27" s="80"/>
      <c r="T27" s="81"/>
      <c r="U27" s="81"/>
      <c r="V27" s="81"/>
      <c r="W27" s="81"/>
      <c r="X27" s="81"/>
      <c r="Y27" s="81"/>
      <c r="Z27" s="81"/>
      <c r="AA27" s="81"/>
      <c r="AB27" s="81"/>
      <c r="AC27" s="81"/>
      <c r="AD27" s="81"/>
      <c r="AE27" s="81"/>
      <c r="AF27" s="81"/>
      <c r="AG27" s="81"/>
      <c r="AH27" s="81"/>
      <c r="AI27" s="81"/>
      <c r="AJ27" s="81"/>
      <c r="AK27" s="81"/>
      <c r="AL27" s="81"/>
      <c r="AM27" s="81"/>
      <c r="AN27" s="81"/>
      <c r="AO27" s="80"/>
      <c r="AP27" s="80"/>
      <c r="AQ27" s="123"/>
      <c r="AR27" s="123"/>
      <c r="AS27" s="123"/>
      <c r="AT27" s="123"/>
      <c r="AU27" s="123"/>
      <c r="AV27" s="123"/>
      <c r="AW27" s="123"/>
      <c r="AX27" s="123"/>
      <c r="AY27" s="123"/>
      <c r="AZ27" s="123"/>
      <c r="BA27" s="123"/>
      <c r="BB27" s="123"/>
      <c r="BC27" s="123"/>
      <c r="BD27" s="123"/>
      <c r="BE27" s="394" t="s">
        <v>909</v>
      </c>
      <c r="BF27" s="354" t="s">
        <v>914</v>
      </c>
      <c r="BG27" s="354" t="s">
        <v>918</v>
      </c>
      <c r="BH27" s="354" t="s">
        <v>923</v>
      </c>
      <c r="BI27" s="354" t="s">
        <v>925</v>
      </c>
      <c r="BJ27" s="354" t="s">
        <v>928</v>
      </c>
      <c r="BK27" s="354" t="s">
        <v>932</v>
      </c>
      <c r="BL27" s="354" t="s">
        <v>914</v>
      </c>
      <c r="BM27" s="354" t="s">
        <v>936</v>
      </c>
      <c r="BN27" s="354" t="s">
        <v>929</v>
      </c>
      <c r="BO27" s="354" t="s">
        <v>937</v>
      </c>
      <c r="BP27" s="354" t="s">
        <v>944</v>
      </c>
      <c r="BQ27" s="395"/>
      <c r="BR27" s="123"/>
    </row>
    <row r="28" spans="1:70" ht="15.75" thickBot="1" x14ac:dyDescent="0.25">
      <c r="A28" s="79"/>
      <c r="B28" s="462" t="s">
        <v>151</v>
      </c>
      <c r="C28" s="84">
        <v>56000</v>
      </c>
      <c r="D28" s="84">
        <v>385</v>
      </c>
      <c r="E28" s="85">
        <v>68000</v>
      </c>
      <c r="F28" s="85">
        <v>470</v>
      </c>
      <c r="G28" s="463">
        <v>20</v>
      </c>
      <c r="H28" s="79"/>
      <c r="I28" s="79"/>
      <c r="J28" s="79"/>
      <c r="K28" s="79"/>
      <c r="L28" s="79"/>
      <c r="M28" s="516"/>
      <c r="N28" s="516"/>
      <c r="O28" s="516"/>
      <c r="P28" s="516"/>
      <c r="Q28" s="516"/>
      <c r="S28" s="80"/>
      <c r="T28" s="81"/>
      <c r="U28" s="351" t="s">
        <v>152</v>
      </c>
      <c r="V28" s="1102" t="s">
        <v>153</v>
      </c>
      <c r="W28" s="1103"/>
      <c r="X28" s="1104" t="s">
        <v>154</v>
      </c>
      <c r="Y28" s="1105"/>
      <c r="Z28" s="81"/>
      <c r="AA28" s="81"/>
      <c r="AB28" s="81"/>
      <c r="AC28" s="81"/>
      <c r="AD28" s="81"/>
      <c r="AE28" s="81"/>
      <c r="AF28" s="81"/>
      <c r="AG28" s="81"/>
      <c r="AH28" s="81"/>
      <c r="AI28" s="81"/>
      <c r="AJ28" s="81"/>
      <c r="AK28" s="81"/>
      <c r="AL28" s="81"/>
      <c r="AM28" s="81"/>
      <c r="AN28" s="81"/>
      <c r="AO28" s="80"/>
      <c r="AP28" s="80"/>
      <c r="AQ28" s="123"/>
      <c r="AR28" s="123"/>
      <c r="AS28" s="123"/>
      <c r="AT28" s="123"/>
      <c r="AU28" s="123"/>
      <c r="AV28" s="123"/>
      <c r="AW28" s="123"/>
      <c r="AX28" s="123"/>
      <c r="AY28" s="123"/>
      <c r="AZ28" s="123"/>
      <c r="BA28" s="123"/>
      <c r="BB28" s="123"/>
      <c r="BC28" s="123"/>
      <c r="BD28" s="123"/>
      <c r="BE28" s="394" t="s">
        <v>910</v>
      </c>
      <c r="BF28" s="370" t="s">
        <v>916</v>
      </c>
      <c r="BG28" s="354" t="s">
        <v>920</v>
      </c>
      <c r="BH28" s="354" t="s">
        <v>924</v>
      </c>
      <c r="BI28" s="354" t="s">
        <v>923</v>
      </c>
      <c r="BJ28" s="354" t="s">
        <v>927</v>
      </c>
      <c r="BK28" s="354" t="s">
        <v>929</v>
      </c>
      <c r="BL28" s="354" t="s">
        <v>914</v>
      </c>
      <c r="BM28" s="354" t="s">
        <v>936</v>
      </c>
      <c r="BN28" s="354" t="s">
        <v>929</v>
      </c>
      <c r="BO28" s="354" t="s">
        <v>937</v>
      </c>
      <c r="BP28" s="354" t="s">
        <v>945</v>
      </c>
      <c r="BQ28" s="395" t="s">
        <v>946</v>
      </c>
      <c r="BR28" s="123"/>
    </row>
    <row r="29" spans="1:70" x14ac:dyDescent="0.2">
      <c r="A29" s="79"/>
      <c r="B29" s="462" t="s">
        <v>155</v>
      </c>
      <c r="C29" s="84">
        <v>60000</v>
      </c>
      <c r="D29" s="84">
        <v>415</v>
      </c>
      <c r="E29" s="85">
        <v>75000</v>
      </c>
      <c r="F29" s="85">
        <v>515</v>
      </c>
      <c r="G29" s="463">
        <v>20</v>
      </c>
      <c r="H29" s="79"/>
      <c r="I29" s="79"/>
      <c r="J29" s="79"/>
      <c r="K29" s="79"/>
      <c r="L29" s="79"/>
      <c r="M29" s="516"/>
      <c r="N29" s="516"/>
      <c r="O29" s="516"/>
      <c r="P29" s="516"/>
      <c r="Q29" s="516"/>
      <c r="S29" s="80"/>
      <c r="T29" s="81"/>
      <c r="U29" s="86" t="s">
        <v>141</v>
      </c>
      <c r="V29" s="352" t="s">
        <v>156</v>
      </c>
      <c r="W29" s="352" t="s">
        <v>157</v>
      </c>
      <c r="X29" s="352" t="s">
        <v>156</v>
      </c>
      <c r="Y29" s="353" t="s">
        <v>157</v>
      </c>
      <c r="Z29" s="81"/>
      <c r="AA29" s="81"/>
      <c r="AB29" s="81"/>
      <c r="AC29" s="81"/>
      <c r="AD29" s="81"/>
      <c r="AE29" s="81"/>
      <c r="AF29" s="81"/>
      <c r="AG29" s="81"/>
      <c r="AH29" s="81"/>
      <c r="AI29" s="81"/>
      <c r="AJ29" s="81"/>
      <c r="AK29" s="81"/>
      <c r="AL29" s="81"/>
      <c r="AM29" s="81"/>
      <c r="AN29" s="81"/>
      <c r="AO29" s="80"/>
      <c r="AP29" s="80"/>
      <c r="AQ29" s="123"/>
      <c r="AR29" s="123"/>
      <c r="AS29" s="123"/>
      <c r="AT29" s="123"/>
      <c r="AU29" s="123"/>
      <c r="AV29" s="123"/>
      <c r="AW29" s="123"/>
      <c r="AX29" s="123"/>
      <c r="AY29" s="123"/>
      <c r="AZ29" s="123"/>
      <c r="BA29" s="123"/>
      <c r="BB29" s="123"/>
      <c r="BC29" s="123"/>
      <c r="BD29" s="123"/>
      <c r="BE29" s="394" t="s">
        <v>911</v>
      </c>
      <c r="BF29" s="354" t="s">
        <v>915</v>
      </c>
      <c r="BG29" s="354" t="s">
        <v>921</v>
      </c>
      <c r="BH29" s="354" t="s">
        <v>925</v>
      </c>
      <c r="BI29" s="354" t="s">
        <v>925</v>
      </c>
      <c r="BJ29" s="354"/>
      <c r="BK29" s="354" t="s">
        <v>933</v>
      </c>
      <c r="BL29" s="354" t="s">
        <v>914</v>
      </c>
      <c r="BM29" s="354" t="s">
        <v>936</v>
      </c>
      <c r="BN29" s="354" t="s">
        <v>939</v>
      </c>
      <c r="BO29" s="354" t="s">
        <v>937</v>
      </c>
      <c r="BP29" s="354" t="s">
        <v>944</v>
      </c>
      <c r="BQ29" s="395"/>
      <c r="BR29" s="123"/>
    </row>
    <row r="30" spans="1:70" ht="15.75" thickBot="1" x14ac:dyDescent="0.25">
      <c r="A30" s="79"/>
      <c r="B30" s="462" t="s">
        <v>158</v>
      </c>
      <c r="C30" s="84">
        <v>65000</v>
      </c>
      <c r="D30" s="84">
        <v>450</v>
      </c>
      <c r="E30" s="85">
        <v>77000</v>
      </c>
      <c r="F30" s="85">
        <v>530</v>
      </c>
      <c r="G30" s="463">
        <v>20</v>
      </c>
      <c r="H30" s="79"/>
      <c r="I30" s="79"/>
      <c r="J30" s="79"/>
      <c r="K30" s="79"/>
      <c r="L30" s="79"/>
      <c r="M30" s="516"/>
      <c r="N30" s="516"/>
      <c r="O30" s="516"/>
      <c r="P30" s="516"/>
      <c r="Q30" s="516"/>
      <c r="S30" s="80"/>
      <c r="T30" s="81"/>
      <c r="U30" s="87" t="s">
        <v>159</v>
      </c>
      <c r="V30" s="88">
        <v>36000</v>
      </c>
      <c r="W30" s="88">
        <v>250</v>
      </c>
      <c r="X30" s="88">
        <v>70000</v>
      </c>
      <c r="Y30" s="89">
        <v>485</v>
      </c>
      <c r="Z30" s="81"/>
      <c r="AA30" s="81"/>
      <c r="AB30" s="81"/>
      <c r="AC30" s="81"/>
      <c r="AD30" s="81"/>
      <c r="AE30" s="81"/>
      <c r="AF30" s="81"/>
      <c r="AG30" s="81"/>
      <c r="AH30" s="81"/>
      <c r="AI30" s="81"/>
      <c r="AJ30" s="81"/>
      <c r="AK30" s="81"/>
      <c r="AL30" s="81"/>
      <c r="AM30" s="81"/>
      <c r="AN30" s="81"/>
      <c r="AO30" s="80"/>
      <c r="AP30" s="80"/>
      <c r="AQ30" s="123"/>
      <c r="AR30" s="123"/>
      <c r="AS30" s="123"/>
      <c r="AT30" s="123"/>
      <c r="AU30" s="123"/>
      <c r="AV30" s="123"/>
      <c r="AW30" s="123"/>
      <c r="AX30" s="123"/>
      <c r="AY30" s="123"/>
      <c r="AZ30" s="123"/>
      <c r="BA30" s="123"/>
      <c r="BB30" s="123"/>
      <c r="BC30" s="123"/>
      <c r="BD30" s="123"/>
      <c r="BE30" s="398" t="s">
        <v>912</v>
      </c>
      <c r="BF30" s="383" t="s">
        <v>917</v>
      </c>
      <c r="BG30" s="383" t="s">
        <v>922</v>
      </c>
      <c r="BH30" s="383" t="s">
        <v>924</v>
      </c>
      <c r="BI30" s="383" t="s">
        <v>924</v>
      </c>
      <c r="BJ30" s="383" t="s">
        <v>929</v>
      </c>
      <c r="BK30" s="383" t="s">
        <v>934</v>
      </c>
      <c r="BL30" s="383" t="s">
        <v>935</v>
      </c>
      <c r="BM30" s="383" t="s">
        <v>938</v>
      </c>
      <c r="BN30" s="383" t="s">
        <v>940</v>
      </c>
      <c r="BO30" s="383" t="s">
        <v>941</v>
      </c>
      <c r="BP30" s="383" t="s">
        <v>944</v>
      </c>
      <c r="BQ30" s="399"/>
      <c r="BR30" s="123"/>
    </row>
    <row r="31" spans="1:70" x14ac:dyDescent="0.2">
      <c r="A31" s="79"/>
      <c r="B31" s="467" t="s">
        <v>160</v>
      </c>
      <c r="C31" s="468">
        <v>70000</v>
      </c>
      <c r="D31" s="468">
        <v>485</v>
      </c>
      <c r="E31" s="469">
        <v>82000</v>
      </c>
      <c r="F31" s="469">
        <v>565</v>
      </c>
      <c r="G31" s="470">
        <v>18</v>
      </c>
      <c r="H31" s="79"/>
      <c r="I31" s="79"/>
      <c r="J31" s="79"/>
      <c r="K31" s="79"/>
      <c r="L31" s="79"/>
      <c r="M31" s="516"/>
      <c r="N31" s="516"/>
      <c r="O31" s="516"/>
      <c r="P31" s="516"/>
      <c r="Q31" s="516"/>
      <c r="S31" s="80"/>
      <c r="T31" s="81"/>
      <c r="U31" s="81"/>
      <c r="V31" s="81"/>
      <c r="W31" s="81"/>
      <c r="X31" s="81"/>
      <c r="Y31" s="81"/>
      <c r="Z31" s="81"/>
      <c r="AA31" s="81"/>
      <c r="AB31" s="81"/>
      <c r="AC31" s="81"/>
      <c r="AD31" s="81"/>
      <c r="AE31" s="81"/>
      <c r="AF31" s="81"/>
      <c r="AG31" s="81"/>
      <c r="AH31" s="81"/>
      <c r="AI31" s="81"/>
      <c r="AJ31" s="81"/>
      <c r="AK31" s="545"/>
      <c r="AL31" s="545"/>
      <c r="AM31" s="545"/>
      <c r="AN31" s="545"/>
      <c r="AO31" s="516"/>
      <c r="AP31" s="516"/>
      <c r="AQ31" s="123"/>
      <c r="AR31" s="123"/>
      <c r="AS31" s="123"/>
      <c r="AT31" s="123"/>
      <c r="AU31" s="123"/>
      <c r="AV31" s="123"/>
      <c r="AW31" s="123"/>
      <c r="AX31" s="123"/>
      <c r="AY31" s="123"/>
      <c r="AZ31" s="123"/>
      <c r="BA31" s="123"/>
      <c r="BB31" s="123"/>
      <c r="BC31" s="123"/>
      <c r="BD31" s="123"/>
      <c r="BE31" s="123"/>
      <c r="BF31" s="123"/>
      <c r="BG31" s="123"/>
      <c r="BH31" s="123"/>
      <c r="BI31" s="123"/>
      <c r="BJ31" s="123"/>
      <c r="BK31" s="123"/>
      <c r="BL31" s="123"/>
      <c r="BM31" s="123"/>
      <c r="BN31" s="123"/>
      <c r="BO31" s="123"/>
      <c r="BP31" s="123"/>
      <c r="BQ31" s="123"/>
      <c r="BR31" s="123"/>
    </row>
    <row r="32" spans="1:70" x14ac:dyDescent="0.2">
      <c r="A32" s="79"/>
      <c r="B32" s="79"/>
      <c r="C32" s="79"/>
      <c r="D32" s="79"/>
      <c r="E32" s="79"/>
      <c r="F32" s="79"/>
      <c r="G32" s="79"/>
      <c r="H32" s="79"/>
      <c r="I32" s="79"/>
      <c r="J32" s="79"/>
      <c r="K32" s="79"/>
      <c r="L32" s="79"/>
      <c r="M32" s="516"/>
      <c r="N32" s="516"/>
      <c r="O32" s="516"/>
      <c r="P32" s="516"/>
      <c r="Q32" s="516"/>
      <c r="S32" s="80"/>
      <c r="T32" s="81"/>
      <c r="U32" s="81" t="s">
        <v>904</v>
      </c>
      <c r="V32" s="81"/>
      <c r="W32" s="81"/>
      <c r="X32" s="81"/>
      <c r="Y32" s="81"/>
      <c r="Z32" s="81"/>
      <c r="AA32" s="81"/>
      <c r="AB32" s="81"/>
      <c r="AC32" s="81"/>
      <c r="AD32" s="81"/>
      <c r="AE32" s="81"/>
      <c r="AF32" s="81"/>
      <c r="AG32" s="81"/>
      <c r="AH32" s="81"/>
      <c r="AI32" s="81"/>
      <c r="AJ32" s="81"/>
      <c r="AK32" s="545"/>
      <c r="AL32" s="545"/>
      <c r="AM32" s="545"/>
      <c r="AN32" s="545"/>
      <c r="AO32" s="516"/>
      <c r="AP32" s="516"/>
      <c r="AQ32" s="123"/>
      <c r="AR32" s="123"/>
      <c r="AS32" s="123"/>
      <c r="AT32" s="123"/>
      <c r="AU32" s="123"/>
      <c r="AV32" s="123"/>
      <c r="AW32" s="123"/>
      <c r="AX32" s="123"/>
      <c r="AY32" s="123"/>
      <c r="AZ32" s="123"/>
      <c r="BA32" s="123"/>
      <c r="BB32" s="123"/>
      <c r="BC32" s="123"/>
      <c r="BD32" s="123"/>
      <c r="BE32" s="123"/>
      <c r="BF32" s="123"/>
      <c r="BG32" s="123"/>
      <c r="BH32" s="123"/>
      <c r="BI32" s="123"/>
      <c r="BJ32" s="123"/>
      <c r="BK32" s="123"/>
      <c r="BL32" s="123"/>
      <c r="BM32" s="123"/>
      <c r="BN32" s="123"/>
      <c r="BO32" s="123"/>
      <c r="BP32" s="527"/>
      <c r="BQ32" s="527"/>
      <c r="BR32" s="527"/>
    </row>
    <row r="33" spans="1:70" x14ac:dyDescent="0.2">
      <c r="A33" s="515"/>
      <c r="B33" s="515"/>
      <c r="C33" s="515"/>
      <c r="D33" s="515"/>
      <c r="E33" s="515"/>
      <c r="F33" s="515"/>
      <c r="G33" s="515"/>
      <c r="H33" s="79"/>
      <c r="I33" s="79"/>
      <c r="J33" s="79"/>
      <c r="K33" s="79"/>
      <c r="L33" s="79"/>
      <c r="M33" s="516"/>
      <c r="N33" s="516"/>
      <c r="O33" s="516"/>
      <c r="P33" s="516"/>
      <c r="Q33" s="516"/>
      <c r="R33" s="516"/>
      <c r="S33" s="516"/>
      <c r="T33" s="81"/>
      <c r="U33" s="389" t="s">
        <v>892</v>
      </c>
      <c r="V33" s="390" t="s">
        <v>186</v>
      </c>
      <c r="W33" s="390" t="s">
        <v>193</v>
      </c>
      <c r="X33" s="390" t="s">
        <v>893</v>
      </c>
      <c r="Y33" s="390" t="s">
        <v>203</v>
      </c>
      <c r="Z33" s="391" t="s">
        <v>208</v>
      </c>
      <c r="AA33" s="390" t="s">
        <v>222</v>
      </c>
      <c r="AB33" s="390" t="s">
        <v>213</v>
      </c>
      <c r="AC33" s="390" t="s">
        <v>218</v>
      </c>
      <c r="AD33" s="390" t="s">
        <v>220</v>
      </c>
      <c r="AE33" s="390" t="s">
        <v>226</v>
      </c>
      <c r="AF33" s="392" t="s">
        <v>228</v>
      </c>
      <c r="AG33" s="81"/>
      <c r="AH33" s="81"/>
      <c r="AI33" s="81"/>
      <c r="AJ33" s="81"/>
      <c r="AK33" s="545"/>
      <c r="AL33" s="545"/>
      <c r="AM33" s="545"/>
      <c r="AN33" s="545"/>
      <c r="AO33" s="516"/>
      <c r="AP33" s="516"/>
      <c r="AQ33" s="123"/>
      <c r="AR33" s="123"/>
      <c r="AS33" s="123"/>
      <c r="AT33" s="123"/>
      <c r="AU33" s="123"/>
      <c r="AV33" s="123"/>
      <c r="AW33" s="123"/>
      <c r="AX33" s="123"/>
      <c r="AY33" s="123"/>
      <c r="AZ33" s="123"/>
      <c r="BA33" s="123"/>
      <c r="BB33" s="123"/>
      <c r="BC33" s="123"/>
      <c r="BD33" s="123"/>
      <c r="BE33" s="123"/>
      <c r="BF33" s="123"/>
      <c r="BG33" s="123"/>
      <c r="BH33" s="123"/>
      <c r="BI33" s="123"/>
      <c r="BJ33" s="123"/>
      <c r="BK33" s="123"/>
      <c r="BL33" s="123"/>
      <c r="BM33" s="123"/>
      <c r="BN33" s="123"/>
      <c r="BO33" s="123"/>
      <c r="BP33" s="527"/>
      <c r="BQ33" s="527"/>
      <c r="BR33" s="527"/>
    </row>
    <row r="34" spans="1:70" x14ac:dyDescent="0.2">
      <c r="A34" s="80"/>
      <c r="B34" s="80"/>
      <c r="C34" s="80"/>
      <c r="D34" s="80"/>
      <c r="E34" s="80"/>
      <c r="F34" s="80"/>
      <c r="G34" s="80"/>
      <c r="H34" s="80"/>
      <c r="I34" s="80"/>
      <c r="J34" s="80"/>
      <c r="K34" s="80"/>
      <c r="L34" s="80"/>
      <c r="M34" s="516"/>
      <c r="N34" s="516"/>
      <c r="O34" s="516"/>
      <c r="P34" s="516"/>
      <c r="Q34" s="516"/>
      <c r="R34" s="516"/>
      <c r="S34" s="516"/>
      <c r="T34" s="81"/>
      <c r="U34" s="387" t="s">
        <v>890</v>
      </c>
      <c r="V34" s="379" t="s">
        <v>894</v>
      </c>
      <c r="W34" s="379" t="s">
        <v>895</v>
      </c>
      <c r="X34" s="379" t="s">
        <v>896</v>
      </c>
      <c r="Y34" s="379" t="s">
        <v>897</v>
      </c>
      <c r="Z34" s="372" t="s">
        <v>898</v>
      </c>
      <c r="AA34" s="379" t="s">
        <v>899</v>
      </c>
      <c r="AB34" s="379" t="s">
        <v>899</v>
      </c>
      <c r="AC34" s="379" t="s">
        <v>900</v>
      </c>
      <c r="AD34" s="379" t="s">
        <v>901</v>
      </c>
      <c r="AE34" s="379" t="s">
        <v>902</v>
      </c>
      <c r="AF34" s="388" t="s">
        <v>903</v>
      </c>
      <c r="AG34" s="81"/>
      <c r="AH34" s="81"/>
      <c r="AI34" s="81"/>
      <c r="AJ34" s="81"/>
      <c r="AK34" s="545"/>
      <c r="AL34" s="545"/>
      <c r="AM34" s="545"/>
      <c r="AN34" s="545"/>
      <c r="AO34" s="516"/>
      <c r="AP34" s="516"/>
      <c r="AQ34" s="123"/>
      <c r="AR34" s="123"/>
      <c r="AS34" s="123"/>
      <c r="AT34" s="123"/>
      <c r="AU34" s="123"/>
      <c r="AV34" s="123"/>
      <c r="AW34" s="123"/>
      <c r="AX34" s="123"/>
      <c r="AY34" s="123"/>
      <c r="AZ34" s="123"/>
      <c r="BA34" s="123"/>
      <c r="BB34" s="123"/>
      <c r="BC34" s="123"/>
      <c r="BD34" s="123"/>
      <c r="BE34" s="123"/>
      <c r="BF34" s="123"/>
      <c r="BG34" s="123"/>
      <c r="BH34" s="123"/>
      <c r="BI34" s="123"/>
      <c r="BJ34" s="123"/>
      <c r="BK34" s="123"/>
      <c r="BL34" s="123"/>
      <c r="BM34" s="123"/>
      <c r="BN34" s="123"/>
      <c r="BO34" s="123"/>
      <c r="BP34" s="527"/>
      <c r="BQ34" s="527"/>
      <c r="BR34" s="527"/>
    </row>
    <row r="35" spans="1:70" x14ac:dyDescent="0.2">
      <c r="A35" s="80"/>
      <c r="B35" s="80"/>
      <c r="C35" s="80"/>
      <c r="D35" s="80"/>
      <c r="E35" s="80"/>
      <c r="F35" s="80"/>
      <c r="G35" s="80"/>
      <c r="H35" s="80"/>
      <c r="I35" s="80"/>
      <c r="J35" s="80"/>
      <c r="K35" s="80"/>
      <c r="L35" s="80"/>
      <c r="M35" s="516"/>
      <c r="N35" s="516"/>
      <c r="O35" s="516"/>
      <c r="P35" s="516"/>
      <c r="Q35" s="516"/>
      <c r="R35" s="516"/>
      <c r="S35" s="516"/>
      <c r="T35" s="81"/>
      <c r="U35" s="380"/>
      <c r="V35" s="380"/>
      <c r="W35" s="380"/>
      <c r="X35" s="380"/>
      <c r="Y35" s="380"/>
      <c r="Z35" s="380"/>
      <c r="AA35" s="380"/>
      <c r="AB35" s="380"/>
      <c r="AC35" s="380"/>
      <c r="AD35" s="380"/>
      <c r="AE35" s="380"/>
      <c r="AF35" s="380"/>
      <c r="AG35" s="81"/>
      <c r="AH35" s="81"/>
      <c r="AI35" s="81"/>
      <c r="AJ35" s="81"/>
      <c r="AK35" s="545"/>
      <c r="AL35" s="545"/>
      <c r="AM35" s="545"/>
      <c r="AN35" s="545"/>
      <c r="AO35" s="516"/>
      <c r="AP35" s="516"/>
      <c r="AQ35" s="123"/>
      <c r="AR35" s="123"/>
      <c r="AS35" s="123"/>
      <c r="AT35" s="123"/>
      <c r="AU35" s="123"/>
      <c r="AV35" s="123"/>
      <c r="AW35" s="123"/>
      <c r="AX35" s="123"/>
      <c r="AY35" s="123"/>
      <c r="AZ35" s="123"/>
      <c r="BA35" s="123"/>
      <c r="BB35" s="123"/>
      <c r="BC35" s="123"/>
      <c r="BD35" s="123"/>
      <c r="BE35" s="123"/>
      <c r="BF35" s="123"/>
      <c r="BG35" s="123"/>
      <c r="BH35" s="123"/>
      <c r="BI35" s="123"/>
      <c r="BJ35" s="123"/>
      <c r="BK35" s="123"/>
      <c r="BL35" s="123"/>
      <c r="BM35" s="123"/>
      <c r="BN35" s="123"/>
      <c r="BO35" s="123"/>
      <c r="BP35" s="527"/>
      <c r="BQ35" s="527"/>
      <c r="BR35" s="527"/>
    </row>
    <row r="36" spans="1:70" x14ac:dyDescent="0.2">
      <c r="A36" s="80"/>
      <c r="H36" s="80"/>
      <c r="I36" s="80"/>
      <c r="J36" s="80"/>
      <c r="K36" s="80"/>
      <c r="L36" s="80"/>
      <c r="M36" s="516"/>
      <c r="N36" s="516"/>
      <c r="O36" s="516"/>
      <c r="P36" s="516"/>
      <c r="Q36" s="516"/>
      <c r="R36" s="516"/>
      <c r="S36" s="516"/>
      <c r="T36" s="516"/>
      <c r="U36" s="516"/>
      <c r="V36" s="516"/>
      <c r="W36" s="516"/>
      <c r="X36" s="516"/>
      <c r="Y36" s="516"/>
      <c r="Z36" s="516"/>
      <c r="AA36" s="516"/>
      <c r="AB36" s="516"/>
      <c r="AC36" s="516"/>
      <c r="AD36" s="516"/>
      <c r="AE36" s="516"/>
      <c r="AF36" s="516"/>
      <c r="AG36" s="516"/>
      <c r="AH36" s="516"/>
      <c r="AI36" s="516"/>
      <c r="AJ36" s="516"/>
      <c r="AK36" s="516"/>
      <c r="AL36" s="516"/>
      <c r="AM36" s="516"/>
      <c r="AN36" s="516"/>
      <c r="AO36" s="516"/>
      <c r="AP36" s="516"/>
      <c r="AQ36" s="123"/>
      <c r="AR36" s="123"/>
      <c r="AS36" s="123"/>
      <c r="AT36" s="123"/>
      <c r="AU36" s="123"/>
      <c r="AV36" s="123"/>
      <c r="AW36" s="123"/>
      <c r="AX36" s="123"/>
      <c r="AY36" s="123"/>
      <c r="AZ36" s="355"/>
      <c r="BA36" s="527"/>
      <c r="BB36" s="527"/>
      <c r="BC36" s="527"/>
      <c r="BD36" s="527"/>
      <c r="BE36" s="355"/>
      <c r="BF36" s="355"/>
      <c r="BG36" s="355"/>
      <c r="BH36" s="355"/>
      <c r="BI36" s="355"/>
      <c r="BJ36" s="355"/>
      <c r="BK36" s="355"/>
      <c r="BL36" s="355"/>
      <c r="BM36" s="355"/>
      <c r="BN36" s="123"/>
      <c r="BO36" s="123"/>
      <c r="BP36" s="527"/>
      <c r="BQ36" s="527"/>
      <c r="BR36" s="527"/>
    </row>
    <row r="37" spans="1:70" x14ac:dyDescent="0.2">
      <c r="M37" s="516"/>
      <c r="N37" s="516"/>
      <c r="O37" s="516"/>
      <c r="P37" s="516"/>
      <c r="Q37" s="516"/>
      <c r="R37" s="516"/>
      <c r="S37" s="516"/>
      <c r="T37" s="516"/>
      <c r="U37" s="516"/>
      <c r="V37" s="516"/>
      <c r="W37" s="516"/>
      <c r="X37" s="516"/>
      <c r="Y37" s="516"/>
      <c r="Z37" s="516"/>
      <c r="AA37" s="516"/>
      <c r="AB37" s="516"/>
      <c r="AC37" s="516"/>
      <c r="AD37" s="516"/>
      <c r="AE37" s="516"/>
      <c r="AF37" s="516"/>
      <c r="AG37" s="516"/>
      <c r="AH37" s="516"/>
      <c r="AI37" s="516"/>
      <c r="AJ37" s="516"/>
      <c r="AK37" s="516"/>
      <c r="AL37" s="516"/>
      <c r="AM37" s="516"/>
      <c r="AN37" s="516"/>
      <c r="AO37" s="516"/>
      <c r="AP37" s="516"/>
      <c r="AQ37" s="123"/>
      <c r="AR37" s="123"/>
      <c r="AS37" s="123"/>
      <c r="AT37" s="123"/>
      <c r="AU37" s="123"/>
      <c r="AV37" s="123"/>
      <c r="AW37" s="123"/>
      <c r="AX37" s="123"/>
      <c r="AY37" s="123"/>
      <c r="AZ37" s="355"/>
      <c r="BA37" s="527"/>
      <c r="BB37" s="527"/>
      <c r="BC37" s="527"/>
      <c r="BD37" s="527"/>
      <c r="BE37" s="360" t="s">
        <v>969</v>
      </c>
      <c r="BF37" s="360"/>
      <c r="BG37" s="360"/>
      <c r="BH37" s="360"/>
      <c r="BI37" s="360"/>
      <c r="BJ37" s="360"/>
      <c r="BK37" s="360"/>
      <c r="BL37" s="360"/>
      <c r="BM37" s="360"/>
      <c r="BN37" s="123"/>
      <c r="BO37" s="123"/>
      <c r="BP37" s="527"/>
      <c r="BQ37" s="527"/>
      <c r="BR37" s="527"/>
    </row>
    <row r="38" spans="1:70" ht="45" customHeight="1" x14ac:dyDescent="0.2">
      <c r="M38" s="516"/>
      <c r="N38" s="516"/>
      <c r="O38" s="516"/>
      <c r="P38" s="516"/>
      <c r="Q38" s="516"/>
      <c r="R38" s="516"/>
      <c r="S38" s="516"/>
      <c r="T38" s="516"/>
      <c r="U38" s="516"/>
      <c r="V38" s="516"/>
      <c r="W38" s="516"/>
      <c r="X38" s="516"/>
      <c r="Y38" s="516"/>
      <c r="Z38" s="516"/>
      <c r="AA38" s="516"/>
      <c r="AB38" s="516"/>
      <c r="AC38" s="516"/>
      <c r="AD38" s="516"/>
      <c r="AE38" s="516"/>
      <c r="AF38" s="516"/>
      <c r="AG38" s="516"/>
      <c r="AH38" s="516"/>
      <c r="AI38" s="516"/>
      <c r="AJ38" s="516"/>
      <c r="AK38" s="516"/>
      <c r="AL38" s="516"/>
      <c r="AM38" s="516"/>
      <c r="AN38" s="516"/>
      <c r="AO38" s="516"/>
      <c r="AP38" s="516"/>
      <c r="AQ38" s="123"/>
      <c r="AR38" s="123"/>
      <c r="AS38" s="123"/>
      <c r="AT38" s="123"/>
      <c r="AU38" s="123"/>
      <c r="AV38" s="123"/>
      <c r="AW38" s="123"/>
      <c r="AX38" s="123"/>
      <c r="AY38" s="123"/>
      <c r="AZ38" s="355"/>
      <c r="BA38" s="527"/>
      <c r="BB38" s="527"/>
      <c r="BC38" s="527"/>
      <c r="BD38" s="527"/>
      <c r="BE38" s="400" t="s">
        <v>968</v>
      </c>
      <c r="BF38" s="382" t="s">
        <v>947</v>
      </c>
      <c r="BG38" s="382" t="s">
        <v>948</v>
      </c>
      <c r="BH38" s="382" t="s">
        <v>963</v>
      </c>
      <c r="BI38" s="382" t="s">
        <v>964</v>
      </c>
      <c r="BJ38" s="411" t="s">
        <v>965</v>
      </c>
      <c r="BK38" s="358"/>
      <c r="BL38" s="358"/>
      <c r="BM38" s="358"/>
      <c r="BN38" s="123"/>
      <c r="BO38" s="123"/>
      <c r="BP38" s="527"/>
      <c r="BQ38" s="527"/>
      <c r="BR38" s="527"/>
    </row>
    <row r="39" spans="1:70" x14ac:dyDescent="0.2">
      <c r="M39" s="516"/>
      <c r="N39" s="516"/>
      <c r="O39" s="516"/>
      <c r="P39" s="516"/>
      <c r="Q39" s="516"/>
      <c r="R39" s="516"/>
      <c r="S39" s="516"/>
      <c r="T39" s="516"/>
      <c r="U39" s="516"/>
      <c r="V39" s="516"/>
      <c r="W39" s="516"/>
      <c r="X39" s="516"/>
      <c r="Y39" s="516"/>
      <c r="Z39" s="516"/>
      <c r="AA39" s="516"/>
      <c r="AB39" s="516"/>
      <c r="AC39" s="516"/>
      <c r="AD39" s="516"/>
      <c r="AE39" s="516"/>
      <c r="AF39" s="516"/>
      <c r="AG39" s="516"/>
      <c r="AH39" s="516"/>
      <c r="AI39" s="516"/>
      <c r="AJ39" s="516"/>
      <c r="AK39" s="516"/>
      <c r="AL39" s="516"/>
      <c r="AM39" s="516"/>
      <c r="AN39" s="516"/>
      <c r="AO39" s="516"/>
      <c r="AP39" s="516"/>
      <c r="AQ39" s="123"/>
      <c r="AR39" s="123"/>
      <c r="AS39" s="123"/>
      <c r="AT39" s="123"/>
      <c r="AU39" s="123"/>
      <c r="AV39" s="123"/>
      <c r="AW39" s="123"/>
      <c r="AX39" s="123"/>
      <c r="AY39" s="123"/>
      <c r="AZ39" s="355"/>
      <c r="BA39" s="527"/>
      <c r="BB39" s="527"/>
      <c r="BC39" s="527"/>
      <c r="BD39" s="527"/>
      <c r="BE39" s="378" t="s">
        <v>186</v>
      </c>
      <c r="BF39" s="376" t="s">
        <v>914</v>
      </c>
      <c r="BG39" s="376" t="s">
        <v>949</v>
      </c>
      <c r="BH39" s="376" t="s">
        <v>937</v>
      </c>
      <c r="BI39" s="376" t="s">
        <v>944</v>
      </c>
      <c r="BJ39" s="377" t="s">
        <v>950</v>
      </c>
      <c r="BK39" s="358"/>
      <c r="BL39" s="358"/>
      <c r="BM39" s="358"/>
      <c r="BN39" s="123"/>
      <c r="BO39" s="123"/>
      <c r="BP39" s="527"/>
      <c r="BQ39" s="527"/>
      <c r="BR39" s="527"/>
    </row>
    <row r="40" spans="1:70" x14ac:dyDescent="0.2">
      <c r="M40" s="516"/>
      <c r="N40" s="516"/>
      <c r="O40" s="516"/>
      <c r="P40" s="516"/>
      <c r="Q40" s="516"/>
      <c r="R40" s="516"/>
      <c r="S40" s="516"/>
      <c r="T40" s="516"/>
      <c r="U40" s="516"/>
      <c r="V40" s="516"/>
      <c r="W40" s="516"/>
      <c r="X40" s="516"/>
      <c r="Y40" s="516"/>
      <c r="Z40" s="516"/>
      <c r="AA40" s="516"/>
      <c r="AB40" s="516"/>
      <c r="AC40" s="516"/>
      <c r="AD40" s="516"/>
      <c r="AE40" s="516"/>
      <c r="AF40" s="516"/>
      <c r="AG40" s="516"/>
      <c r="AH40" s="516"/>
      <c r="AI40" s="516"/>
      <c r="AJ40" s="516"/>
      <c r="AK40" s="516"/>
      <c r="AL40" s="516"/>
      <c r="AM40" s="516"/>
      <c r="AN40" s="516"/>
      <c r="AO40" s="516"/>
      <c r="AP40" s="516"/>
      <c r="AQ40" s="123"/>
      <c r="AR40" s="123"/>
      <c r="AS40" s="123"/>
      <c r="AT40" s="123"/>
      <c r="AU40" s="123"/>
      <c r="AV40" s="123"/>
      <c r="AW40" s="123"/>
      <c r="AX40" s="123"/>
      <c r="AY40" s="123"/>
      <c r="AZ40" s="355"/>
      <c r="BA40" s="527"/>
      <c r="BB40" s="527"/>
      <c r="BC40" s="527"/>
      <c r="BD40" s="527"/>
      <c r="BE40" s="378" t="s">
        <v>193</v>
      </c>
      <c r="BF40" s="376" t="s">
        <v>919</v>
      </c>
      <c r="BG40" s="376" t="s">
        <v>944</v>
      </c>
      <c r="BH40" s="376" t="s">
        <v>950</v>
      </c>
      <c r="BI40" s="376" t="s">
        <v>942</v>
      </c>
      <c r="BJ40" s="377" t="s">
        <v>943</v>
      </c>
      <c r="BK40" s="359"/>
      <c r="BL40" s="359"/>
      <c r="BM40" s="359"/>
      <c r="BN40" s="123"/>
      <c r="BO40" s="123"/>
      <c r="BP40" s="527"/>
      <c r="BQ40" s="527"/>
      <c r="BR40" s="527"/>
    </row>
    <row r="41" spans="1:70" x14ac:dyDescent="0.2">
      <c r="M41" s="516"/>
      <c r="N41" s="516"/>
      <c r="O41" s="516"/>
      <c r="P41" s="516"/>
      <c r="Q41" s="516"/>
      <c r="R41" s="516"/>
      <c r="S41" s="516"/>
      <c r="T41" s="516"/>
      <c r="U41" s="516"/>
      <c r="V41" s="516"/>
      <c r="W41" s="516"/>
      <c r="X41" s="516"/>
      <c r="Y41" s="516"/>
      <c r="Z41" s="516"/>
      <c r="AA41" s="516"/>
      <c r="AB41" s="516"/>
      <c r="AC41" s="516"/>
      <c r="AD41" s="516"/>
      <c r="AE41" s="516"/>
      <c r="AF41" s="516"/>
      <c r="AG41" s="516"/>
      <c r="AH41" s="516"/>
      <c r="AI41" s="516"/>
      <c r="AJ41" s="516"/>
      <c r="AK41" s="516"/>
      <c r="AL41" s="516"/>
      <c r="AM41" s="516"/>
      <c r="AN41" s="516"/>
      <c r="AO41" s="516"/>
      <c r="AP41" s="516"/>
      <c r="AQ41" s="123"/>
      <c r="AR41" s="123"/>
      <c r="AS41" s="123"/>
      <c r="AT41" s="123"/>
      <c r="AU41" s="123"/>
      <c r="AV41" s="123"/>
      <c r="AW41" s="123"/>
      <c r="AX41" s="123"/>
      <c r="AY41" s="123"/>
      <c r="AZ41" s="355"/>
      <c r="BA41" s="527"/>
      <c r="BB41" s="527"/>
      <c r="BC41" s="527"/>
      <c r="BD41" s="527"/>
      <c r="BE41" s="378"/>
      <c r="BF41" s="376" t="s">
        <v>951</v>
      </c>
      <c r="BG41" s="376" t="s">
        <v>950</v>
      </c>
      <c r="BH41" s="376" t="s">
        <v>942</v>
      </c>
      <c r="BI41" s="376" t="s">
        <v>943</v>
      </c>
      <c r="BJ41" s="377" t="s">
        <v>917</v>
      </c>
      <c r="BK41" s="359"/>
      <c r="BL41" s="359"/>
      <c r="BM41" s="359"/>
      <c r="BN41" s="123"/>
      <c r="BO41" s="123"/>
      <c r="BP41" s="527"/>
      <c r="BQ41" s="527"/>
      <c r="BR41" s="527"/>
    </row>
    <row r="42" spans="1:70" x14ac:dyDescent="0.2">
      <c r="M42" s="516"/>
      <c r="N42" s="516"/>
      <c r="O42" s="516"/>
      <c r="P42" s="516"/>
      <c r="Q42" s="516"/>
      <c r="R42" s="516"/>
      <c r="S42" s="516"/>
      <c r="T42" s="516"/>
      <c r="U42" s="516"/>
      <c r="V42" s="516"/>
      <c r="W42" s="516"/>
      <c r="X42" s="516"/>
      <c r="Y42" s="516"/>
      <c r="Z42" s="516"/>
      <c r="AA42" s="516"/>
      <c r="AB42" s="516"/>
      <c r="AC42" s="516"/>
      <c r="AD42" s="516"/>
      <c r="AE42" s="516"/>
      <c r="AF42" s="516"/>
      <c r="AG42" s="516"/>
      <c r="AH42" s="516"/>
      <c r="AI42" s="516"/>
      <c r="AJ42" s="516"/>
      <c r="AK42" s="516"/>
      <c r="AL42" s="516"/>
      <c r="AM42" s="516"/>
      <c r="AN42" s="516"/>
      <c r="AO42" s="516"/>
      <c r="AP42" s="516"/>
      <c r="AQ42" s="123"/>
      <c r="AR42" s="123"/>
      <c r="AS42" s="123"/>
      <c r="AT42" s="123"/>
      <c r="AU42" s="123"/>
      <c r="AV42" s="123"/>
      <c r="AW42" s="123"/>
      <c r="AX42" s="123"/>
      <c r="AY42" s="123"/>
      <c r="AZ42" s="355"/>
      <c r="BA42" s="527"/>
      <c r="BB42" s="527"/>
      <c r="BC42" s="527"/>
      <c r="BD42" s="527"/>
      <c r="BE42" s="378"/>
      <c r="BF42" s="376" t="s">
        <v>952</v>
      </c>
      <c r="BG42" s="376" t="s">
        <v>959</v>
      </c>
      <c r="BH42" s="376" t="s">
        <v>959</v>
      </c>
      <c r="BI42" s="376" t="s">
        <v>959</v>
      </c>
      <c r="BJ42" s="377" t="s">
        <v>959</v>
      </c>
      <c r="BK42" s="359"/>
      <c r="BL42" s="359"/>
      <c r="BM42" s="359"/>
      <c r="BN42" s="123"/>
      <c r="BO42" s="123"/>
      <c r="BP42" s="527"/>
      <c r="BQ42" s="527"/>
      <c r="BR42" s="527"/>
    </row>
    <row r="43" spans="1:70" x14ac:dyDescent="0.2">
      <c r="M43" s="516"/>
      <c r="N43" s="516"/>
      <c r="O43" s="516"/>
      <c r="P43" s="516"/>
      <c r="Q43" s="516"/>
      <c r="R43" s="516"/>
      <c r="S43" s="516"/>
      <c r="T43" s="516"/>
      <c r="U43" s="516"/>
      <c r="V43" s="516"/>
      <c r="W43" s="516"/>
      <c r="X43" s="516"/>
      <c r="Y43" s="516"/>
      <c r="Z43" s="516"/>
      <c r="AA43" s="516"/>
      <c r="AB43" s="516"/>
      <c r="AC43" s="516"/>
      <c r="AD43" s="516"/>
      <c r="AE43" s="516"/>
      <c r="AF43" s="516"/>
      <c r="AG43" s="516"/>
      <c r="AH43" s="516"/>
      <c r="AI43" s="516"/>
      <c r="AJ43" s="516"/>
      <c r="AK43" s="516"/>
      <c r="AL43" s="516"/>
      <c r="AM43" s="516"/>
      <c r="AN43" s="516"/>
      <c r="AO43" s="516"/>
      <c r="AP43" s="516"/>
      <c r="AQ43" s="123"/>
      <c r="AR43" s="123"/>
      <c r="AS43" s="123"/>
      <c r="AT43" s="123"/>
      <c r="AU43" s="123"/>
      <c r="AV43" s="123"/>
      <c r="AW43" s="123"/>
      <c r="AX43" s="123"/>
      <c r="AY43" s="123"/>
      <c r="AZ43" s="355"/>
      <c r="BA43" s="527"/>
      <c r="BB43" s="527"/>
      <c r="BC43" s="527"/>
      <c r="BD43" s="527"/>
      <c r="BE43" s="378" t="s">
        <v>198</v>
      </c>
      <c r="BF43" s="376" t="s">
        <v>953</v>
      </c>
      <c r="BG43" s="376" t="s">
        <v>966</v>
      </c>
      <c r="BH43" s="376" t="s">
        <v>967</v>
      </c>
      <c r="BI43" s="376" t="s">
        <v>967</v>
      </c>
      <c r="BJ43" s="377" t="s">
        <v>967</v>
      </c>
      <c r="BK43" s="359"/>
      <c r="BL43" s="359"/>
      <c r="BM43" s="359"/>
      <c r="BN43" s="123"/>
      <c r="BO43" s="123"/>
      <c r="BP43" s="527"/>
      <c r="BQ43" s="527"/>
      <c r="BR43" s="527"/>
    </row>
    <row r="44" spans="1:70" x14ac:dyDescent="0.2">
      <c r="M44" s="516"/>
      <c r="N44" s="516"/>
      <c r="O44" s="516"/>
      <c r="P44" s="516"/>
      <c r="Q44" s="516"/>
      <c r="R44" s="516"/>
      <c r="S44" s="516"/>
      <c r="T44" s="516"/>
      <c r="U44" s="516"/>
      <c r="V44" s="516"/>
      <c r="W44" s="516"/>
      <c r="X44" s="516"/>
      <c r="Y44" s="516"/>
      <c r="Z44" s="516"/>
      <c r="AA44" s="516"/>
      <c r="AB44" s="516"/>
      <c r="AC44" s="516"/>
      <c r="AD44" s="516"/>
      <c r="AE44" s="516"/>
      <c r="AF44" s="516"/>
      <c r="AG44" s="516"/>
      <c r="AH44" s="516"/>
      <c r="AI44" s="516"/>
      <c r="AJ44" s="516"/>
      <c r="AK44" s="516"/>
      <c r="AL44" s="516"/>
      <c r="AM44" s="516"/>
      <c r="AN44" s="516"/>
      <c r="AO44" s="516"/>
      <c r="AP44" s="516"/>
      <c r="AQ44" s="123"/>
      <c r="AR44" s="123"/>
      <c r="AS44" s="123"/>
      <c r="AT44" s="123"/>
      <c r="AU44" s="123"/>
      <c r="AV44" s="123"/>
      <c r="AW44" s="123"/>
      <c r="AX44" s="123"/>
      <c r="AY44" s="123"/>
      <c r="AZ44" s="355"/>
      <c r="BA44" s="527"/>
      <c r="BB44" s="527"/>
      <c r="BC44" s="527"/>
      <c r="BD44" s="527"/>
      <c r="BE44" s="378" t="s">
        <v>203</v>
      </c>
      <c r="BF44" s="381" t="s">
        <v>953</v>
      </c>
      <c r="BG44" s="381" t="s">
        <v>966</v>
      </c>
      <c r="BH44" s="381" t="s">
        <v>967</v>
      </c>
      <c r="BI44" s="381" t="s">
        <v>967</v>
      </c>
      <c r="BJ44" s="395" t="s">
        <v>967</v>
      </c>
      <c r="BK44" s="355"/>
      <c r="BL44" s="355"/>
      <c r="BM44" s="355"/>
      <c r="BN44" s="123"/>
      <c r="BO44" s="123"/>
      <c r="BP44" s="527"/>
      <c r="BQ44" s="527"/>
      <c r="BR44" s="527"/>
    </row>
    <row r="45" spans="1:70" x14ac:dyDescent="0.2">
      <c r="M45" s="516"/>
      <c r="N45" s="516"/>
      <c r="O45" s="516"/>
      <c r="P45" s="516"/>
      <c r="Q45" s="516"/>
      <c r="R45" s="516"/>
      <c r="S45" s="516"/>
      <c r="T45" s="516"/>
      <c r="U45" s="516"/>
      <c r="V45" s="516"/>
      <c r="W45" s="516"/>
      <c r="X45" s="516"/>
      <c r="Y45" s="516"/>
      <c r="Z45" s="516"/>
      <c r="AA45" s="516"/>
      <c r="AB45" s="516"/>
      <c r="AC45" s="516"/>
      <c r="AD45" s="516"/>
      <c r="AE45" s="516"/>
      <c r="AF45" s="516"/>
      <c r="AG45" s="516"/>
      <c r="AH45" s="516"/>
      <c r="AI45" s="516"/>
      <c r="AJ45" s="516"/>
      <c r="AK45" s="516"/>
      <c r="AL45" s="516"/>
      <c r="AM45" s="516"/>
      <c r="AN45" s="516"/>
      <c r="AO45" s="516"/>
      <c r="AP45" s="516"/>
      <c r="AQ45" s="123"/>
      <c r="AR45" s="123"/>
      <c r="AS45" s="123"/>
      <c r="AT45" s="123"/>
      <c r="AU45" s="123"/>
      <c r="AV45" s="123"/>
      <c r="AW45" s="123"/>
      <c r="AX45" s="123"/>
      <c r="AY45" s="123"/>
      <c r="AZ45" s="123"/>
      <c r="BA45" s="527"/>
      <c r="BB45" s="527"/>
      <c r="BC45" s="527"/>
      <c r="BD45" s="527"/>
      <c r="BE45" s="378" t="s">
        <v>208</v>
      </c>
      <c r="BF45" s="381" t="s">
        <v>930</v>
      </c>
      <c r="BG45" s="381" t="s">
        <v>937</v>
      </c>
      <c r="BH45" s="381" t="s">
        <v>937</v>
      </c>
      <c r="BI45" s="381" t="s">
        <v>944</v>
      </c>
      <c r="BJ45" s="395" t="s">
        <v>950</v>
      </c>
      <c r="BK45" s="123"/>
      <c r="BL45" s="123"/>
      <c r="BM45" s="123"/>
      <c r="BN45" s="123"/>
      <c r="BO45" s="123"/>
      <c r="BP45" s="527"/>
      <c r="BQ45" s="527"/>
      <c r="BR45" s="527"/>
    </row>
    <row r="46" spans="1:70" x14ac:dyDescent="0.2">
      <c r="M46" s="516"/>
      <c r="N46" s="516"/>
      <c r="O46" s="516"/>
      <c r="P46" s="516"/>
      <c r="Q46" s="516"/>
      <c r="R46" s="516"/>
      <c r="S46" s="516"/>
      <c r="T46" s="516"/>
      <c r="U46" s="516"/>
      <c r="V46" s="1119"/>
      <c r="W46" s="1119"/>
      <c r="X46" s="1119"/>
      <c r="Y46" s="516"/>
      <c r="Z46" s="516"/>
      <c r="AA46" s="516"/>
      <c r="AB46" s="516"/>
      <c r="AC46" s="516"/>
      <c r="AD46" s="516"/>
      <c r="AE46" s="516"/>
      <c r="AF46" s="516"/>
      <c r="AG46" s="516"/>
      <c r="AH46" s="516"/>
      <c r="AI46" s="516"/>
      <c r="AJ46" s="516"/>
      <c r="AK46" s="516"/>
      <c r="AL46" s="516"/>
      <c r="AM46" s="516"/>
      <c r="AN46" s="516"/>
      <c r="AO46" s="516"/>
      <c r="AP46" s="516"/>
      <c r="AQ46" s="123"/>
      <c r="AR46" s="123"/>
      <c r="AS46" s="123"/>
      <c r="AT46" s="123"/>
      <c r="AU46" s="123"/>
      <c r="AV46" s="123"/>
      <c r="AW46" s="123"/>
      <c r="AX46" s="123"/>
      <c r="AY46" s="123"/>
      <c r="AZ46" s="123"/>
      <c r="BA46" s="123"/>
      <c r="BB46" s="123"/>
      <c r="BC46" s="123"/>
      <c r="BD46" s="123"/>
      <c r="BE46" s="378" t="s">
        <v>213</v>
      </c>
      <c r="BF46" s="381" t="s">
        <v>956</v>
      </c>
      <c r="BG46" s="381" t="s">
        <v>944</v>
      </c>
      <c r="BH46" s="381" t="s">
        <v>944</v>
      </c>
      <c r="BI46" s="381" t="s">
        <v>944</v>
      </c>
      <c r="BJ46" s="395" t="s">
        <v>944</v>
      </c>
      <c r="BK46" s="123"/>
      <c r="BL46" s="123"/>
      <c r="BM46" s="123"/>
      <c r="BN46" s="123"/>
      <c r="BO46" s="123"/>
      <c r="BP46" s="527"/>
      <c r="BQ46" s="527"/>
      <c r="BR46" s="527"/>
    </row>
    <row r="47" spans="1:70" x14ac:dyDescent="0.2">
      <c r="M47" s="516"/>
      <c r="N47" s="516"/>
      <c r="O47" s="516"/>
      <c r="P47" s="516"/>
      <c r="Q47" s="516"/>
      <c r="R47" s="516"/>
      <c r="S47" s="516"/>
      <c r="T47" s="516"/>
      <c r="U47" s="516"/>
      <c r="V47" s="1119"/>
      <c r="W47" s="1119"/>
      <c r="X47" s="1119"/>
      <c r="Y47" s="516"/>
      <c r="Z47" s="516"/>
      <c r="AA47" s="516"/>
      <c r="AB47" s="516"/>
      <c r="AC47" s="516"/>
      <c r="AD47" s="516"/>
      <c r="AE47" s="516"/>
      <c r="AF47" s="516"/>
      <c r="AG47" s="516"/>
      <c r="AH47" s="516"/>
      <c r="AI47" s="516"/>
      <c r="AJ47" s="516"/>
      <c r="AK47" s="516"/>
      <c r="AL47" s="516"/>
      <c r="AM47" s="516"/>
      <c r="AN47" s="516"/>
      <c r="AO47" s="516"/>
      <c r="AP47" s="516"/>
      <c r="AQ47" s="123"/>
      <c r="AR47" s="123"/>
      <c r="AS47" s="123"/>
      <c r="AT47" s="123"/>
      <c r="AU47" s="123"/>
      <c r="AV47" s="123"/>
      <c r="AW47" s="123"/>
      <c r="AX47" s="123"/>
      <c r="AY47" s="123"/>
      <c r="AZ47" s="123"/>
      <c r="BA47" s="123"/>
      <c r="BB47" s="123"/>
      <c r="BC47" s="123"/>
      <c r="BD47" s="123"/>
      <c r="BE47" s="378"/>
      <c r="BF47" s="381" t="s">
        <v>954</v>
      </c>
      <c r="BG47" s="381" t="s">
        <v>942</v>
      </c>
      <c r="BH47" s="381" t="s">
        <v>942</v>
      </c>
      <c r="BI47" s="381" t="s">
        <v>942</v>
      </c>
      <c r="BJ47" s="395" t="s">
        <v>942</v>
      </c>
      <c r="BK47" s="123"/>
      <c r="BL47" s="123"/>
      <c r="BM47" s="123"/>
      <c r="BN47" s="123"/>
      <c r="BO47" s="123"/>
      <c r="BP47" s="527"/>
      <c r="BQ47" s="527"/>
      <c r="BR47" s="527"/>
    </row>
    <row r="48" spans="1:70" x14ac:dyDescent="0.2">
      <c r="M48" s="516"/>
      <c r="N48" s="516"/>
      <c r="O48" s="516"/>
      <c r="P48" s="516"/>
      <c r="Q48" s="516"/>
      <c r="R48" s="516"/>
      <c r="S48" s="516"/>
      <c r="T48" s="516"/>
      <c r="U48" s="516"/>
      <c r="V48" s="516"/>
      <c r="W48" s="516"/>
      <c r="X48" s="516"/>
      <c r="Y48" s="516"/>
      <c r="Z48" s="516"/>
      <c r="AA48" s="516"/>
      <c r="AB48" s="516"/>
      <c r="AC48" s="516"/>
      <c r="AD48" s="516"/>
      <c r="AE48" s="516"/>
      <c r="AF48" s="516"/>
      <c r="AG48" s="516"/>
      <c r="AH48" s="516"/>
      <c r="AI48" s="516"/>
      <c r="AJ48" s="516"/>
      <c r="AK48" s="516"/>
      <c r="AL48" s="516"/>
      <c r="AM48" s="516"/>
      <c r="AN48" s="516"/>
      <c r="AO48" s="516"/>
      <c r="AP48" s="516"/>
      <c r="AQ48" s="123"/>
      <c r="AR48" s="123"/>
      <c r="AS48" s="123"/>
      <c r="AT48" s="123"/>
      <c r="AU48" s="123"/>
      <c r="AV48" s="123"/>
      <c r="AW48" s="123"/>
      <c r="AX48" s="123"/>
      <c r="AY48" s="123"/>
      <c r="AZ48" s="123"/>
      <c r="BA48" s="123"/>
      <c r="BB48" s="123"/>
      <c r="BC48" s="123"/>
      <c r="BD48" s="123"/>
      <c r="BE48" s="378"/>
      <c r="BF48" s="381" t="s">
        <v>955</v>
      </c>
      <c r="BG48" s="381" t="s">
        <v>917</v>
      </c>
      <c r="BH48" s="381" t="s">
        <v>917</v>
      </c>
      <c r="BI48" s="381" t="s">
        <v>917</v>
      </c>
      <c r="BJ48" s="395" t="s">
        <v>917</v>
      </c>
      <c r="BK48" s="123"/>
      <c r="BL48" s="123"/>
      <c r="BM48" s="123"/>
      <c r="BN48" s="123"/>
      <c r="BO48" s="123"/>
      <c r="BP48" s="527"/>
      <c r="BQ48" s="527"/>
      <c r="BR48" s="527"/>
    </row>
    <row r="49" spans="13:70" x14ac:dyDescent="0.2">
      <c r="M49" s="516"/>
      <c r="N49" s="516"/>
      <c r="O49" s="516"/>
      <c r="P49" s="516"/>
      <c r="Q49" s="516"/>
      <c r="R49" s="516"/>
      <c r="S49" s="516"/>
      <c r="AB49" s="91"/>
      <c r="AC49" s="91"/>
      <c r="AD49" s="91"/>
      <c r="AE49" s="91"/>
      <c r="AF49" s="91"/>
      <c r="AH49" s="516"/>
      <c r="AI49" s="516"/>
      <c r="AJ49" s="516"/>
      <c r="AK49" s="516"/>
      <c r="AL49" s="516"/>
      <c r="AM49" s="516"/>
      <c r="AN49" s="516"/>
      <c r="AO49" s="516"/>
      <c r="AP49" s="516"/>
      <c r="AQ49" s="123"/>
      <c r="AR49" s="123"/>
      <c r="AS49" s="123"/>
      <c r="AT49" s="123"/>
      <c r="AU49" s="123"/>
      <c r="AV49" s="123"/>
      <c r="AW49" s="123"/>
      <c r="AX49" s="123"/>
      <c r="AY49" s="123"/>
      <c r="AZ49" s="123"/>
      <c r="BA49" s="123"/>
      <c r="BB49" s="123"/>
      <c r="BC49" s="123"/>
      <c r="BD49" s="123"/>
      <c r="BE49" s="378" t="s">
        <v>222</v>
      </c>
      <c r="BF49" s="381" t="s">
        <v>957</v>
      </c>
      <c r="BG49" s="381" t="s">
        <v>944</v>
      </c>
      <c r="BH49" s="381" t="s">
        <v>944</v>
      </c>
      <c r="BI49" s="381" t="s">
        <v>944</v>
      </c>
      <c r="BJ49" s="395" t="s">
        <v>944</v>
      </c>
      <c r="BK49" s="123"/>
      <c r="BL49" s="123"/>
      <c r="BM49" s="123"/>
      <c r="BN49" s="123"/>
      <c r="BO49" s="123"/>
      <c r="BP49" s="527"/>
      <c r="BQ49" s="527"/>
      <c r="BR49" s="527"/>
    </row>
    <row r="50" spans="13:70" x14ac:dyDescent="0.2">
      <c r="M50" s="516"/>
      <c r="N50" s="516"/>
      <c r="O50" s="516"/>
      <c r="P50" s="516"/>
      <c r="Q50" s="516"/>
      <c r="R50" s="516"/>
      <c r="S50" s="516"/>
      <c r="AB50" s="91"/>
      <c r="AC50" s="91"/>
      <c r="AD50" s="91"/>
      <c r="AE50" s="91"/>
      <c r="AF50" s="91"/>
      <c r="AH50" s="516"/>
      <c r="AI50" s="516"/>
      <c r="AJ50" s="516"/>
      <c r="AK50" s="516"/>
      <c r="AL50" s="516"/>
      <c r="AM50" s="516"/>
      <c r="AN50" s="516"/>
      <c r="AO50" s="516"/>
      <c r="AP50" s="516"/>
      <c r="AQ50" s="123"/>
      <c r="AR50" s="123"/>
      <c r="AS50" s="123"/>
      <c r="AT50" s="123"/>
      <c r="AU50" s="123"/>
      <c r="AV50" s="123"/>
      <c r="AW50" s="123"/>
      <c r="AX50" s="123"/>
      <c r="AY50" s="123"/>
      <c r="AZ50" s="123"/>
      <c r="BA50" s="123"/>
      <c r="BB50" s="123"/>
      <c r="BC50" s="123"/>
      <c r="BD50" s="123"/>
      <c r="BE50" s="378"/>
      <c r="BF50" s="381" t="s">
        <v>962</v>
      </c>
      <c r="BG50" s="381" t="s">
        <v>942</v>
      </c>
      <c r="BH50" s="381" t="s">
        <v>942</v>
      </c>
      <c r="BI50" s="381" t="s">
        <v>942</v>
      </c>
      <c r="BJ50" s="395" t="s">
        <v>942</v>
      </c>
      <c r="BK50" s="123"/>
      <c r="BL50" s="123"/>
      <c r="BM50" s="123"/>
      <c r="BN50" s="123"/>
      <c r="BO50" s="123"/>
      <c r="BP50" s="123"/>
      <c r="BQ50" s="123"/>
      <c r="BR50" s="123"/>
    </row>
    <row r="51" spans="13:70" x14ac:dyDescent="0.2">
      <c r="M51" s="516"/>
      <c r="N51" s="516"/>
      <c r="O51" s="516"/>
      <c r="P51" s="516"/>
      <c r="Q51" s="516"/>
      <c r="R51" s="516"/>
      <c r="S51" s="516"/>
      <c r="AH51" s="516"/>
      <c r="AI51" s="516"/>
      <c r="AJ51" s="516"/>
      <c r="AK51" s="516"/>
      <c r="AL51" s="516"/>
      <c r="AM51" s="516"/>
      <c r="AN51" s="516"/>
      <c r="AO51" s="516"/>
      <c r="AP51" s="516"/>
      <c r="AQ51" s="123"/>
      <c r="AR51" s="123"/>
      <c r="AS51" s="123"/>
      <c r="AT51" s="123"/>
      <c r="AU51" s="123"/>
      <c r="AV51" s="123"/>
      <c r="AW51" s="123"/>
      <c r="AX51" s="123"/>
      <c r="AY51" s="123"/>
      <c r="AZ51" s="123"/>
      <c r="BA51" s="123"/>
      <c r="BB51" s="123"/>
      <c r="BC51" s="123"/>
      <c r="BD51" s="123"/>
      <c r="BE51" s="378" t="s">
        <v>218</v>
      </c>
      <c r="BF51" s="381" t="s">
        <v>919</v>
      </c>
      <c r="BG51" s="381" t="s">
        <v>950</v>
      </c>
      <c r="BH51" s="381" t="s">
        <v>950</v>
      </c>
      <c r="BI51" s="381" t="s">
        <v>950</v>
      </c>
      <c r="BJ51" s="395" t="s">
        <v>950</v>
      </c>
      <c r="BK51" s="123"/>
      <c r="BL51" s="123"/>
      <c r="BM51" s="123"/>
      <c r="BN51" s="123"/>
      <c r="BO51" s="123"/>
      <c r="BP51" s="123"/>
      <c r="BQ51" s="123"/>
      <c r="BR51" s="123"/>
    </row>
    <row r="52" spans="13:70" x14ac:dyDescent="0.2">
      <c r="M52" s="516"/>
      <c r="N52" s="516"/>
      <c r="O52" s="516"/>
      <c r="P52" s="516"/>
      <c r="Q52" s="516"/>
      <c r="R52" s="516"/>
      <c r="S52" s="516"/>
      <c r="AH52" s="516"/>
      <c r="AI52" s="516"/>
      <c r="AJ52" s="516"/>
      <c r="AK52" s="516"/>
      <c r="AL52" s="516"/>
      <c r="AM52" s="516"/>
      <c r="AN52" s="516"/>
      <c r="AO52" s="516"/>
      <c r="AP52" s="516"/>
      <c r="AQ52" s="123"/>
      <c r="AR52" s="123"/>
      <c r="AS52" s="123"/>
      <c r="AT52" s="123"/>
      <c r="AU52" s="123"/>
      <c r="AV52" s="123"/>
      <c r="AW52" s="123"/>
      <c r="AX52" s="123"/>
      <c r="AY52" s="123"/>
      <c r="AZ52" s="123"/>
      <c r="BA52" s="123"/>
      <c r="BB52" s="123"/>
      <c r="BC52" s="123"/>
      <c r="BD52" s="123"/>
      <c r="BE52" s="378" t="s">
        <v>220</v>
      </c>
      <c r="BF52" s="381" t="s">
        <v>915</v>
      </c>
      <c r="BG52" s="381" t="s">
        <v>949</v>
      </c>
      <c r="BH52" s="381" t="s">
        <v>949</v>
      </c>
      <c r="BI52" s="381" t="s">
        <v>949</v>
      </c>
      <c r="BJ52" s="395" t="s">
        <v>949</v>
      </c>
      <c r="BK52" s="123"/>
      <c r="BL52" s="123"/>
      <c r="BM52" s="123"/>
      <c r="BN52" s="123"/>
      <c r="BO52" s="123"/>
      <c r="BP52" s="123"/>
      <c r="BQ52" s="123"/>
      <c r="BR52" s="123"/>
    </row>
    <row r="53" spans="13:70" x14ac:dyDescent="0.2">
      <c r="M53" s="516"/>
      <c r="N53" s="516"/>
      <c r="O53" s="516"/>
      <c r="P53" s="516"/>
      <c r="Q53" s="516"/>
      <c r="R53" s="516"/>
      <c r="S53" s="516"/>
      <c r="AH53" s="516"/>
      <c r="AI53" s="516"/>
      <c r="AJ53" s="516"/>
      <c r="AK53" s="516"/>
      <c r="AL53" s="516"/>
      <c r="AM53" s="516"/>
      <c r="AN53" s="516"/>
      <c r="AO53" s="516"/>
      <c r="AP53" s="516"/>
      <c r="AQ53" s="123"/>
      <c r="AR53" s="123"/>
      <c r="AS53" s="123"/>
      <c r="AT53" s="123"/>
      <c r="AU53" s="123"/>
      <c r="AV53" s="123"/>
      <c r="AW53" s="123"/>
      <c r="AX53" s="123"/>
      <c r="AY53" s="123"/>
      <c r="AZ53" s="123"/>
      <c r="BA53" s="123"/>
      <c r="BB53" s="123"/>
      <c r="BC53" s="123"/>
      <c r="BD53" s="123"/>
      <c r="BE53" s="378"/>
      <c r="BF53" s="381" t="s">
        <v>958</v>
      </c>
      <c r="BG53" s="381" t="s">
        <v>944</v>
      </c>
      <c r="BH53" s="381" t="s">
        <v>944</v>
      </c>
      <c r="BI53" s="381" t="s">
        <v>944</v>
      </c>
      <c r="BJ53" s="395" t="s">
        <v>944</v>
      </c>
      <c r="BK53" s="123"/>
      <c r="BL53" s="123"/>
      <c r="BM53" s="123"/>
      <c r="BN53" s="123"/>
      <c r="BO53" s="123"/>
      <c r="BP53" s="123"/>
      <c r="BQ53" s="123"/>
      <c r="BR53" s="123"/>
    </row>
    <row r="54" spans="13:70" x14ac:dyDescent="0.2">
      <c r="M54" s="516"/>
      <c r="N54" s="516"/>
      <c r="O54" s="516"/>
      <c r="P54" s="516"/>
      <c r="Q54" s="516"/>
      <c r="R54" s="516"/>
      <c r="S54" s="516"/>
      <c r="AH54" s="516"/>
      <c r="AI54" s="516"/>
      <c r="AJ54" s="516"/>
      <c r="AK54" s="516"/>
      <c r="AL54" s="516"/>
      <c r="AM54" s="516"/>
      <c r="AN54" s="516"/>
      <c r="AO54" s="516"/>
      <c r="AP54" s="516"/>
      <c r="AQ54" s="123"/>
      <c r="AR54" s="123"/>
      <c r="AS54" s="123"/>
      <c r="AT54" s="123"/>
      <c r="AU54" s="123"/>
      <c r="AV54" s="123"/>
      <c r="AW54" s="123"/>
      <c r="AX54" s="123"/>
      <c r="AY54" s="123"/>
      <c r="AZ54" s="123"/>
      <c r="BA54" s="123"/>
      <c r="BB54" s="123"/>
      <c r="BC54" s="123"/>
      <c r="BD54" s="123"/>
      <c r="BE54" s="378" t="s">
        <v>228</v>
      </c>
      <c r="BF54" s="381" t="s">
        <v>959</v>
      </c>
      <c r="BG54" s="381" t="s">
        <v>949</v>
      </c>
      <c r="BH54" s="381" t="s">
        <v>949</v>
      </c>
      <c r="BI54" s="381" t="s">
        <v>949</v>
      </c>
      <c r="BJ54" s="395" t="s">
        <v>949</v>
      </c>
      <c r="BK54" s="123"/>
      <c r="BL54" s="123"/>
      <c r="BM54" s="123"/>
      <c r="BN54" s="123"/>
      <c r="BO54" s="123"/>
      <c r="BP54" s="123"/>
      <c r="BQ54" s="123"/>
      <c r="BR54" s="123"/>
    </row>
    <row r="55" spans="13:70" x14ac:dyDescent="0.2">
      <c r="M55" s="516"/>
      <c r="N55" s="516"/>
      <c r="O55" s="516"/>
      <c r="P55" s="516"/>
      <c r="Q55" s="516"/>
      <c r="R55" s="516"/>
      <c r="S55" s="516"/>
      <c r="AH55" s="516"/>
      <c r="AI55" s="516"/>
      <c r="AJ55" s="516"/>
      <c r="AK55" s="516"/>
      <c r="AL55" s="516"/>
      <c r="AM55" s="516"/>
      <c r="AN55" s="516"/>
      <c r="AO55" s="516"/>
      <c r="AP55" s="516"/>
      <c r="AQ55" s="123"/>
      <c r="AR55" s="123"/>
      <c r="AS55" s="123"/>
      <c r="AT55" s="123"/>
      <c r="AU55" s="123"/>
      <c r="AV55" s="123"/>
      <c r="AW55" s="123"/>
      <c r="AX55" s="123"/>
      <c r="AY55" s="123"/>
      <c r="AZ55" s="123"/>
      <c r="BA55" s="123"/>
      <c r="BB55" s="123"/>
      <c r="BC55" s="123"/>
      <c r="BD55" s="123"/>
      <c r="BE55" s="378" t="s">
        <v>226</v>
      </c>
      <c r="BF55" s="381" t="s">
        <v>959</v>
      </c>
      <c r="BG55" s="381" t="s">
        <v>949</v>
      </c>
      <c r="BH55" s="381" t="s">
        <v>949</v>
      </c>
      <c r="BI55" s="381" t="s">
        <v>949</v>
      </c>
      <c r="BJ55" s="395" t="s">
        <v>949</v>
      </c>
      <c r="BK55" s="123"/>
      <c r="BL55" s="123"/>
      <c r="BM55" s="123"/>
      <c r="BN55" s="123"/>
      <c r="BO55" s="123"/>
      <c r="BP55" s="123"/>
      <c r="BQ55" s="123"/>
      <c r="BR55" s="123"/>
    </row>
    <row r="56" spans="13:70" x14ac:dyDescent="0.2">
      <c r="M56" s="516"/>
      <c r="N56" s="516"/>
      <c r="O56" s="516"/>
      <c r="P56" s="516"/>
      <c r="Q56" s="516"/>
      <c r="R56" s="516"/>
      <c r="S56" s="516"/>
      <c r="AH56" s="516"/>
      <c r="AI56" s="516"/>
      <c r="AJ56" s="516"/>
      <c r="AK56" s="516"/>
      <c r="AL56" s="516"/>
      <c r="AM56" s="516"/>
      <c r="AN56" s="516"/>
      <c r="AO56" s="516"/>
      <c r="AP56" s="516"/>
      <c r="AQ56" s="123"/>
      <c r="AR56" s="123"/>
      <c r="AS56" s="123"/>
      <c r="AT56" s="123"/>
      <c r="AU56" s="123"/>
      <c r="AV56" s="123"/>
      <c r="AW56" s="123"/>
      <c r="AX56" s="123"/>
      <c r="AY56" s="123"/>
      <c r="AZ56" s="123"/>
      <c r="BA56" s="123"/>
      <c r="BB56" s="123"/>
      <c r="BC56" s="123"/>
      <c r="BD56" s="123"/>
      <c r="BE56" s="378"/>
      <c r="BF56" s="381" t="s">
        <v>960</v>
      </c>
      <c r="BG56" s="381" t="s">
        <v>937</v>
      </c>
      <c r="BH56" s="381" t="s">
        <v>937</v>
      </c>
      <c r="BI56" s="381" t="s">
        <v>937</v>
      </c>
      <c r="BJ56" s="395" t="s">
        <v>937</v>
      </c>
      <c r="BK56" s="123"/>
      <c r="BL56" s="123"/>
      <c r="BM56" s="123"/>
      <c r="BN56" s="123"/>
      <c r="BO56" s="123"/>
      <c r="BP56" s="123"/>
      <c r="BQ56" s="123"/>
      <c r="BR56" s="123"/>
    </row>
    <row r="57" spans="13:70" x14ac:dyDescent="0.2">
      <c r="M57" s="516"/>
      <c r="N57" s="516"/>
      <c r="O57" s="516"/>
      <c r="P57" s="516"/>
      <c r="Q57" s="516"/>
      <c r="R57" s="516"/>
      <c r="S57" s="516"/>
      <c r="AH57" s="516"/>
      <c r="AI57" s="516"/>
      <c r="AJ57" s="516"/>
      <c r="AK57" s="516"/>
      <c r="AL57" s="516"/>
      <c r="AM57" s="516"/>
      <c r="AN57" s="516"/>
      <c r="AO57" s="516"/>
      <c r="AP57" s="516"/>
      <c r="AQ57" s="123"/>
      <c r="AR57" s="123"/>
      <c r="AS57" s="123"/>
      <c r="AT57" s="123"/>
      <c r="AU57" s="123"/>
      <c r="AV57" s="123"/>
      <c r="AW57" s="123"/>
      <c r="AX57" s="123"/>
      <c r="AY57" s="123"/>
      <c r="AZ57" s="123"/>
      <c r="BA57" s="123"/>
      <c r="BB57" s="123"/>
      <c r="BC57" s="123"/>
      <c r="BD57" s="123"/>
      <c r="BE57" s="378" t="s">
        <v>913</v>
      </c>
      <c r="BF57" s="381" t="s">
        <v>937</v>
      </c>
      <c r="BG57" s="381" t="s">
        <v>966</v>
      </c>
      <c r="BH57" s="381" t="s">
        <v>966</v>
      </c>
      <c r="BI57" s="381" t="s">
        <v>966</v>
      </c>
      <c r="BJ57" s="395" t="s">
        <v>966</v>
      </c>
      <c r="BK57" s="123"/>
      <c r="BL57" s="123"/>
      <c r="BM57" s="123"/>
      <c r="BN57" s="123"/>
      <c r="BO57" s="123"/>
      <c r="BP57" s="123"/>
      <c r="BQ57" s="123"/>
      <c r="BR57" s="123"/>
    </row>
    <row r="58" spans="13:70" x14ac:dyDescent="0.2">
      <c r="M58" s="516"/>
      <c r="N58" s="516"/>
      <c r="O58" s="516"/>
      <c r="P58" s="516"/>
      <c r="Q58" s="516"/>
      <c r="R58" s="516"/>
      <c r="S58" s="516"/>
      <c r="AH58" s="516"/>
      <c r="AI58" s="516"/>
      <c r="AJ58" s="516"/>
      <c r="AK58" s="516"/>
      <c r="AL58" s="516"/>
      <c r="AM58" s="516"/>
      <c r="AN58" s="516"/>
      <c r="AO58" s="516"/>
      <c r="AP58" s="516"/>
      <c r="AQ58" s="123"/>
      <c r="AR58" s="123"/>
      <c r="AS58" s="123"/>
      <c r="AT58" s="123"/>
      <c r="AU58" s="123"/>
      <c r="AV58" s="123"/>
      <c r="AW58" s="123"/>
      <c r="AX58" s="123"/>
      <c r="AY58" s="123"/>
      <c r="AZ58" s="123"/>
      <c r="BA58" s="123"/>
      <c r="BB58" s="123"/>
      <c r="BC58" s="123"/>
      <c r="BD58" s="123"/>
      <c r="BE58" s="408"/>
      <c r="BF58" s="383" t="s">
        <v>961</v>
      </c>
      <c r="BG58" s="383" t="s">
        <v>949</v>
      </c>
      <c r="BH58" s="383" t="s">
        <v>949</v>
      </c>
      <c r="BI58" s="383" t="s">
        <v>949</v>
      </c>
      <c r="BJ58" s="399" t="s">
        <v>949</v>
      </c>
      <c r="BK58" s="123"/>
      <c r="BL58" s="123"/>
      <c r="BM58" s="123"/>
      <c r="BN58" s="123"/>
      <c r="BO58" s="123"/>
      <c r="BP58" s="123"/>
      <c r="BQ58" s="123"/>
      <c r="BR58" s="123"/>
    </row>
    <row r="59" spans="13:70" x14ac:dyDescent="0.2">
      <c r="M59" s="516"/>
      <c r="N59" s="516"/>
      <c r="O59" s="516"/>
      <c r="P59" s="516"/>
      <c r="Q59" s="516"/>
      <c r="R59" s="516"/>
      <c r="S59" s="516"/>
      <c r="AH59" s="516"/>
      <c r="AI59" s="516"/>
      <c r="AJ59" s="516"/>
      <c r="AK59" s="516"/>
      <c r="AL59" s="516"/>
      <c r="AM59" s="516"/>
      <c r="AN59" s="516"/>
      <c r="AO59" s="516"/>
      <c r="AP59" s="516"/>
      <c r="AQ59" s="123"/>
      <c r="AR59" s="123"/>
      <c r="AS59" s="123"/>
      <c r="AT59" s="123"/>
      <c r="AU59" s="123"/>
      <c r="AV59" s="123"/>
      <c r="AW59" s="123"/>
      <c r="AX59" s="123"/>
      <c r="AY59" s="123"/>
      <c r="AZ59" s="123"/>
      <c r="BA59" s="123"/>
      <c r="BB59" s="123"/>
      <c r="BC59" s="123"/>
      <c r="BD59" s="123"/>
      <c r="BE59" s="355"/>
      <c r="BF59" s="362"/>
      <c r="BG59" s="355"/>
      <c r="BH59" s="355"/>
      <c r="BI59" s="355"/>
      <c r="BJ59" s="355"/>
      <c r="BK59" s="123"/>
      <c r="BL59" s="123"/>
      <c r="BM59" s="123"/>
      <c r="BN59" s="355"/>
      <c r="BO59" s="355"/>
      <c r="BP59" s="123"/>
      <c r="BQ59" s="123"/>
      <c r="BR59" s="123"/>
    </row>
    <row r="60" spans="13:70" ht="15" customHeight="1" x14ac:dyDescent="0.2">
      <c r="M60" s="516"/>
      <c r="N60" s="516"/>
      <c r="O60" s="516"/>
      <c r="P60" s="516"/>
      <c r="Q60" s="516"/>
      <c r="R60" s="516"/>
      <c r="S60" s="516"/>
      <c r="AH60" s="516"/>
      <c r="AI60" s="516"/>
      <c r="AJ60" s="516"/>
      <c r="AK60" s="516"/>
      <c r="AL60" s="516"/>
      <c r="AM60" s="516"/>
      <c r="AN60" s="516"/>
      <c r="AO60" s="516"/>
      <c r="AP60" s="516"/>
      <c r="AQ60" s="123"/>
      <c r="AR60" s="123"/>
      <c r="AS60" s="123"/>
      <c r="AT60" s="123"/>
      <c r="AU60" s="123"/>
      <c r="AV60" s="123"/>
      <c r="AW60" s="123"/>
      <c r="AX60" s="123"/>
      <c r="AY60" s="123"/>
      <c r="AZ60" s="123"/>
      <c r="BA60" s="123"/>
      <c r="BB60" s="123"/>
      <c r="BC60" s="123"/>
      <c r="BD60" s="123"/>
      <c r="BE60" s="1106" t="s">
        <v>989</v>
      </c>
      <c r="BF60" s="1117"/>
      <c r="BG60" s="1113"/>
      <c r="BH60" s="1114" t="s">
        <v>970</v>
      </c>
      <c r="BI60" s="1116" t="s">
        <v>971</v>
      </c>
      <c r="BJ60" s="1120" t="s">
        <v>972</v>
      </c>
      <c r="BK60" s="1112" t="s">
        <v>973</v>
      </c>
      <c r="BL60" s="1112"/>
      <c r="BM60" s="1112" t="s">
        <v>976</v>
      </c>
      <c r="BN60" s="1112" t="s">
        <v>977</v>
      </c>
      <c r="BO60" s="1112"/>
      <c r="BP60" s="123"/>
      <c r="BQ60" s="123"/>
      <c r="BR60" s="123"/>
    </row>
    <row r="61" spans="13:70" x14ac:dyDescent="0.2">
      <c r="M61" s="516"/>
      <c r="N61" s="516"/>
      <c r="O61" s="516"/>
      <c r="P61" s="516"/>
      <c r="Q61" s="516"/>
      <c r="R61" s="516"/>
      <c r="S61" s="516"/>
      <c r="AH61" s="516"/>
      <c r="AI61" s="516"/>
      <c r="AJ61" s="516"/>
      <c r="AK61" s="516"/>
      <c r="AL61" s="516"/>
      <c r="AM61" s="516"/>
      <c r="AN61" s="516"/>
      <c r="AO61" s="516"/>
      <c r="AP61" s="516"/>
      <c r="AQ61" s="123"/>
      <c r="AR61" s="123"/>
      <c r="AS61" s="123"/>
      <c r="AT61" s="123"/>
      <c r="AU61" s="123"/>
      <c r="AV61" s="123"/>
      <c r="AW61" s="123"/>
      <c r="AX61" s="123"/>
      <c r="AY61" s="123"/>
      <c r="AZ61" s="123"/>
      <c r="BA61" s="123"/>
      <c r="BB61" s="123"/>
      <c r="BC61" s="123"/>
      <c r="BD61" s="123"/>
      <c r="BE61" s="1107"/>
      <c r="BF61" s="1118"/>
      <c r="BG61" s="1113"/>
      <c r="BH61" s="1115"/>
      <c r="BI61" s="1116"/>
      <c r="BJ61" s="1120"/>
      <c r="BK61" s="356" t="s">
        <v>974</v>
      </c>
      <c r="BL61" s="356" t="s">
        <v>1266</v>
      </c>
      <c r="BM61" s="1112"/>
      <c r="BN61" s="356" t="s">
        <v>975</v>
      </c>
      <c r="BO61" s="356" t="s">
        <v>978</v>
      </c>
      <c r="BP61" s="123"/>
      <c r="BQ61" s="123"/>
      <c r="BR61" s="123"/>
    </row>
    <row r="62" spans="13:70" x14ac:dyDescent="0.2">
      <c r="M62" s="516"/>
      <c r="N62" s="516"/>
      <c r="O62" s="516"/>
      <c r="P62" s="516"/>
      <c r="Q62" s="516"/>
      <c r="R62" s="516"/>
      <c r="S62" s="516"/>
      <c r="AH62" s="516"/>
      <c r="AI62" s="516"/>
      <c r="AJ62" s="516"/>
      <c r="AK62" s="516"/>
      <c r="AL62" s="516"/>
      <c r="AM62" s="516"/>
      <c r="AN62" s="516"/>
      <c r="AO62" s="516"/>
      <c r="AP62" s="516"/>
      <c r="AQ62" s="123"/>
      <c r="AR62" s="123"/>
      <c r="AS62" s="123"/>
      <c r="AT62" s="123"/>
      <c r="AU62" s="123"/>
      <c r="AV62" s="123"/>
      <c r="AW62" s="123"/>
      <c r="AX62" s="123"/>
      <c r="AY62" s="123"/>
      <c r="AZ62" s="123"/>
      <c r="BA62" s="123"/>
      <c r="BB62" s="123"/>
      <c r="BC62" s="123"/>
      <c r="BD62" s="123"/>
      <c r="BE62" s="1107"/>
      <c r="BF62" s="1112" t="s">
        <v>154</v>
      </c>
      <c r="BG62" s="356" t="s">
        <v>184</v>
      </c>
      <c r="BH62" s="361" t="s">
        <v>189</v>
      </c>
      <c r="BI62" s="361" t="s">
        <v>981</v>
      </c>
      <c r="BJ62" s="361" t="s">
        <v>981</v>
      </c>
      <c r="BK62" s="371" t="s">
        <v>201</v>
      </c>
      <c r="BL62" s="371" t="s">
        <v>206</v>
      </c>
      <c r="BM62" s="361" t="s">
        <v>196</v>
      </c>
      <c r="BN62" s="371" t="s">
        <v>985</v>
      </c>
      <c r="BO62" s="371" t="s">
        <v>987</v>
      </c>
      <c r="BP62" s="123"/>
      <c r="BQ62" s="123"/>
      <c r="BR62" s="123"/>
    </row>
    <row r="63" spans="13:70" ht="15" customHeight="1" x14ac:dyDescent="0.2">
      <c r="M63" s="516"/>
      <c r="N63" s="516"/>
      <c r="O63" s="516"/>
      <c r="P63" s="516"/>
      <c r="Q63" s="516"/>
      <c r="R63" s="516"/>
      <c r="S63" s="516"/>
      <c r="T63" s="447"/>
      <c r="U63" s="447"/>
      <c r="V63" s="448"/>
      <c r="W63" s="448"/>
      <c r="X63" s="447"/>
      <c r="Y63" s="447"/>
      <c r="Z63" s="447"/>
      <c r="AH63" s="516"/>
      <c r="AI63" s="516"/>
      <c r="AJ63" s="516"/>
      <c r="AK63" s="516"/>
      <c r="AL63" s="516"/>
      <c r="AM63" s="516"/>
      <c r="AN63" s="516"/>
      <c r="AO63" s="516"/>
      <c r="AP63" s="516"/>
      <c r="AQ63" s="123"/>
      <c r="AR63" s="123"/>
      <c r="AS63" s="123"/>
      <c r="AT63" s="123"/>
      <c r="AU63" s="123"/>
      <c r="AV63" s="123"/>
      <c r="AW63" s="123"/>
      <c r="AX63" s="123"/>
      <c r="AY63" s="123"/>
      <c r="AZ63" s="123"/>
      <c r="BA63" s="123"/>
      <c r="BB63" s="123"/>
      <c r="BC63" s="123"/>
      <c r="BD63" s="123"/>
      <c r="BE63" s="1107"/>
      <c r="BF63" s="1112"/>
      <c r="BG63" s="356" t="s">
        <v>157</v>
      </c>
      <c r="BH63" s="361" t="s">
        <v>190</v>
      </c>
      <c r="BI63" s="361" t="s">
        <v>371</v>
      </c>
      <c r="BJ63" s="361" t="s">
        <v>371</v>
      </c>
      <c r="BK63" s="361" t="s">
        <v>984</v>
      </c>
      <c r="BL63" s="361" t="s">
        <v>207</v>
      </c>
      <c r="BM63" s="361" t="s">
        <v>197</v>
      </c>
      <c r="BN63" s="361" t="s">
        <v>986</v>
      </c>
      <c r="BO63" s="361" t="s">
        <v>988</v>
      </c>
      <c r="BP63" s="123"/>
      <c r="BQ63" s="123"/>
      <c r="BR63" s="123"/>
    </row>
    <row r="64" spans="13:70" ht="15" customHeight="1" x14ac:dyDescent="0.2">
      <c r="S64" s="447"/>
      <c r="T64" s="447"/>
      <c r="U64" s="447"/>
      <c r="V64" s="448"/>
      <c r="W64" s="448"/>
      <c r="X64" s="447"/>
      <c r="Y64" s="447"/>
      <c r="Z64" s="447"/>
      <c r="AC64" s="374" t="s">
        <v>1128</v>
      </c>
      <c r="AD64" s="374" t="s">
        <v>1135</v>
      </c>
      <c r="AE64" s="374"/>
      <c r="AF64" s="374" t="s">
        <v>1136</v>
      </c>
      <c r="AG64" s="374"/>
      <c r="AH64" s="516"/>
      <c r="AI64" s="516"/>
      <c r="AJ64" s="516"/>
      <c r="AK64" s="516"/>
      <c r="AL64" s="516"/>
      <c r="AM64" s="516"/>
      <c r="AN64" s="516"/>
      <c r="AO64" s="516"/>
      <c r="AP64" s="516"/>
      <c r="AQ64" s="123"/>
      <c r="AR64" s="123"/>
      <c r="AS64" s="123"/>
      <c r="AT64" s="123"/>
      <c r="AU64" s="123"/>
      <c r="AV64" s="123"/>
      <c r="AW64" s="123"/>
      <c r="AX64" s="123"/>
      <c r="AY64" s="123"/>
      <c r="AZ64" s="123"/>
      <c r="BA64" s="123"/>
      <c r="BB64" s="123"/>
      <c r="BC64" s="123"/>
      <c r="BD64" s="123"/>
      <c r="BE64" s="1107"/>
      <c r="BF64" s="376" t="s">
        <v>251</v>
      </c>
      <c r="BG64" s="356" t="s">
        <v>184</v>
      </c>
      <c r="BH64" s="361">
        <v>30</v>
      </c>
      <c r="BI64" s="361">
        <v>36</v>
      </c>
      <c r="BJ64" s="361" t="s">
        <v>983</v>
      </c>
      <c r="BK64" s="361">
        <v>52</v>
      </c>
      <c r="BL64" s="361">
        <v>60</v>
      </c>
      <c r="BM64" s="361">
        <v>46</v>
      </c>
      <c r="BN64" s="361">
        <v>55</v>
      </c>
      <c r="BO64" s="361">
        <v>65</v>
      </c>
      <c r="BP64" s="123"/>
      <c r="BQ64" s="123"/>
      <c r="BR64" s="123"/>
    </row>
    <row r="65" spans="18:70" ht="15" customHeight="1" x14ac:dyDescent="0.2">
      <c r="S65" s="449" t="s">
        <v>1036</v>
      </c>
      <c r="T65" s="446" t="s">
        <v>1193</v>
      </c>
      <c r="U65" s="446" t="s">
        <v>1194</v>
      </c>
      <c r="V65" s="446" t="s">
        <v>1191</v>
      </c>
      <c r="W65" s="446" t="s">
        <v>1192</v>
      </c>
      <c r="X65" s="445" t="s">
        <v>979</v>
      </c>
      <c r="Y65" s="445" t="s">
        <v>1037</v>
      </c>
      <c r="Z65" s="453" t="s">
        <v>1195</v>
      </c>
      <c r="AC65" s="374"/>
      <c r="AD65" s="374"/>
      <c r="AE65" s="374"/>
      <c r="AF65" s="374"/>
      <c r="AG65" s="374"/>
      <c r="AH65" s="516"/>
      <c r="AI65" s="516"/>
      <c r="AJ65" s="516"/>
      <c r="AK65" s="516"/>
      <c r="AL65" s="516"/>
      <c r="AM65" s="516"/>
      <c r="AN65" s="516"/>
      <c r="AO65" s="516"/>
      <c r="AP65" s="516"/>
      <c r="AQ65" s="123"/>
      <c r="AR65" s="123"/>
      <c r="AS65" s="123"/>
      <c r="AT65" s="123"/>
      <c r="AU65" s="123"/>
      <c r="AV65" s="123"/>
      <c r="AW65" s="123"/>
      <c r="AX65" s="123"/>
      <c r="AY65" s="123"/>
      <c r="AZ65" s="123"/>
      <c r="BA65" s="123"/>
      <c r="BB65" s="123"/>
      <c r="BC65" s="123"/>
      <c r="BD65" s="123"/>
      <c r="BE65" s="1107"/>
      <c r="BF65" s="376"/>
      <c r="BG65" s="356" t="s">
        <v>183</v>
      </c>
      <c r="BH65" s="361">
        <v>250</v>
      </c>
      <c r="BI65" s="361">
        <v>250</v>
      </c>
      <c r="BJ65" s="361">
        <v>260</v>
      </c>
      <c r="BK65" s="361">
        <v>360</v>
      </c>
      <c r="BL65" s="361">
        <v>415</v>
      </c>
      <c r="BM65" s="361">
        <v>315</v>
      </c>
      <c r="BN65" s="361">
        <v>380</v>
      </c>
      <c r="BO65" s="361">
        <v>450</v>
      </c>
      <c r="BP65" s="123"/>
      <c r="BQ65" s="123"/>
      <c r="BR65" s="123"/>
    </row>
    <row r="66" spans="18:70" x14ac:dyDescent="0.2">
      <c r="R66" s="1097" t="s">
        <v>1038</v>
      </c>
      <c r="S66" s="450" t="s">
        <v>1039</v>
      </c>
      <c r="T66" s="375">
        <v>40</v>
      </c>
      <c r="U66" s="375">
        <v>275</v>
      </c>
      <c r="V66" s="375">
        <v>70</v>
      </c>
      <c r="W66" s="375">
        <v>485</v>
      </c>
      <c r="X66" s="375">
        <v>20</v>
      </c>
      <c r="Y66" s="375">
        <v>30</v>
      </c>
      <c r="Z66" s="454" t="s">
        <v>1058</v>
      </c>
      <c r="AA66" s="330"/>
      <c r="AC66" s="374"/>
      <c r="AD66" s="374"/>
      <c r="AE66" s="374"/>
      <c r="AF66" s="374"/>
      <c r="AG66" s="374"/>
      <c r="AH66" s="516"/>
      <c r="AI66" s="516"/>
      <c r="AJ66" s="516"/>
      <c r="AK66" s="516"/>
      <c r="AL66" s="516"/>
      <c r="AM66" s="516"/>
      <c r="AN66" s="516"/>
      <c r="AO66" s="516"/>
      <c r="AP66" s="516"/>
      <c r="AQ66" s="123"/>
      <c r="AR66" s="123"/>
      <c r="AS66" s="123"/>
      <c r="AT66" s="123"/>
      <c r="AU66" s="123"/>
      <c r="AV66" s="123"/>
      <c r="AW66" s="123"/>
      <c r="AX66" s="123"/>
      <c r="AY66" s="123"/>
      <c r="AZ66" s="123"/>
      <c r="BA66" s="123"/>
      <c r="BB66" s="123"/>
      <c r="BC66" s="123"/>
      <c r="BD66" s="123"/>
      <c r="BE66" s="1107"/>
      <c r="BF66" s="1109" t="s">
        <v>1160</v>
      </c>
      <c r="BG66" s="1110"/>
      <c r="BH66" s="361">
        <v>25</v>
      </c>
      <c r="BI66" s="361">
        <v>22</v>
      </c>
      <c r="BJ66" s="361">
        <v>22</v>
      </c>
      <c r="BK66" s="361">
        <v>22</v>
      </c>
      <c r="BL66" s="361">
        <v>20</v>
      </c>
      <c r="BM66" s="361">
        <v>25</v>
      </c>
      <c r="BN66" s="361">
        <v>20</v>
      </c>
      <c r="BO66" s="361">
        <v>20</v>
      </c>
      <c r="BP66" s="123"/>
      <c r="BQ66" s="123"/>
      <c r="BR66" s="123"/>
    </row>
    <row r="67" spans="18:70" ht="15" customHeight="1" x14ac:dyDescent="0.2">
      <c r="R67" s="1098"/>
      <c r="S67" s="450" t="s">
        <v>1040</v>
      </c>
      <c r="T67" s="375">
        <v>40</v>
      </c>
      <c r="U67" s="375">
        <v>275</v>
      </c>
      <c r="V67" s="375">
        <v>70</v>
      </c>
      <c r="W67" s="375">
        <v>485</v>
      </c>
      <c r="X67" s="375">
        <v>20</v>
      </c>
      <c r="Y67" s="375">
        <v>30</v>
      </c>
      <c r="Z67" s="454" t="s">
        <v>1058</v>
      </c>
      <c r="AC67" s="368" t="s">
        <v>186</v>
      </c>
      <c r="AD67" s="1100">
        <v>0.03</v>
      </c>
      <c r="AE67" s="1100"/>
      <c r="AF67" s="1100">
        <v>5.0000000000000001E-3</v>
      </c>
      <c r="AG67" s="1100"/>
      <c r="AH67" s="516"/>
      <c r="AI67" s="516"/>
      <c r="AJ67" s="516"/>
      <c r="AK67" s="516"/>
      <c r="AL67" s="516"/>
      <c r="AM67" s="516"/>
      <c r="AN67" s="516"/>
      <c r="AO67" s="516"/>
      <c r="AP67" s="516"/>
      <c r="AQ67" s="123"/>
      <c r="AR67" s="123"/>
      <c r="AS67" s="123"/>
      <c r="AT67" s="123"/>
      <c r="AU67" s="123"/>
      <c r="AV67" s="123"/>
      <c r="AW67" s="123"/>
      <c r="AX67" s="123"/>
      <c r="AY67" s="123"/>
      <c r="AZ67" s="123"/>
      <c r="BA67" s="123"/>
      <c r="BB67" s="123"/>
      <c r="BC67" s="123"/>
      <c r="BD67" s="123"/>
      <c r="BE67" s="1107"/>
      <c r="BF67" s="1109" t="s">
        <v>1161</v>
      </c>
      <c r="BG67" s="1110"/>
      <c r="BH67" s="361">
        <v>28</v>
      </c>
      <c r="BI67" s="361">
        <v>30</v>
      </c>
      <c r="BJ67" s="361">
        <v>30</v>
      </c>
      <c r="BK67" s="361">
        <v>30</v>
      </c>
      <c r="BL67" s="361">
        <v>28</v>
      </c>
      <c r="BM67" s="361">
        <v>28</v>
      </c>
      <c r="BN67" s="361">
        <v>28</v>
      </c>
      <c r="BO67" s="361">
        <v>28</v>
      </c>
      <c r="BP67" s="123"/>
      <c r="BQ67" s="123"/>
      <c r="BR67" s="123"/>
    </row>
    <row r="68" spans="18:70" x14ac:dyDescent="0.2">
      <c r="R68" s="1098"/>
      <c r="S68" s="450" t="s">
        <v>378</v>
      </c>
      <c r="T68" s="375">
        <v>40</v>
      </c>
      <c r="U68" s="375">
        <v>275</v>
      </c>
      <c r="V68" s="375">
        <v>70</v>
      </c>
      <c r="W68" s="375">
        <v>485</v>
      </c>
      <c r="X68" s="375">
        <v>20</v>
      </c>
      <c r="Y68" s="375">
        <v>35</v>
      </c>
      <c r="Z68" s="454" t="s">
        <v>1059</v>
      </c>
      <c r="AC68" s="368"/>
      <c r="AD68" s="1100" t="s">
        <v>1137</v>
      </c>
      <c r="AE68" s="1100"/>
      <c r="AF68" s="1100">
        <v>0.01</v>
      </c>
      <c r="AG68" s="1100"/>
      <c r="AH68" s="516"/>
      <c r="AI68" s="516"/>
      <c r="AJ68" s="516"/>
      <c r="AK68" s="516"/>
      <c r="AL68" s="516"/>
      <c r="AM68" s="516"/>
      <c r="AN68" s="516"/>
      <c r="AO68" s="516"/>
      <c r="AP68" s="516"/>
      <c r="AQ68" s="123"/>
      <c r="AR68" s="123"/>
      <c r="AS68" s="123"/>
      <c r="AT68" s="123"/>
      <c r="AU68" s="123"/>
      <c r="AV68" s="123"/>
      <c r="AW68" s="123"/>
      <c r="AX68" s="123"/>
      <c r="AY68" s="123"/>
      <c r="AZ68" s="123"/>
      <c r="BA68" s="123"/>
      <c r="BB68" s="123"/>
      <c r="BC68" s="123"/>
      <c r="BD68" s="123"/>
      <c r="BE68" s="1107"/>
      <c r="BF68" s="1109" t="s">
        <v>1162</v>
      </c>
      <c r="BG68" s="1110"/>
      <c r="BH68" s="361" t="s">
        <v>980</v>
      </c>
      <c r="BI68" s="361" t="s">
        <v>982</v>
      </c>
      <c r="BJ68" s="361" t="s">
        <v>982</v>
      </c>
      <c r="BK68" s="361" t="s">
        <v>982</v>
      </c>
      <c r="BL68" s="361" t="s">
        <v>980</v>
      </c>
      <c r="BM68" s="361" t="s">
        <v>980</v>
      </c>
      <c r="BN68" s="361" t="s">
        <v>980</v>
      </c>
      <c r="BO68" s="361" t="s">
        <v>980</v>
      </c>
      <c r="BP68" s="123"/>
      <c r="BQ68" s="123"/>
      <c r="BR68" s="123"/>
    </row>
    <row r="69" spans="18:70" x14ac:dyDescent="0.2">
      <c r="R69" s="1098"/>
      <c r="S69" s="450" t="s">
        <v>1041</v>
      </c>
      <c r="T69" s="375">
        <v>65</v>
      </c>
      <c r="U69" s="375">
        <v>450</v>
      </c>
      <c r="V69" s="375">
        <v>90</v>
      </c>
      <c r="W69" s="375">
        <v>620</v>
      </c>
      <c r="X69" s="375">
        <v>22</v>
      </c>
      <c r="Y69" s="375">
        <v>50</v>
      </c>
      <c r="Z69" s="454" t="s">
        <v>1060</v>
      </c>
      <c r="AC69" s="368" t="s">
        <v>193</v>
      </c>
      <c r="AD69" s="1100">
        <v>1</v>
      </c>
      <c r="AE69" s="1100"/>
      <c r="AF69" s="1100">
        <v>0.03</v>
      </c>
      <c r="AG69" s="1100"/>
      <c r="AH69" s="516"/>
      <c r="AI69" s="516"/>
      <c r="AJ69" s="516"/>
      <c r="AK69" s="516"/>
      <c r="AL69" s="516"/>
      <c r="AM69" s="516"/>
      <c r="AN69" s="516"/>
      <c r="AO69" s="516"/>
      <c r="AP69" s="516"/>
      <c r="AQ69" s="123"/>
      <c r="AR69" s="123"/>
      <c r="AS69" s="123"/>
      <c r="AT69" s="123"/>
      <c r="AU69" s="123"/>
      <c r="AV69" s="123"/>
      <c r="AW69" s="123"/>
      <c r="AX69" s="123"/>
      <c r="AY69" s="123"/>
      <c r="AZ69" s="123"/>
      <c r="BA69" s="123"/>
      <c r="BB69" s="123"/>
      <c r="BC69" s="123"/>
      <c r="BD69" s="123"/>
      <c r="BE69" s="1108"/>
      <c r="BF69" s="1109" t="s">
        <v>1037</v>
      </c>
      <c r="BG69" s="1110"/>
      <c r="BH69" s="361">
        <v>38</v>
      </c>
      <c r="BI69" s="361">
        <v>30</v>
      </c>
      <c r="BJ69" s="361">
        <v>35</v>
      </c>
      <c r="BK69" s="361">
        <v>40</v>
      </c>
      <c r="BL69" s="361">
        <v>40</v>
      </c>
      <c r="BM69" s="361">
        <v>38</v>
      </c>
      <c r="BN69" s="361">
        <v>45</v>
      </c>
      <c r="BO69" s="361">
        <v>45</v>
      </c>
      <c r="BP69" s="123"/>
      <c r="BQ69" s="123"/>
      <c r="BR69" s="123"/>
    </row>
    <row r="70" spans="18:70" x14ac:dyDescent="0.2">
      <c r="R70" s="1098"/>
      <c r="S70" s="450" t="s">
        <v>379</v>
      </c>
      <c r="T70" s="375">
        <v>55</v>
      </c>
      <c r="U70" s="375">
        <v>380</v>
      </c>
      <c r="V70" s="375">
        <v>85</v>
      </c>
      <c r="W70" s="375">
        <v>585</v>
      </c>
      <c r="X70" s="375">
        <v>20</v>
      </c>
      <c r="Y70" s="375">
        <v>40</v>
      </c>
      <c r="Z70" s="454" t="s">
        <v>1061</v>
      </c>
      <c r="AC70" s="368"/>
      <c r="AD70" s="1111" t="s">
        <v>1138</v>
      </c>
      <c r="AE70" s="1111"/>
      <c r="AF70" s="1100">
        <v>0.04</v>
      </c>
      <c r="AG70" s="1100"/>
      <c r="AH70" s="516"/>
      <c r="AI70" s="516"/>
      <c r="AJ70" s="516"/>
      <c r="AK70" s="516"/>
      <c r="AL70" s="516"/>
      <c r="AM70" s="516"/>
      <c r="AN70" s="516"/>
      <c r="AO70" s="516"/>
      <c r="AP70" s="516"/>
      <c r="AQ70" s="123"/>
      <c r="AR70" s="123"/>
      <c r="AS70" s="123"/>
      <c r="AT70" s="123"/>
      <c r="AU70" s="123"/>
      <c r="AV70" s="123"/>
      <c r="AW70" s="123"/>
      <c r="AX70" s="123"/>
      <c r="AY70" s="123"/>
      <c r="AZ70" s="123"/>
      <c r="BA70" s="123"/>
      <c r="BB70" s="123"/>
      <c r="BC70" s="123"/>
      <c r="BD70" s="123"/>
      <c r="BE70" s="123"/>
      <c r="BF70" s="123"/>
      <c r="BG70" s="123"/>
      <c r="BH70" s="364"/>
      <c r="BI70" s="364"/>
      <c r="BJ70" s="364"/>
      <c r="BK70" s="364"/>
      <c r="BL70" s="364"/>
      <c r="BM70" s="364"/>
      <c r="BN70" s="364"/>
      <c r="BO70" s="364"/>
      <c r="BP70" s="123"/>
      <c r="BQ70" s="123"/>
      <c r="BR70" s="123"/>
    </row>
    <row r="71" spans="18:70" x14ac:dyDescent="0.2">
      <c r="R71" s="1098"/>
      <c r="S71" s="450" t="s">
        <v>1042</v>
      </c>
      <c r="T71" s="375">
        <v>60</v>
      </c>
      <c r="U71" s="375">
        <v>415</v>
      </c>
      <c r="V71" s="375">
        <v>85</v>
      </c>
      <c r="W71" s="375">
        <v>585</v>
      </c>
      <c r="X71" s="375">
        <v>20</v>
      </c>
      <c r="Y71" s="375">
        <v>40</v>
      </c>
      <c r="Z71" s="454">
        <v>248</v>
      </c>
      <c r="AC71" s="368"/>
      <c r="AD71" s="1100" t="s">
        <v>1139</v>
      </c>
      <c r="AE71" s="1100"/>
      <c r="AF71" s="1100">
        <v>0.05</v>
      </c>
      <c r="AG71" s="1100"/>
      <c r="AH71" s="516"/>
      <c r="AI71" s="516"/>
      <c r="AJ71" s="516"/>
      <c r="AK71" s="516"/>
      <c r="AL71" s="516"/>
      <c r="AM71" s="516"/>
      <c r="AN71" s="516"/>
      <c r="AO71" s="516"/>
      <c r="AP71" s="516"/>
      <c r="AQ71" s="123"/>
      <c r="AR71" s="123"/>
      <c r="AS71" s="123"/>
      <c r="AT71" s="123"/>
      <c r="AU71" s="123"/>
      <c r="AV71" s="123"/>
      <c r="AW71" s="123"/>
      <c r="AX71" s="123"/>
      <c r="AY71" s="123"/>
      <c r="AZ71" s="123"/>
      <c r="BA71" s="123"/>
      <c r="BB71" s="123"/>
      <c r="BC71" s="123"/>
      <c r="BD71" s="123"/>
      <c r="BE71" s="123"/>
      <c r="BF71" s="123"/>
      <c r="BG71" s="123"/>
      <c r="BH71" s="123"/>
      <c r="BI71" s="123"/>
      <c r="BJ71" s="123"/>
      <c r="BK71" s="123"/>
      <c r="BL71" s="123"/>
      <c r="BM71" s="123"/>
      <c r="BN71" s="123"/>
      <c r="BO71" s="123"/>
      <c r="BP71" s="123"/>
      <c r="BQ71" s="123"/>
      <c r="BR71" s="123"/>
    </row>
    <row r="72" spans="18:70" x14ac:dyDescent="0.2">
      <c r="R72" s="1098"/>
      <c r="S72" s="450" t="s">
        <v>1043</v>
      </c>
      <c r="T72" s="375">
        <v>64</v>
      </c>
      <c r="U72" s="375">
        <v>440</v>
      </c>
      <c r="V72" s="375">
        <v>90</v>
      </c>
      <c r="W72" s="375">
        <v>620</v>
      </c>
      <c r="X72" s="375">
        <v>20</v>
      </c>
      <c r="Y72" s="375">
        <v>45</v>
      </c>
      <c r="Z72" s="454">
        <v>269</v>
      </c>
      <c r="AC72" s="368"/>
      <c r="AD72" s="1100" t="s">
        <v>1140</v>
      </c>
      <c r="AE72" s="1100"/>
      <c r="AF72" s="1100">
        <v>0.06</v>
      </c>
      <c r="AG72" s="1100"/>
      <c r="AH72" s="516"/>
      <c r="AI72" s="516"/>
      <c r="AJ72" s="516"/>
      <c r="AK72" s="516"/>
      <c r="AL72" s="516"/>
      <c r="AM72" s="516"/>
      <c r="AN72" s="516"/>
      <c r="AO72" s="516"/>
      <c r="AP72" s="516"/>
      <c r="AQ72" s="123"/>
      <c r="AR72" s="123"/>
      <c r="AS72" s="123"/>
      <c r="AT72" s="123"/>
      <c r="AU72" s="123"/>
      <c r="AV72" s="123"/>
      <c r="AW72" s="123"/>
      <c r="AX72" s="123"/>
      <c r="AY72" s="123"/>
      <c r="AZ72" s="123"/>
      <c r="BA72" s="123"/>
      <c r="BB72" s="123"/>
      <c r="BC72" s="123"/>
      <c r="BD72" s="123"/>
      <c r="BE72" s="123"/>
      <c r="BF72" s="123"/>
      <c r="BG72" s="123"/>
      <c r="BH72" s="123"/>
      <c r="BI72" s="123"/>
      <c r="BJ72" s="123"/>
      <c r="BK72" s="123"/>
      <c r="BL72" s="123"/>
      <c r="BM72" s="123"/>
      <c r="BN72" s="123"/>
      <c r="BO72" s="123"/>
      <c r="BP72" s="123"/>
      <c r="BQ72" s="123"/>
      <c r="BR72" s="123"/>
    </row>
    <row r="73" spans="18:70" x14ac:dyDescent="0.2">
      <c r="R73" s="1098"/>
      <c r="S73" s="450" t="s">
        <v>1044</v>
      </c>
      <c r="T73" s="375">
        <v>64</v>
      </c>
      <c r="U73" s="375">
        <v>440</v>
      </c>
      <c r="V73" s="375">
        <v>90</v>
      </c>
      <c r="W73" s="375">
        <v>620</v>
      </c>
      <c r="X73" s="375">
        <v>18</v>
      </c>
      <c r="Y73" s="375">
        <v>40</v>
      </c>
      <c r="Z73" s="454" t="s">
        <v>1060</v>
      </c>
      <c r="AC73" s="368" t="s">
        <v>198</v>
      </c>
      <c r="AD73" s="1100">
        <v>0.04</v>
      </c>
      <c r="AE73" s="1100"/>
      <c r="AF73" s="1100">
        <v>5.0000000000000001E-3</v>
      </c>
      <c r="AG73" s="1100"/>
      <c r="AH73" s="516"/>
      <c r="AI73" s="516"/>
      <c r="AJ73" s="516"/>
      <c r="AK73" s="516"/>
      <c r="AL73" s="516"/>
      <c r="AM73" s="516"/>
      <c r="AN73" s="516"/>
      <c r="AO73" s="516"/>
      <c r="AP73" s="516"/>
      <c r="AQ73" s="123"/>
      <c r="AR73" s="123"/>
      <c r="AS73" s="123"/>
      <c r="AT73" s="123"/>
      <c r="AU73" s="123"/>
      <c r="AV73" s="123"/>
      <c r="AW73" s="123"/>
      <c r="AX73" s="123"/>
      <c r="AY73" s="123"/>
      <c r="AZ73" s="123"/>
      <c r="BA73" s="123"/>
      <c r="BB73" s="123"/>
      <c r="BC73" s="123"/>
      <c r="BD73" s="123"/>
      <c r="BE73" s="123"/>
      <c r="BF73" s="123" t="s">
        <v>1008</v>
      </c>
      <c r="BG73" s="123"/>
      <c r="BH73" s="123"/>
      <c r="BI73" s="123"/>
      <c r="BJ73" s="123" t="s">
        <v>999</v>
      </c>
      <c r="BK73" s="123"/>
      <c r="BL73" s="123"/>
      <c r="BM73" s="123"/>
      <c r="BN73" s="123"/>
      <c r="BO73" s="123"/>
      <c r="BP73" s="123"/>
      <c r="BQ73" s="123"/>
      <c r="BR73" s="123"/>
    </row>
    <row r="74" spans="18:70" ht="81.75" x14ac:dyDescent="0.25">
      <c r="R74" s="1098"/>
      <c r="S74" s="450" t="s">
        <v>1045</v>
      </c>
      <c r="T74" s="375">
        <v>30</v>
      </c>
      <c r="U74" s="375">
        <v>205</v>
      </c>
      <c r="V74" s="375">
        <v>60</v>
      </c>
      <c r="W74" s="375">
        <v>415</v>
      </c>
      <c r="X74" s="375">
        <v>20</v>
      </c>
      <c r="Y74" s="375">
        <v>45</v>
      </c>
      <c r="Z74" s="454" t="s">
        <v>1062</v>
      </c>
      <c r="AC74" s="368" t="s">
        <v>203</v>
      </c>
      <c r="AD74" s="1100">
        <v>0.03</v>
      </c>
      <c r="AE74" s="1100"/>
      <c r="AF74" s="1100">
        <v>5.0000000000000001E-3</v>
      </c>
      <c r="AG74" s="1100"/>
      <c r="AH74" s="516"/>
      <c r="AI74" s="516"/>
      <c r="AJ74" s="516"/>
      <c r="AK74" s="516"/>
      <c r="AL74" s="516"/>
      <c r="AM74" s="516"/>
      <c r="AN74" s="516"/>
      <c r="AO74" s="516"/>
      <c r="AP74" s="516"/>
      <c r="AQ74" s="123"/>
      <c r="AR74" s="123"/>
      <c r="AS74" s="123"/>
      <c r="AT74" s="123"/>
      <c r="AU74" s="123"/>
      <c r="AV74" s="123"/>
      <c r="AW74" s="123"/>
      <c r="AX74" s="123"/>
      <c r="AY74" s="123"/>
      <c r="AZ74" s="123"/>
      <c r="BA74" s="123"/>
      <c r="BB74" s="123"/>
      <c r="BC74" s="123"/>
      <c r="BD74" s="123"/>
      <c r="BE74" s="123"/>
      <c r="BF74" s="778" t="s">
        <v>141</v>
      </c>
      <c r="BG74" s="779" t="s">
        <v>1168</v>
      </c>
      <c r="BH74" s="779" t="s">
        <v>1169</v>
      </c>
      <c r="BI74" s="363"/>
      <c r="BJ74" s="404" t="s">
        <v>141</v>
      </c>
      <c r="BK74" s="382" t="s">
        <v>1170</v>
      </c>
      <c r="BL74" s="382" t="s">
        <v>1171</v>
      </c>
      <c r="BM74" s="382" t="s">
        <v>1173</v>
      </c>
      <c r="BN74" s="411" t="s">
        <v>1172</v>
      </c>
      <c r="BO74" s="123"/>
      <c r="BP74" s="123"/>
      <c r="BQ74" s="123"/>
      <c r="BR74" s="123"/>
    </row>
    <row r="75" spans="18:70" x14ac:dyDescent="0.2">
      <c r="R75" s="1098"/>
      <c r="S75" s="450" t="s">
        <v>1046</v>
      </c>
      <c r="T75" s="375">
        <v>40</v>
      </c>
      <c r="U75" s="375">
        <v>275</v>
      </c>
      <c r="V75" s="375">
        <v>70</v>
      </c>
      <c r="W75" s="375">
        <v>485</v>
      </c>
      <c r="X75" s="375">
        <v>20</v>
      </c>
      <c r="Y75" s="375">
        <v>30</v>
      </c>
      <c r="Z75" s="454" t="s">
        <v>1063</v>
      </c>
      <c r="AC75" s="368" t="s">
        <v>208</v>
      </c>
      <c r="AD75" s="1100">
        <v>1</v>
      </c>
      <c r="AE75" s="1100"/>
      <c r="AF75" s="1100">
        <v>0.05</v>
      </c>
      <c r="AG75" s="1100"/>
      <c r="AH75" s="516"/>
      <c r="AI75" s="516"/>
      <c r="AJ75" s="516"/>
      <c r="AK75" s="516"/>
      <c r="AL75" s="516"/>
      <c r="AM75" s="516"/>
      <c r="AN75" s="516"/>
      <c r="AO75" s="516"/>
      <c r="AP75" s="516"/>
      <c r="AQ75" s="123"/>
      <c r="AR75" s="123"/>
      <c r="AS75" s="123"/>
      <c r="AT75" s="123"/>
      <c r="AU75" s="123"/>
      <c r="AV75" s="123"/>
      <c r="AW75" s="123"/>
      <c r="AX75" s="123"/>
      <c r="AY75" s="123"/>
      <c r="AZ75" s="123"/>
      <c r="BA75" s="123"/>
      <c r="BB75" s="123"/>
      <c r="BC75" s="123"/>
      <c r="BD75" s="123"/>
      <c r="BE75" s="123"/>
      <c r="BF75" s="394" t="s">
        <v>1000</v>
      </c>
      <c r="BG75" s="376">
        <v>-20</v>
      </c>
      <c r="BH75" s="377">
        <v>-28.9</v>
      </c>
      <c r="BI75" s="363"/>
      <c r="BJ75" s="403" t="s">
        <v>990</v>
      </c>
      <c r="BK75" s="357">
        <v>13</v>
      </c>
      <c r="BL75" s="357">
        <v>18</v>
      </c>
      <c r="BM75" s="357">
        <v>10</v>
      </c>
      <c r="BN75" s="377">
        <v>14</v>
      </c>
      <c r="BO75" s="123"/>
      <c r="BP75" s="123"/>
      <c r="BQ75" s="123"/>
      <c r="BR75" s="123"/>
    </row>
    <row r="76" spans="18:70" x14ac:dyDescent="0.2">
      <c r="R76" s="1098"/>
      <c r="S76" s="450" t="s">
        <v>1047</v>
      </c>
      <c r="T76" s="375">
        <v>45</v>
      </c>
      <c r="U76" s="375">
        <v>310</v>
      </c>
      <c r="V76" s="375">
        <v>75</v>
      </c>
      <c r="W76" s="375">
        <v>515</v>
      </c>
      <c r="X76" s="375">
        <v>20</v>
      </c>
      <c r="Y76" s="375">
        <v>30</v>
      </c>
      <c r="Z76" s="454" t="s">
        <v>1064</v>
      </c>
      <c r="AC76" s="368"/>
      <c r="AD76" s="1100" t="s">
        <v>1141</v>
      </c>
      <c r="AE76" s="1100"/>
      <c r="AF76" s="1100">
        <v>0.1</v>
      </c>
      <c r="AG76" s="1100"/>
      <c r="AH76" s="516"/>
      <c r="AI76" s="516"/>
      <c r="AJ76" s="516"/>
      <c r="AK76" s="516"/>
      <c r="AL76" s="516"/>
      <c r="AM76" s="516"/>
      <c r="AN76" s="516"/>
      <c r="AO76" s="516"/>
      <c r="AP76" s="516"/>
      <c r="AQ76" s="123"/>
      <c r="AR76" s="123"/>
      <c r="AS76" s="123"/>
      <c r="AT76" s="123"/>
      <c r="AU76" s="123"/>
      <c r="AV76" s="123"/>
      <c r="AW76" s="123"/>
      <c r="AX76" s="123"/>
      <c r="AY76" s="123"/>
      <c r="AZ76" s="123"/>
      <c r="BA76" s="123"/>
      <c r="BB76" s="123"/>
      <c r="BC76" s="123"/>
      <c r="BD76" s="123"/>
      <c r="BE76" s="123"/>
      <c r="BF76" s="394" t="s">
        <v>1001</v>
      </c>
      <c r="BG76" s="376">
        <f>-50</f>
        <v>-50</v>
      </c>
      <c r="BH76" s="377">
        <v>-45.6</v>
      </c>
      <c r="BI76" s="363"/>
      <c r="BJ76" s="403" t="s">
        <v>991</v>
      </c>
      <c r="BK76" s="357">
        <v>15</v>
      </c>
      <c r="BL76" s="357">
        <v>20</v>
      </c>
      <c r="BM76" s="357">
        <v>12</v>
      </c>
      <c r="BN76" s="377">
        <v>16</v>
      </c>
      <c r="BO76" s="123"/>
      <c r="BP76" s="123"/>
      <c r="BQ76" s="123"/>
      <c r="BR76" s="123"/>
    </row>
    <row r="77" spans="18:70" x14ac:dyDescent="0.2">
      <c r="R77" s="1098"/>
      <c r="S77" s="450" t="s">
        <v>1048</v>
      </c>
      <c r="T77" s="375">
        <v>32</v>
      </c>
      <c r="U77" s="375">
        <v>220</v>
      </c>
      <c r="V77" s="375">
        <v>60</v>
      </c>
      <c r="W77" s="375">
        <v>415</v>
      </c>
      <c r="X77" s="375">
        <v>20</v>
      </c>
      <c r="Y77" s="375">
        <v>45</v>
      </c>
      <c r="Z77" s="454" t="s">
        <v>1065</v>
      </c>
      <c r="AC77" s="368" t="s">
        <v>218</v>
      </c>
      <c r="AD77" s="1100" t="s">
        <v>1142</v>
      </c>
      <c r="AE77" s="1100"/>
      <c r="AF77" s="1100">
        <v>0.1</v>
      </c>
      <c r="AG77" s="1100"/>
      <c r="AH77" s="516"/>
      <c r="AI77" s="516"/>
      <c r="AJ77" s="516"/>
      <c r="AK77" s="516"/>
      <c r="AL77" s="516"/>
      <c r="AM77" s="516"/>
      <c r="AN77" s="516"/>
      <c r="AO77" s="516"/>
      <c r="AP77" s="516"/>
      <c r="AQ77" s="123"/>
      <c r="AR77" s="123"/>
      <c r="AS77" s="123"/>
      <c r="AT77" s="123"/>
      <c r="AU77" s="123"/>
      <c r="AV77" s="123"/>
      <c r="AW77" s="123"/>
      <c r="AX77" s="123"/>
      <c r="AY77" s="123"/>
      <c r="AZ77" s="123"/>
      <c r="BA77" s="123"/>
      <c r="BB77" s="123"/>
      <c r="BC77" s="123"/>
      <c r="BD77" s="123"/>
      <c r="BE77" s="123"/>
      <c r="BF77" s="394" t="s">
        <v>1002</v>
      </c>
      <c r="BG77" s="376">
        <v>0</v>
      </c>
      <c r="BH77" s="377">
        <v>-18</v>
      </c>
      <c r="BI77" s="363"/>
      <c r="BJ77" s="403" t="s">
        <v>992</v>
      </c>
      <c r="BK77" s="357">
        <v>15</v>
      </c>
      <c r="BL77" s="357">
        <v>20</v>
      </c>
      <c r="BM77" s="357">
        <v>12</v>
      </c>
      <c r="BN77" s="377">
        <v>16</v>
      </c>
      <c r="BO77" s="123"/>
      <c r="BP77" s="123"/>
      <c r="BQ77" s="123"/>
      <c r="BR77" s="123"/>
    </row>
    <row r="78" spans="18:70" x14ac:dyDescent="0.2">
      <c r="R78" s="1098"/>
      <c r="S78" s="450" t="s">
        <v>1049</v>
      </c>
      <c r="T78" s="375">
        <v>40</v>
      </c>
      <c r="U78" s="375">
        <v>275</v>
      </c>
      <c r="V78" s="375">
        <v>70</v>
      </c>
      <c r="W78" s="375">
        <v>485</v>
      </c>
      <c r="X78" s="375">
        <v>20</v>
      </c>
      <c r="Y78" s="375">
        <v>30</v>
      </c>
      <c r="Z78" s="454">
        <v>170</v>
      </c>
      <c r="AC78" s="368"/>
      <c r="AD78" s="1100" t="s">
        <v>1143</v>
      </c>
      <c r="AE78" s="1100"/>
      <c r="AF78" s="1100">
        <v>0.15</v>
      </c>
      <c r="AG78" s="1100"/>
      <c r="AH78" s="516"/>
      <c r="AI78" s="516"/>
      <c r="AJ78" s="516"/>
      <c r="AK78" s="516"/>
      <c r="AL78" s="516"/>
      <c r="AM78" s="516"/>
      <c r="AN78" s="516"/>
      <c r="AO78" s="516"/>
      <c r="AP78" s="516"/>
      <c r="AQ78" s="123"/>
      <c r="AR78" s="123"/>
      <c r="AS78" s="123"/>
      <c r="AT78" s="123"/>
      <c r="AU78" s="123"/>
      <c r="AV78" s="123"/>
      <c r="AW78" s="123"/>
      <c r="AX78" s="123"/>
      <c r="AY78" s="123"/>
      <c r="AZ78" s="123"/>
      <c r="BA78" s="123"/>
      <c r="BB78" s="123"/>
      <c r="BC78" s="123"/>
      <c r="BD78" s="123"/>
      <c r="BE78" s="123"/>
      <c r="BF78" s="394" t="s">
        <v>992</v>
      </c>
      <c r="BG78" s="376">
        <v>-150</v>
      </c>
      <c r="BH78" s="377">
        <v>-101.1</v>
      </c>
      <c r="BI78" s="363"/>
      <c r="BJ78" s="403" t="s">
        <v>993</v>
      </c>
      <c r="BK78" s="357">
        <v>15</v>
      </c>
      <c r="BL78" s="357">
        <v>20</v>
      </c>
      <c r="BM78" s="357">
        <v>12</v>
      </c>
      <c r="BN78" s="377">
        <v>16</v>
      </c>
      <c r="BO78" s="123"/>
      <c r="BP78" s="123"/>
      <c r="BQ78" s="123"/>
      <c r="BR78" s="123"/>
    </row>
    <row r="79" spans="18:70" x14ac:dyDescent="0.2">
      <c r="R79" s="1098"/>
      <c r="S79" s="450" t="s">
        <v>1050</v>
      </c>
      <c r="T79" s="375">
        <v>45</v>
      </c>
      <c r="U79" s="375">
        <v>310</v>
      </c>
      <c r="V79" s="375">
        <v>75</v>
      </c>
      <c r="W79" s="375">
        <v>515</v>
      </c>
      <c r="X79" s="375">
        <v>20</v>
      </c>
      <c r="Y79" s="375">
        <v>30</v>
      </c>
      <c r="Z79" s="454" t="s">
        <v>1064</v>
      </c>
      <c r="AC79" s="368"/>
      <c r="AD79" s="1100" t="s">
        <v>1144</v>
      </c>
      <c r="AE79" s="1100"/>
      <c r="AF79" s="1100">
        <v>0.2</v>
      </c>
      <c r="AG79" s="1100"/>
      <c r="AH79" s="516"/>
      <c r="AI79" s="516"/>
      <c r="AJ79" s="516"/>
      <c r="AK79" s="516"/>
      <c r="AL79" s="516"/>
      <c r="AM79" s="516"/>
      <c r="AN79" s="516"/>
      <c r="AO79" s="516"/>
      <c r="AP79" s="516"/>
      <c r="AQ79" s="123"/>
      <c r="AR79" s="123"/>
      <c r="AS79" s="123"/>
      <c r="AT79" s="123"/>
      <c r="AU79" s="123"/>
      <c r="AV79" s="123"/>
      <c r="AW79" s="123"/>
      <c r="AX79" s="123"/>
      <c r="AY79" s="123"/>
      <c r="AZ79" s="123"/>
      <c r="BA79" s="123"/>
      <c r="BB79" s="123"/>
      <c r="BC79" s="123"/>
      <c r="BD79" s="123"/>
      <c r="BE79" s="123"/>
      <c r="BF79" s="394" t="s">
        <v>1003</v>
      </c>
      <c r="BG79" s="376">
        <v>-75</v>
      </c>
      <c r="BH79" s="377">
        <v>-59.4</v>
      </c>
      <c r="BI79" s="363"/>
      <c r="BJ79" s="403" t="s">
        <v>994</v>
      </c>
      <c r="BK79" s="357">
        <v>15</v>
      </c>
      <c r="BL79" s="357">
        <v>20</v>
      </c>
      <c r="BM79" s="357">
        <v>12</v>
      </c>
      <c r="BN79" s="377">
        <v>16</v>
      </c>
      <c r="BO79" s="123"/>
      <c r="BP79" s="123"/>
      <c r="BQ79" s="123"/>
      <c r="BR79" s="123"/>
    </row>
    <row r="80" spans="18:70" x14ac:dyDescent="0.2">
      <c r="R80" s="1098"/>
      <c r="S80" s="450" t="s">
        <v>1079</v>
      </c>
      <c r="T80" s="375">
        <v>60</v>
      </c>
      <c r="U80" s="375">
        <v>415</v>
      </c>
      <c r="V80" s="375" t="s">
        <v>1055</v>
      </c>
      <c r="W80" s="375" t="s">
        <v>1056</v>
      </c>
      <c r="X80" s="375">
        <v>18</v>
      </c>
      <c r="Y80" s="375">
        <v>45</v>
      </c>
      <c r="Z80" s="454" t="s">
        <v>1065</v>
      </c>
      <c r="AC80" s="368"/>
      <c r="AD80" s="1100" t="s">
        <v>1145</v>
      </c>
      <c r="AE80" s="1100"/>
      <c r="AF80" s="1100">
        <v>0.25</v>
      </c>
      <c r="AG80" s="1100"/>
      <c r="AH80" s="516"/>
      <c r="AI80" s="516"/>
      <c r="AJ80" s="516"/>
      <c r="AK80" s="516"/>
      <c r="AL80" s="516"/>
      <c r="AM80" s="516"/>
      <c r="AN80" s="516"/>
      <c r="AO80" s="516"/>
      <c r="AP80" s="516"/>
      <c r="AQ80" s="123"/>
      <c r="AR80" s="123"/>
      <c r="AS80" s="123"/>
      <c r="AT80" s="123"/>
      <c r="AU80" s="123"/>
      <c r="AV80" s="123"/>
      <c r="AW80" s="123"/>
      <c r="AX80" s="123"/>
      <c r="AY80" s="123"/>
      <c r="AZ80" s="123"/>
      <c r="BA80" s="123"/>
      <c r="BB80" s="123"/>
      <c r="BC80" s="123"/>
      <c r="BD80" s="123"/>
      <c r="BE80" s="123"/>
      <c r="BF80" s="394" t="s">
        <v>1004</v>
      </c>
      <c r="BG80" s="376">
        <v>-60</v>
      </c>
      <c r="BH80" s="377">
        <v>-50</v>
      </c>
      <c r="BI80" s="363"/>
      <c r="BJ80" s="403" t="s">
        <v>995</v>
      </c>
      <c r="BK80" s="357">
        <v>15</v>
      </c>
      <c r="BL80" s="357">
        <v>20</v>
      </c>
      <c r="BM80" s="357">
        <v>12</v>
      </c>
      <c r="BN80" s="377">
        <v>16</v>
      </c>
      <c r="BO80" s="123"/>
      <c r="BP80" s="123"/>
      <c r="BQ80" s="123"/>
      <c r="BR80" s="123"/>
    </row>
    <row r="81" spans="18:70" x14ac:dyDescent="0.2">
      <c r="R81" s="1098"/>
      <c r="S81" s="450" t="s">
        <v>1051</v>
      </c>
      <c r="T81" s="375">
        <v>30</v>
      </c>
      <c r="U81" s="375">
        <v>205</v>
      </c>
      <c r="V81" s="375">
        <v>60</v>
      </c>
      <c r="W81" s="375">
        <v>415</v>
      </c>
      <c r="X81" s="375">
        <v>20</v>
      </c>
      <c r="Y81" s="375">
        <v>35</v>
      </c>
      <c r="Z81" s="454">
        <v>170</v>
      </c>
      <c r="AC81" s="368" t="s">
        <v>213</v>
      </c>
      <c r="AD81" s="1100">
        <v>1</v>
      </c>
      <c r="AE81" s="1100"/>
      <c r="AF81" s="1100">
        <v>0.03</v>
      </c>
      <c r="AG81" s="1100"/>
      <c r="AH81" s="516"/>
      <c r="AI81" s="516"/>
      <c r="AJ81" s="516"/>
      <c r="AK81" s="516"/>
      <c r="AL81" s="516"/>
      <c r="AM81" s="516"/>
      <c r="AN81" s="516"/>
      <c r="AO81" s="516"/>
      <c r="AP81" s="516"/>
      <c r="AQ81" s="123"/>
      <c r="AR81" s="123"/>
      <c r="AS81" s="123"/>
      <c r="AT81" s="123"/>
      <c r="AU81" s="123"/>
      <c r="AV81" s="123"/>
      <c r="AW81" s="123"/>
      <c r="AX81" s="123"/>
      <c r="AY81" s="123"/>
      <c r="AZ81" s="123"/>
      <c r="BA81" s="123"/>
      <c r="BB81" s="123"/>
      <c r="BC81" s="123"/>
      <c r="BD81" s="123"/>
      <c r="BE81" s="123"/>
      <c r="BF81" s="394" t="s">
        <v>1005</v>
      </c>
      <c r="BG81" s="376">
        <v>0</v>
      </c>
      <c r="BH81" s="377">
        <v>-18</v>
      </c>
      <c r="BI81" s="123"/>
      <c r="BJ81" s="403" t="s">
        <v>996</v>
      </c>
      <c r="BK81" s="357">
        <v>20</v>
      </c>
      <c r="BL81" s="357">
        <v>27</v>
      </c>
      <c r="BM81" s="357">
        <v>15</v>
      </c>
      <c r="BN81" s="377">
        <v>20</v>
      </c>
      <c r="BO81" s="123"/>
      <c r="BP81" s="123"/>
      <c r="BQ81" s="123"/>
      <c r="BR81" s="123"/>
    </row>
    <row r="82" spans="18:70" x14ac:dyDescent="0.2">
      <c r="R82" s="1098"/>
      <c r="S82" s="450" t="s">
        <v>1052</v>
      </c>
      <c r="T82" s="375">
        <v>45</v>
      </c>
      <c r="U82" s="375">
        <v>310</v>
      </c>
      <c r="V82" s="375">
        <v>75</v>
      </c>
      <c r="W82" s="375">
        <v>515</v>
      </c>
      <c r="X82" s="375">
        <v>20</v>
      </c>
      <c r="Y82" s="375">
        <v>30</v>
      </c>
      <c r="Z82" s="454" t="s">
        <v>1064</v>
      </c>
      <c r="AC82" s="368"/>
      <c r="AD82" s="1100" t="s">
        <v>1141</v>
      </c>
      <c r="AE82" s="1100"/>
      <c r="AF82" s="1100">
        <v>7.0000000000000007E-2</v>
      </c>
      <c r="AG82" s="1100"/>
      <c r="AH82" s="516"/>
      <c r="AI82" s="516"/>
      <c r="AJ82" s="516"/>
      <c r="AK82" s="516"/>
      <c r="AL82" s="516"/>
      <c r="AM82" s="516"/>
      <c r="AN82" s="516"/>
      <c r="AO82" s="516"/>
      <c r="AP82" s="516"/>
      <c r="AQ82" s="123"/>
      <c r="AR82" s="123"/>
      <c r="AS82" s="123"/>
      <c r="AT82" s="123"/>
      <c r="AU82" s="123"/>
      <c r="AV82" s="123"/>
      <c r="AW82" s="123"/>
      <c r="AX82" s="123"/>
      <c r="AY82" s="123"/>
      <c r="AZ82" s="123"/>
      <c r="BA82" s="123"/>
      <c r="BB82" s="123"/>
      <c r="BC82" s="123"/>
      <c r="BD82" s="123"/>
      <c r="BE82" s="123"/>
      <c r="BF82" s="394" t="s">
        <v>976</v>
      </c>
      <c r="BG82" s="376">
        <v>-100</v>
      </c>
      <c r="BH82" s="377">
        <v>-73.3</v>
      </c>
      <c r="BI82" s="123"/>
      <c r="BJ82" s="403" t="s">
        <v>997</v>
      </c>
      <c r="BK82" s="357">
        <v>20</v>
      </c>
      <c r="BL82" s="357">
        <v>27</v>
      </c>
      <c r="BM82" s="357">
        <v>15</v>
      </c>
      <c r="BN82" s="377">
        <v>20</v>
      </c>
      <c r="BO82" s="123"/>
      <c r="BP82" s="123"/>
      <c r="BQ82" s="123"/>
      <c r="BR82" s="123"/>
    </row>
    <row r="83" spans="18:70" x14ac:dyDescent="0.2">
      <c r="R83" s="1098"/>
      <c r="S83" s="450" t="s">
        <v>1053</v>
      </c>
      <c r="T83" s="375">
        <v>60</v>
      </c>
      <c r="U83" s="375">
        <v>415</v>
      </c>
      <c r="V83" s="375" t="s">
        <v>1055</v>
      </c>
      <c r="W83" s="375" t="s">
        <v>1057</v>
      </c>
      <c r="X83" s="375">
        <v>18</v>
      </c>
      <c r="Y83" s="375">
        <v>45</v>
      </c>
      <c r="Z83" s="454" t="s">
        <v>1065</v>
      </c>
      <c r="AC83" s="368"/>
      <c r="AD83" s="1100" t="s">
        <v>1146</v>
      </c>
      <c r="AE83" s="1100"/>
      <c r="AF83" s="1100">
        <v>0.1</v>
      </c>
      <c r="AG83" s="1100"/>
      <c r="AH83" s="516"/>
      <c r="AI83" s="516"/>
      <c r="AJ83" s="516"/>
      <c r="AK83" s="516"/>
      <c r="AL83" s="516"/>
      <c r="AM83" s="516"/>
      <c r="AN83" s="516"/>
      <c r="AO83" s="516"/>
      <c r="AP83" s="516"/>
      <c r="AQ83" s="123"/>
      <c r="AR83" s="123"/>
      <c r="AS83" s="123"/>
      <c r="AT83" s="123"/>
      <c r="AU83" s="123"/>
      <c r="AV83" s="123"/>
      <c r="AW83" s="123"/>
      <c r="AX83" s="123"/>
      <c r="AY83" s="123"/>
      <c r="AZ83" s="123"/>
      <c r="BA83" s="123"/>
      <c r="BB83" s="123"/>
      <c r="BC83" s="123"/>
      <c r="BD83" s="123"/>
      <c r="BE83" s="123"/>
      <c r="BF83" s="394" t="s">
        <v>1006</v>
      </c>
      <c r="BG83" s="376">
        <v>-75</v>
      </c>
      <c r="BH83" s="377">
        <v>-50</v>
      </c>
      <c r="BI83" s="123"/>
      <c r="BJ83" s="406" t="s">
        <v>998</v>
      </c>
      <c r="BK83" s="401">
        <v>20</v>
      </c>
      <c r="BL83" s="401">
        <v>27</v>
      </c>
      <c r="BM83" s="401">
        <v>15</v>
      </c>
      <c r="BN83" s="402">
        <v>20</v>
      </c>
      <c r="BO83" s="123"/>
      <c r="BP83" s="123"/>
      <c r="BQ83" s="123"/>
      <c r="BR83" s="123"/>
    </row>
    <row r="84" spans="18:70" x14ac:dyDescent="0.2">
      <c r="R84" s="1099"/>
      <c r="S84" s="450" t="s">
        <v>1054</v>
      </c>
      <c r="T84" s="375">
        <v>46</v>
      </c>
      <c r="U84" s="375">
        <v>315</v>
      </c>
      <c r="V84" s="375">
        <v>63</v>
      </c>
      <c r="W84" s="375">
        <v>435</v>
      </c>
      <c r="X84" s="375">
        <v>25</v>
      </c>
      <c r="Y84" s="375">
        <v>38</v>
      </c>
      <c r="Z84" s="454">
        <v>197</v>
      </c>
      <c r="AC84" s="368"/>
      <c r="AD84" s="1100" t="s">
        <v>1147</v>
      </c>
      <c r="AE84" s="1100"/>
      <c r="AF84" s="1100">
        <v>0.15</v>
      </c>
      <c r="AG84" s="1100"/>
      <c r="AH84" s="516"/>
      <c r="AI84" s="516"/>
      <c r="AJ84" s="516"/>
      <c r="AK84" s="516"/>
      <c r="AL84" s="516"/>
      <c r="AM84" s="516"/>
      <c r="AN84" s="516"/>
      <c r="AO84" s="516"/>
      <c r="AP84" s="516"/>
      <c r="AQ84" s="123"/>
      <c r="AR84" s="123"/>
      <c r="AS84" s="123"/>
      <c r="AT84" s="123"/>
      <c r="AU84" s="123"/>
      <c r="AV84" s="123"/>
      <c r="AW84" s="123"/>
      <c r="AX84" s="123"/>
      <c r="AY84" s="123"/>
      <c r="AZ84" s="123"/>
      <c r="BA84" s="123"/>
      <c r="BB84" s="123"/>
      <c r="BC84" s="123"/>
      <c r="BD84" s="123"/>
      <c r="BE84" s="123"/>
      <c r="BF84" s="398" t="s">
        <v>1007</v>
      </c>
      <c r="BG84" s="401">
        <v>-100</v>
      </c>
      <c r="BH84" s="402">
        <v>-73</v>
      </c>
      <c r="BI84" s="123"/>
      <c r="BJ84" s="123" t="s">
        <v>1029</v>
      </c>
      <c r="BK84" s="123"/>
      <c r="BL84" s="123"/>
      <c r="BM84" s="123"/>
      <c r="BN84" s="123"/>
      <c r="BO84" s="123"/>
      <c r="BP84" s="123"/>
      <c r="BQ84" s="123"/>
      <c r="BR84" s="123"/>
    </row>
    <row r="85" spans="18:70" x14ac:dyDescent="0.2">
      <c r="R85" s="1088" t="s">
        <v>1066</v>
      </c>
      <c r="S85" s="451" t="s">
        <v>1067</v>
      </c>
      <c r="T85" s="367">
        <v>40</v>
      </c>
      <c r="U85" s="367">
        <v>275</v>
      </c>
      <c r="V85" s="367">
        <v>70</v>
      </c>
      <c r="W85" s="367">
        <v>485</v>
      </c>
      <c r="X85" s="367">
        <v>18</v>
      </c>
      <c r="Y85" s="367">
        <v>35</v>
      </c>
      <c r="Z85" s="455" t="s">
        <v>1063</v>
      </c>
      <c r="AC85" s="368"/>
      <c r="AD85" s="1100" t="s">
        <v>1148</v>
      </c>
      <c r="AE85" s="1100"/>
      <c r="AF85" s="1100">
        <v>0.2</v>
      </c>
      <c r="AG85" s="1100"/>
      <c r="AH85" s="516"/>
      <c r="AI85" s="516"/>
      <c r="AJ85" s="516"/>
      <c r="AK85" s="516"/>
      <c r="AL85" s="516"/>
      <c r="AM85" s="516"/>
      <c r="AN85" s="516"/>
      <c r="AO85" s="516"/>
      <c r="AP85" s="516"/>
      <c r="AQ85" s="123"/>
      <c r="AR85" s="123"/>
      <c r="AS85" s="123"/>
      <c r="AT85" s="123"/>
      <c r="AU85" s="123"/>
      <c r="AV85" s="123"/>
      <c r="AW85" s="123"/>
      <c r="AX85" s="123"/>
      <c r="AY85" s="123"/>
      <c r="AZ85" s="123"/>
      <c r="BA85" s="123"/>
      <c r="BB85" s="123"/>
      <c r="BC85" s="123"/>
      <c r="BD85" s="123"/>
      <c r="BE85" s="123"/>
      <c r="BF85" s="123"/>
      <c r="BG85" s="123"/>
      <c r="BH85" s="123"/>
      <c r="BI85" s="123"/>
      <c r="BJ85" s="404" t="s">
        <v>1010</v>
      </c>
      <c r="BK85" s="371" t="s">
        <v>1174</v>
      </c>
      <c r="BL85" s="405" t="s">
        <v>1175</v>
      </c>
      <c r="BM85" s="409" t="s">
        <v>1176</v>
      </c>
      <c r="BN85" s="385" t="s">
        <v>1177</v>
      </c>
      <c r="BO85" s="123"/>
      <c r="BP85" s="123"/>
      <c r="BQ85" s="123"/>
      <c r="BR85" s="123"/>
    </row>
    <row r="86" spans="18:70" x14ac:dyDescent="0.2">
      <c r="R86" s="1089"/>
      <c r="S86" s="451" t="s">
        <v>1068</v>
      </c>
      <c r="T86" s="367">
        <v>55</v>
      </c>
      <c r="U86" s="367">
        <v>380</v>
      </c>
      <c r="V86" s="367">
        <v>85</v>
      </c>
      <c r="W86" s="367">
        <v>585</v>
      </c>
      <c r="X86" s="367">
        <v>18</v>
      </c>
      <c r="Y86" s="367">
        <v>35</v>
      </c>
      <c r="Z86" s="456" t="s">
        <v>1075</v>
      </c>
      <c r="AC86" s="368" t="s">
        <v>220</v>
      </c>
      <c r="AD86" s="1100">
        <v>0.2</v>
      </c>
      <c r="AE86" s="1100"/>
      <c r="AF86" s="1100">
        <v>0.01</v>
      </c>
      <c r="AG86" s="1100"/>
      <c r="AH86" s="516"/>
      <c r="AI86" s="516"/>
      <c r="AJ86" s="516"/>
      <c r="AK86" s="516"/>
      <c r="AL86" s="516"/>
      <c r="AM86" s="516"/>
      <c r="AN86" s="516"/>
      <c r="AO86" s="516"/>
      <c r="AP86" s="516"/>
      <c r="AQ86" s="123"/>
      <c r="AR86" s="123"/>
      <c r="AS86" s="123"/>
      <c r="AT86" s="123"/>
      <c r="AU86" s="123"/>
      <c r="AV86" s="123"/>
      <c r="AW86" s="123"/>
      <c r="AX86" s="123"/>
      <c r="AY86" s="123"/>
      <c r="AZ86" s="123"/>
      <c r="BA86" s="123"/>
      <c r="BB86" s="123"/>
      <c r="BC86" s="123"/>
      <c r="BD86" s="123"/>
      <c r="BE86" s="123"/>
      <c r="BF86" s="123" t="s">
        <v>1009</v>
      </c>
      <c r="BG86" s="123"/>
      <c r="BH86" s="123"/>
      <c r="BI86" s="123"/>
      <c r="BJ86" s="378" t="s">
        <v>1011</v>
      </c>
      <c r="BK86" s="361">
        <v>394</v>
      </c>
      <c r="BL86" s="377">
        <v>10</v>
      </c>
      <c r="BM86" s="361">
        <v>0</v>
      </c>
      <c r="BN86" s="361">
        <v>0</v>
      </c>
      <c r="BO86" s="123"/>
      <c r="BP86" s="123"/>
      <c r="BQ86" s="123"/>
      <c r="BR86" s="123"/>
    </row>
    <row r="87" spans="18:70" ht="15" customHeight="1" x14ac:dyDescent="0.2">
      <c r="R87" s="1089"/>
      <c r="S87" s="451" t="s">
        <v>1069</v>
      </c>
      <c r="T87" s="367">
        <v>85</v>
      </c>
      <c r="U87" s="367">
        <v>585</v>
      </c>
      <c r="V87" s="367">
        <v>110</v>
      </c>
      <c r="W87" s="367">
        <v>760</v>
      </c>
      <c r="X87" s="367">
        <v>15</v>
      </c>
      <c r="Y87" s="367">
        <v>35</v>
      </c>
      <c r="Z87" s="456" t="s">
        <v>1076</v>
      </c>
      <c r="AC87" s="368"/>
      <c r="AD87" s="1100" t="s">
        <v>1149</v>
      </c>
      <c r="AE87" s="1100"/>
      <c r="AF87" s="1100">
        <v>0.03</v>
      </c>
      <c r="AG87" s="1100"/>
      <c r="AH87" s="516"/>
      <c r="AI87" s="516"/>
      <c r="AJ87" s="516"/>
      <c r="AK87" s="516"/>
      <c r="AL87" s="516"/>
      <c r="AM87" s="516"/>
      <c r="AN87" s="516"/>
      <c r="AO87" s="516"/>
      <c r="AP87" s="516"/>
      <c r="AQ87" s="123"/>
      <c r="AR87" s="123"/>
      <c r="AS87" s="123"/>
      <c r="AT87" s="123"/>
      <c r="AU87" s="123"/>
      <c r="AV87" s="123"/>
      <c r="AW87" s="123"/>
      <c r="AX87" s="123"/>
      <c r="AY87" s="123"/>
      <c r="AZ87" s="123"/>
      <c r="BA87" s="123"/>
      <c r="BB87" s="123"/>
      <c r="BC87" s="123"/>
      <c r="BD87" s="123"/>
      <c r="BE87" s="123"/>
      <c r="BF87" s="415" t="s">
        <v>1178</v>
      </c>
      <c r="BG87" s="415" t="s">
        <v>1179</v>
      </c>
      <c r="BH87" s="123"/>
      <c r="BI87" s="123"/>
      <c r="BJ87" s="378" t="s">
        <v>1011</v>
      </c>
      <c r="BK87" s="361" t="s">
        <v>1012</v>
      </c>
      <c r="BL87" s="377">
        <v>9</v>
      </c>
      <c r="BM87" s="361">
        <v>0</v>
      </c>
      <c r="BN87" s="361">
        <v>0</v>
      </c>
      <c r="BO87" s="123"/>
      <c r="BP87" s="123"/>
      <c r="BQ87" s="123"/>
      <c r="BR87" s="123"/>
    </row>
    <row r="88" spans="18:70" ht="15" customHeight="1" x14ac:dyDescent="0.2">
      <c r="R88" s="1089"/>
      <c r="S88" s="451" t="s">
        <v>1070</v>
      </c>
      <c r="T88" s="367">
        <v>110</v>
      </c>
      <c r="U88" s="367">
        <v>760</v>
      </c>
      <c r="V88" s="367">
        <v>130</v>
      </c>
      <c r="W88" s="367">
        <v>895</v>
      </c>
      <c r="X88" s="367">
        <v>12</v>
      </c>
      <c r="Y88" s="367">
        <v>35</v>
      </c>
      <c r="Z88" s="456" t="s">
        <v>1077</v>
      </c>
      <c r="AC88" s="368"/>
      <c r="AD88" s="1100" t="s">
        <v>1150</v>
      </c>
      <c r="AE88" s="1100"/>
      <c r="AF88" s="1100">
        <v>0.05</v>
      </c>
      <c r="AG88" s="1100"/>
      <c r="AH88" s="516"/>
      <c r="AI88" s="516"/>
      <c r="AJ88" s="516"/>
      <c r="AK88" s="516"/>
      <c r="AL88" s="516"/>
      <c r="AM88" s="516"/>
      <c r="AN88" s="516"/>
      <c r="AO88" s="516"/>
      <c r="AP88" s="516"/>
      <c r="AQ88" s="123"/>
      <c r="AR88" s="123"/>
      <c r="AS88" s="123"/>
      <c r="AT88" s="123"/>
      <c r="AU88" s="123"/>
      <c r="AV88" s="123"/>
      <c r="AW88" s="123"/>
      <c r="AX88" s="123"/>
      <c r="AY88" s="123"/>
      <c r="AZ88" s="123"/>
      <c r="BA88" s="123"/>
      <c r="BB88" s="123"/>
      <c r="BC88" s="123"/>
      <c r="BD88" s="123"/>
      <c r="BE88" s="123"/>
      <c r="BF88" s="378">
        <v>15</v>
      </c>
      <c r="BG88" s="377">
        <v>20</v>
      </c>
      <c r="BH88" s="123"/>
      <c r="BI88" s="123"/>
      <c r="BJ88" s="378" t="s">
        <v>1011</v>
      </c>
      <c r="BK88" s="361" t="s">
        <v>1013</v>
      </c>
      <c r="BL88" s="377">
        <v>8</v>
      </c>
      <c r="BM88" s="361">
        <v>0</v>
      </c>
      <c r="BN88" s="361">
        <v>0</v>
      </c>
      <c r="BO88" s="123"/>
      <c r="BP88" s="123"/>
      <c r="BQ88" s="123"/>
      <c r="BR88" s="123"/>
    </row>
    <row r="89" spans="18:70" x14ac:dyDescent="0.2">
      <c r="R89" s="1089"/>
      <c r="S89" s="451" t="s">
        <v>1071</v>
      </c>
      <c r="T89" s="367">
        <v>90</v>
      </c>
      <c r="U89" s="367">
        <v>620</v>
      </c>
      <c r="V89" s="373" t="s">
        <v>1073</v>
      </c>
      <c r="W89" s="373" t="s">
        <v>1074</v>
      </c>
      <c r="X89" s="367">
        <v>16</v>
      </c>
      <c r="Y89" s="367">
        <v>45</v>
      </c>
      <c r="Z89" s="456" t="s">
        <v>1078</v>
      </c>
      <c r="AC89" s="368"/>
      <c r="AD89" s="1100" t="s">
        <v>1151</v>
      </c>
      <c r="AE89" s="1100"/>
      <c r="AF89" s="1100">
        <v>0.1</v>
      </c>
      <c r="AG89" s="1100"/>
      <c r="AH89" s="516"/>
      <c r="AI89" s="516"/>
      <c r="AJ89" s="516"/>
      <c r="AK89" s="516"/>
      <c r="AL89" s="516"/>
      <c r="AM89" s="516"/>
      <c r="AN89" s="516"/>
      <c r="AO89" s="516"/>
      <c r="AP89" s="516"/>
      <c r="AQ89" s="123"/>
      <c r="AR89" s="123"/>
      <c r="AS89" s="123"/>
      <c r="AT89" s="123"/>
      <c r="AU89" s="123"/>
      <c r="AV89" s="123"/>
      <c r="AW89" s="123"/>
      <c r="AX89" s="123"/>
      <c r="AY89" s="123"/>
      <c r="AZ89" s="123"/>
      <c r="BA89" s="123"/>
      <c r="BB89" s="123"/>
      <c r="BC89" s="123"/>
      <c r="BD89" s="123"/>
      <c r="BE89" s="123"/>
      <c r="BF89" s="378">
        <v>13</v>
      </c>
      <c r="BG89" s="377">
        <v>18</v>
      </c>
      <c r="BH89" s="123"/>
      <c r="BI89" s="123"/>
      <c r="BJ89" s="378" t="s">
        <v>1014</v>
      </c>
      <c r="BK89" s="361" t="s">
        <v>1019</v>
      </c>
      <c r="BL89" s="407">
        <v>7.5</v>
      </c>
      <c r="BM89" s="361">
        <v>5</v>
      </c>
      <c r="BN89" s="361">
        <v>3</v>
      </c>
      <c r="BO89" s="123"/>
      <c r="BP89" s="123"/>
      <c r="BQ89" s="123"/>
      <c r="BR89" s="123"/>
    </row>
    <row r="90" spans="18:70" x14ac:dyDescent="0.2">
      <c r="R90" s="1090"/>
      <c r="S90" s="451" t="s">
        <v>1072</v>
      </c>
      <c r="T90" s="367">
        <v>90</v>
      </c>
      <c r="U90" s="367">
        <v>620</v>
      </c>
      <c r="V90" s="367">
        <v>115</v>
      </c>
      <c r="W90" s="367">
        <v>790</v>
      </c>
      <c r="X90" s="367">
        <v>15</v>
      </c>
      <c r="Y90" s="367">
        <v>45</v>
      </c>
      <c r="Z90" s="456">
        <v>295</v>
      </c>
      <c r="AC90" s="368" t="s">
        <v>224</v>
      </c>
      <c r="AD90" s="1100" t="s">
        <v>1152</v>
      </c>
      <c r="AE90" s="1100"/>
      <c r="AF90" s="1100">
        <v>0.05</v>
      </c>
      <c r="AG90" s="1100"/>
      <c r="AH90" s="516"/>
      <c r="AI90" s="516"/>
      <c r="AJ90" s="516"/>
      <c r="AK90" s="516"/>
      <c r="AL90" s="516"/>
      <c r="AM90" s="516"/>
      <c r="AN90" s="516"/>
      <c r="AO90" s="516"/>
      <c r="AP90" s="516"/>
      <c r="AQ90" s="123"/>
      <c r="AR90" s="123"/>
      <c r="AS90" s="123"/>
      <c r="AT90" s="123"/>
      <c r="AU90" s="123"/>
      <c r="AV90" s="123"/>
      <c r="AW90" s="123"/>
      <c r="AX90" s="123"/>
      <c r="AY90" s="123"/>
      <c r="AZ90" s="123"/>
      <c r="BA90" s="123"/>
      <c r="BB90" s="123"/>
      <c r="BC90" s="123"/>
      <c r="BD90" s="123"/>
      <c r="BE90" s="123"/>
      <c r="BF90" s="378">
        <v>12</v>
      </c>
      <c r="BG90" s="377">
        <v>16</v>
      </c>
      <c r="BH90" s="123"/>
      <c r="BI90" s="123"/>
      <c r="BJ90" s="378" t="s">
        <v>1014</v>
      </c>
      <c r="BK90" s="361" t="s">
        <v>1020</v>
      </c>
      <c r="BL90" s="377">
        <v>7</v>
      </c>
      <c r="BM90" s="361">
        <v>8</v>
      </c>
      <c r="BN90" s="361">
        <v>5</v>
      </c>
      <c r="BO90" s="123"/>
      <c r="BP90" s="123"/>
      <c r="BQ90" s="123"/>
      <c r="BR90" s="123"/>
    </row>
    <row r="91" spans="18:70" x14ac:dyDescent="0.2">
      <c r="R91" s="1091" t="s">
        <v>1083</v>
      </c>
      <c r="S91" s="451" t="s">
        <v>1080</v>
      </c>
      <c r="T91" s="367">
        <v>35</v>
      </c>
      <c r="U91" s="367">
        <v>240</v>
      </c>
      <c r="V91" s="367">
        <v>60</v>
      </c>
      <c r="W91" s="367">
        <v>415</v>
      </c>
      <c r="X91" s="367">
        <v>20</v>
      </c>
      <c r="Y91" s="367">
        <v>45</v>
      </c>
      <c r="Z91" s="456">
        <v>190</v>
      </c>
      <c r="AC91" s="368" t="s">
        <v>1129</v>
      </c>
      <c r="AD91" s="1100" t="s">
        <v>1152</v>
      </c>
      <c r="AE91" s="1100"/>
      <c r="AF91" s="1100">
        <v>0.05</v>
      </c>
      <c r="AG91" s="1100"/>
      <c r="AH91" s="516"/>
      <c r="AI91" s="516"/>
      <c r="AJ91" s="516"/>
      <c r="AK91" s="516"/>
      <c r="AL91" s="516"/>
      <c r="AM91" s="516"/>
      <c r="AN91" s="516"/>
      <c r="AO91" s="516"/>
      <c r="AP91" s="516"/>
      <c r="AQ91" s="123"/>
      <c r="AR91" s="123"/>
      <c r="AS91" s="123"/>
      <c r="AT91" s="123"/>
      <c r="AU91" s="123"/>
      <c r="AV91" s="123"/>
      <c r="AW91" s="123"/>
      <c r="AX91" s="123"/>
      <c r="AY91" s="123"/>
      <c r="AZ91" s="123"/>
      <c r="BA91" s="123"/>
      <c r="BB91" s="123"/>
      <c r="BC91" s="123"/>
      <c r="BD91" s="123"/>
      <c r="BE91" s="123"/>
      <c r="BF91" s="408">
        <v>10</v>
      </c>
      <c r="BG91" s="402">
        <v>14</v>
      </c>
      <c r="BH91" s="123"/>
      <c r="BI91" s="123"/>
      <c r="BJ91" s="378" t="s">
        <v>1015</v>
      </c>
      <c r="BK91" s="361" t="s">
        <v>1021</v>
      </c>
      <c r="BL91" s="377">
        <v>6.67</v>
      </c>
      <c r="BM91" s="361">
        <v>10</v>
      </c>
      <c r="BN91" s="361">
        <v>6</v>
      </c>
      <c r="BO91" s="123"/>
      <c r="BP91" s="123"/>
      <c r="BQ91" s="123"/>
      <c r="BR91" s="123"/>
    </row>
    <row r="92" spans="18:70" x14ac:dyDescent="0.2">
      <c r="R92" s="1092"/>
      <c r="S92" s="451" t="s">
        <v>1081</v>
      </c>
      <c r="T92" s="367">
        <v>35</v>
      </c>
      <c r="U92" s="367">
        <v>240</v>
      </c>
      <c r="V92" s="367">
        <v>60</v>
      </c>
      <c r="W92" s="367">
        <v>415</v>
      </c>
      <c r="X92" s="367">
        <v>20</v>
      </c>
      <c r="Y92" s="367">
        <v>45</v>
      </c>
      <c r="Z92" s="456">
        <v>190</v>
      </c>
      <c r="AC92" s="368" t="s">
        <v>1130</v>
      </c>
      <c r="AD92" s="1100">
        <v>0.1</v>
      </c>
      <c r="AE92" s="1100"/>
      <c r="AF92" s="1100">
        <v>0.02</v>
      </c>
      <c r="AG92" s="1100"/>
      <c r="AH92" s="516"/>
      <c r="AI92" s="516"/>
      <c r="AJ92" s="516"/>
      <c r="AK92" s="516"/>
      <c r="AL92" s="516"/>
      <c r="AM92" s="516"/>
      <c r="AN92" s="516"/>
      <c r="AO92" s="516"/>
      <c r="AP92" s="516"/>
      <c r="AQ92" s="123"/>
      <c r="AR92" s="123"/>
      <c r="AS92" s="123"/>
      <c r="AT92" s="123"/>
      <c r="AU92" s="123"/>
      <c r="AV92" s="123"/>
      <c r="AW92" s="123"/>
      <c r="AX92" s="123"/>
      <c r="AY92" s="123"/>
      <c r="AZ92" s="123"/>
      <c r="BA92" s="123"/>
      <c r="BB92" s="123"/>
      <c r="BC92" s="123"/>
      <c r="BD92" s="123"/>
      <c r="BE92" s="123"/>
      <c r="BG92" s="123"/>
      <c r="BH92" s="123"/>
      <c r="BI92" s="123"/>
      <c r="BJ92" s="378" t="s">
        <v>1015</v>
      </c>
      <c r="BK92" s="361" t="s">
        <v>1022</v>
      </c>
      <c r="BL92" s="377">
        <v>6</v>
      </c>
      <c r="BM92" s="361">
        <v>15</v>
      </c>
      <c r="BN92" s="361">
        <v>8</v>
      </c>
      <c r="BO92" s="123"/>
      <c r="BP92" s="123"/>
      <c r="BQ92" s="123"/>
      <c r="BR92" s="123"/>
    </row>
    <row r="93" spans="18:70" x14ac:dyDescent="0.2">
      <c r="R93" s="1093"/>
      <c r="S93" s="451" t="s">
        <v>1082</v>
      </c>
      <c r="T93" s="367">
        <v>35</v>
      </c>
      <c r="U93" s="367">
        <v>240</v>
      </c>
      <c r="V93" s="367">
        <v>60</v>
      </c>
      <c r="W93" s="367">
        <v>415</v>
      </c>
      <c r="X93" s="367">
        <v>20</v>
      </c>
      <c r="Y93" s="367">
        <v>45</v>
      </c>
      <c r="Z93" s="456">
        <v>190</v>
      </c>
      <c r="AC93" s="368" t="s">
        <v>1131</v>
      </c>
      <c r="AD93" s="1100" t="s">
        <v>1153</v>
      </c>
      <c r="AE93" s="1100"/>
      <c r="AF93" s="1100">
        <v>0.01</v>
      </c>
      <c r="AG93" s="1100"/>
      <c r="AH93" s="516"/>
      <c r="AI93" s="516"/>
      <c r="AJ93" s="516"/>
      <c r="AK93" s="516"/>
      <c r="AL93" s="516"/>
      <c r="AM93" s="516"/>
      <c r="AN93" s="516"/>
      <c r="AO93" s="516"/>
      <c r="AP93" s="516"/>
      <c r="AQ93" s="123"/>
      <c r="AR93" s="123"/>
      <c r="AS93" s="123"/>
      <c r="AT93" s="123"/>
      <c r="AU93" s="123"/>
      <c r="AV93" s="123"/>
      <c r="AW93" s="123"/>
      <c r="AX93" s="123"/>
      <c r="AY93" s="123"/>
      <c r="AZ93" s="123"/>
      <c r="BA93" s="123"/>
      <c r="BB93" s="123"/>
      <c r="BC93" s="123"/>
      <c r="BD93" s="123"/>
      <c r="BE93" s="123"/>
      <c r="BF93" s="123" t="s">
        <v>1028</v>
      </c>
      <c r="BG93" s="359"/>
      <c r="BH93" s="355"/>
      <c r="BI93" s="123"/>
      <c r="BJ93" s="378" t="s">
        <v>1016</v>
      </c>
      <c r="BK93" s="361" t="s">
        <v>1023</v>
      </c>
      <c r="BL93" s="377">
        <v>5</v>
      </c>
      <c r="BM93" s="361">
        <v>20</v>
      </c>
      <c r="BN93" s="361">
        <v>11</v>
      </c>
      <c r="BO93" s="123"/>
      <c r="BP93" s="123"/>
      <c r="BQ93" s="123"/>
      <c r="BR93" s="123"/>
    </row>
    <row r="94" spans="18:70" ht="15" customHeight="1" x14ac:dyDescent="0.2">
      <c r="R94" s="1094" t="s">
        <v>1084</v>
      </c>
      <c r="S94" s="451" t="s">
        <v>1085</v>
      </c>
      <c r="T94" s="367">
        <v>30</v>
      </c>
      <c r="U94" s="367">
        <v>205</v>
      </c>
      <c r="V94" s="367">
        <v>75</v>
      </c>
      <c r="W94" s="367">
        <v>515</v>
      </c>
      <c r="X94" s="367">
        <v>30</v>
      </c>
      <c r="Y94" s="367">
        <v>50</v>
      </c>
      <c r="Z94" s="457"/>
      <c r="AC94" s="368" t="s">
        <v>913</v>
      </c>
      <c r="AD94" s="1100">
        <v>0.19</v>
      </c>
      <c r="AE94" s="1100"/>
      <c r="AF94" s="1100">
        <v>0.01</v>
      </c>
      <c r="AG94" s="1100"/>
      <c r="AH94" s="516"/>
      <c r="AI94" s="516"/>
      <c r="AJ94" s="516"/>
      <c r="AK94" s="516"/>
      <c r="AL94" s="516"/>
      <c r="AM94" s="516"/>
      <c r="AN94" s="516"/>
      <c r="AO94" s="516"/>
      <c r="AP94" s="516"/>
      <c r="AQ94" s="123"/>
      <c r="AR94" s="123"/>
      <c r="AS94" s="123"/>
      <c r="AT94" s="123"/>
      <c r="AU94" s="123"/>
      <c r="AV94" s="123"/>
      <c r="AW94" s="123"/>
      <c r="AX94" s="123"/>
      <c r="AY94" s="123"/>
      <c r="AZ94" s="123"/>
      <c r="BA94" s="123"/>
      <c r="BB94" s="123"/>
      <c r="BC94" s="123"/>
      <c r="BD94" s="123"/>
      <c r="BE94" s="123"/>
      <c r="BF94" s="404" t="s">
        <v>141</v>
      </c>
      <c r="BG94" s="371" t="s">
        <v>1180</v>
      </c>
      <c r="BH94" s="405" t="s">
        <v>1181</v>
      </c>
      <c r="BI94" s="123"/>
      <c r="BJ94" s="378" t="s">
        <v>1016</v>
      </c>
      <c r="BK94" s="361" t="s">
        <v>1024</v>
      </c>
      <c r="BL94" s="377">
        <v>4</v>
      </c>
      <c r="BM94" s="361">
        <v>30</v>
      </c>
      <c r="BN94" s="361">
        <v>17</v>
      </c>
      <c r="BO94" s="123"/>
      <c r="BP94" s="123"/>
      <c r="BQ94" s="519"/>
      <c r="BR94" s="519"/>
    </row>
    <row r="95" spans="18:70" x14ac:dyDescent="0.2">
      <c r="R95" s="1095"/>
      <c r="S95" s="451" t="s">
        <v>1086</v>
      </c>
      <c r="T95" s="367">
        <v>30</v>
      </c>
      <c r="U95" s="367">
        <v>205</v>
      </c>
      <c r="V95" s="367">
        <v>75</v>
      </c>
      <c r="W95" s="367">
        <v>515</v>
      </c>
      <c r="X95" s="367">
        <v>30</v>
      </c>
      <c r="Y95" s="367">
        <v>50</v>
      </c>
      <c r="Z95" s="457"/>
      <c r="AC95" s="368"/>
      <c r="AD95" s="1100" t="s">
        <v>1154</v>
      </c>
      <c r="AE95" s="1100"/>
      <c r="AF95" s="1100">
        <v>0.02</v>
      </c>
      <c r="AG95" s="1100"/>
      <c r="AH95" s="516"/>
      <c r="AI95" s="516"/>
      <c r="AJ95" s="516"/>
      <c r="AK95" s="516"/>
      <c r="AL95" s="516"/>
      <c r="AM95" s="516"/>
      <c r="AN95" s="516"/>
      <c r="AO95" s="516"/>
      <c r="AP95" s="516"/>
      <c r="AQ95" s="123"/>
      <c r="AR95" s="123"/>
      <c r="AS95" s="123"/>
      <c r="AT95" s="123"/>
      <c r="AU95" s="123"/>
      <c r="AV95" s="123"/>
      <c r="AW95" s="123"/>
      <c r="AX95" s="123"/>
      <c r="AY95" s="123"/>
      <c r="AZ95" s="123"/>
      <c r="BA95" s="123"/>
      <c r="BB95" s="123"/>
      <c r="BC95" s="123"/>
      <c r="BD95" s="123"/>
      <c r="BE95" s="123"/>
      <c r="BF95" s="410" t="s">
        <v>1000</v>
      </c>
      <c r="BG95" s="361">
        <v>-10</v>
      </c>
      <c r="BH95" s="377">
        <v>-23</v>
      </c>
      <c r="BI95" s="123"/>
      <c r="BJ95" s="378" t="s">
        <v>1017</v>
      </c>
      <c r="BK95" s="361" t="s">
        <v>1025</v>
      </c>
      <c r="BL95" s="407">
        <v>3.33</v>
      </c>
      <c r="BM95" s="361">
        <v>35</v>
      </c>
      <c r="BN95" s="361">
        <v>20</v>
      </c>
      <c r="BO95" s="123"/>
      <c r="BP95" s="123"/>
      <c r="BQ95" s="519"/>
      <c r="BR95" s="519"/>
    </row>
    <row r="96" spans="18:70" x14ac:dyDescent="0.2">
      <c r="R96" s="1095"/>
      <c r="S96" s="451" t="s">
        <v>1087</v>
      </c>
      <c r="T96" s="367">
        <v>25</v>
      </c>
      <c r="U96" s="367">
        <v>170</v>
      </c>
      <c r="V96" s="367">
        <v>70</v>
      </c>
      <c r="W96" s="367">
        <v>485</v>
      </c>
      <c r="X96" s="367">
        <v>30</v>
      </c>
      <c r="Y96" s="367">
        <v>50</v>
      </c>
      <c r="Z96" s="457"/>
      <c r="AC96" s="368"/>
      <c r="AD96" s="1100" t="s">
        <v>1155</v>
      </c>
      <c r="AE96" s="1100"/>
      <c r="AF96" s="1100">
        <v>0.03</v>
      </c>
      <c r="AG96" s="1100"/>
      <c r="AH96" s="516"/>
      <c r="AI96" s="516"/>
      <c r="AJ96" s="516"/>
      <c r="AK96" s="516"/>
      <c r="AL96" s="516"/>
      <c r="AM96" s="516"/>
      <c r="AN96" s="516"/>
      <c r="AO96" s="516"/>
      <c r="AP96" s="516"/>
      <c r="AQ96" s="123"/>
      <c r="AR96" s="123"/>
      <c r="AS96" s="123"/>
      <c r="AT96" s="123"/>
      <c r="AU96" s="123"/>
      <c r="AV96" s="123"/>
      <c r="AW96" s="123"/>
      <c r="AX96" s="123"/>
      <c r="AY96" s="123"/>
      <c r="AZ96" s="123"/>
      <c r="BA96" s="123"/>
      <c r="BB96" s="123"/>
      <c r="BC96" s="123"/>
      <c r="BD96" s="123"/>
      <c r="BE96" s="123"/>
      <c r="BF96" s="410" t="s">
        <v>1001</v>
      </c>
      <c r="BG96" s="361">
        <v>-35</v>
      </c>
      <c r="BH96" s="377">
        <v>-37</v>
      </c>
      <c r="BI96" s="123"/>
      <c r="BJ96" s="378" t="s">
        <v>1017</v>
      </c>
      <c r="BK96" s="361" t="s">
        <v>1026</v>
      </c>
      <c r="BL96" s="377">
        <v>3</v>
      </c>
      <c r="BM96" s="361">
        <v>40</v>
      </c>
      <c r="BN96" s="361">
        <v>22</v>
      </c>
      <c r="BO96" s="123"/>
      <c r="BP96" s="123"/>
      <c r="BQ96" s="519"/>
      <c r="BR96" s="519"/>
    </row>
    <row r="97" spans="18:71" x14ac:dyDescent="0.2">
      <c r="R97" s="1095"/>
      <c r="S97" s="451" t="s">
        <v>1088</v>
      </c>
      <c r="T97" s="367">
        <v>35</v>
      </c>
      <c r="U97" s="367">
        <v>240</v>
      </c>
      <c r="V97" s="367">
        <v>80</v>
      </c>
      <c r="W97" s="367">
        <v>550</v>
      </c>
      <c r="X97" s="367">
        <v>30</v>
      </c>
      <c r="Y97" s="367">
        <v>50</v>
      </c>
      <c r="Z97" s="457"/>
      <c r="AC97" s="368"/>
      <c r="AD97" s="1100" t="s">
        <v>1156</v>
      </c>
      <c r="AE97" s="1100"/>
      <c r="AF97" s="1100">
        <v>0.04</v>
      </c>
      <c r="AG97" s="1100"/>
      <c r="AH97" s="516"/>
      <c r="AI97" s="516"/>
      <c r="AJ97" s="516"/>
      <c r="AK97" s="516"/>
      <c r="AL97" s="516"/>
      <c r="AM97" s="516"/>
      <c r="AN97" s="516"/>
      <c r="AO97" s="516"/>
      <c r="AP97" s="516"/>
      <c r="AQ97" s="123"/>
      <c r="AR97" s="123"/>
      <c r="AS97" s="123"/>
      <c r="AT97" s="123"/>
      <c r="AU97" s="123"/>
      <c r="AV97" s="123"/>
      <c r="AW97" s="123"/>
      <c r="AX97" s="123"/>
      <c r="AY97" s="123"/>
      <c r="AZ97" s="123"/>
      <c r="BA97" s="123"/>
      <c r="BB97" s="123"/>
      <c r="BC97" s="123"/>
      <c r="BD97" s="123"/>
      <c r="BE97" s="123"/>
      <c r="BF97" s="410" t="s">
        <v>992</v>
      </c>
      <c r="BG97" s="361">
        <v>-125</v>
      </c>
      <c r="BH97" s="377">
        <v>-87</v>
      </c>
      <c r="BI97" s="123"/>
      <c r="BJ97" s="408" t="s">
        <v>1018</v>
      </c>
      <c r="BK97" s="401" t="s">
        <v>1027</v>
      </c>
      <c r="BL97" s="402">
        <v>2.5</v>
      </c>
      <c r="BM97" s="361">
        <v>50</v>
      </c>
      <c r="BN97" s="361">
        <v>28</v>
      </c>
      <c r="BO97" s="123"/>
      <c r="BP97" s="123"/>
      <c r="BQ97" s="519"/>
      <c r="BR97" s="519"/>
    </row>
    <row r="98" spans="18:71" ht="15" customHeight="1" x14ac:dyDescent="0.2">
      <c r="R98" s="1095"/>
      <c r="S98" s="451" t="s">
        <v>1089</v>
      </c>
      <c r="T98" s="367">
        <v>30</v>
      </c>
      <c r="U98" s="367">
        <v>205</v>
      </c>
      <c r="V98" s="367">
        <v>75</v>
      </c>
      <c r="W98" s="367">
        <v>515</v>
      </c>
      <c r="X98" s="367">
        <v>30</v>
      </c>
      <c r="Y98" s="367">
        <v>50</v>
      </c>
      <c r="Z98" s="457"/>
      <c r="AC98" s="368"/>
      <c r="AD98" s="1100" t="s">
        <v>1157</v>
      </c>
      <c r="AE98" s="1100"/>
      <c r="AF98" s="1100">
        <v>0.05</v>
      </c>
      <c r="AG98" s="1100"/>
      <c r="AH98" s="516"/>
      <c r="AI98" s="516"/>
      <c r="AJ98" s="516"/>
      <c r="AK98" s="516"/>
      <c r="AL98" s="516"/>
      <c r="AM98" s="516"/>
      <c r="AN98" s="516"/>
      <c r="AO98" s="516"/>
      <c r="AP98" s="516"/>
      <c r="AQ98" s="123"/>
      <c r="AR98" s="123"/>
      <c r="AS98" s="123"/>
      <c r="AT98" s="123"/>
      <c r="AU98" s="123"/>
      <c r="AV98" s="123"/>
      <c r="AW98" s="123"/>
      <c r="AX98" s="123"/>
      <c r="AY98" s="123"/>
      <c r="AZ98" s="123"/>
      <c r="BA98" s="123"/>
      <c r="BB98" s="123"/>
      <c r="BC98" s="123"/>
      <c r="BD98" s="123"/>
      <c r="BE98" s="123"/>
      <c r="BF98" s="410" t="s">
        <v>1003</v>
      </c>
      <c r="BG98" s="361">
        <v>-60</v>
      </c>
      <c r="BH98" s="377">
        <v>-51</v>
      </c>
      <c r="BI98" s="123"/>
      <c r="BJ98" s="123" t="s">
        <v>1034</v>
      </c>
      <c r="BK98" s="123"/>
      <c r="BL98" s="123"/>
      <c r="BM98" s="123"/>
      <c r="BN98" s="123"/>
      <c r="BO98" s="123"/>
      <c r="BP98" s="123"/>
      <c r="BQ98" s="519"/>
      <c r="BR98" s="519"/>
    </row>
    <row r="99" spans="18:71" ht="41.25" x14ac:dyDescent="0.2">
      <c r="R99" s="1095"/>
      <c r="S99" s="451" t="s">
        <v>1090</v>
      </c>
      <c r="T99" s="367">
        <v>30</v>
      </c>
      <c r="U99" s="367">
        <v>205</v>
      </c>
      <c r="V99" s="367">
        <v>75</v>
      </c>
      <c r="W99" s="367">
        <v>515</v>
      </c>
      <c r="X99" s="367">
        <v>30</v>
      </c>
      <c r="Y99" s="367">
        <v>50</v>
      </c>
      <c r="Z99" s="457"/>
      <c r="AC99" s="368" t="s">
        <v>1132</v>
      </c>
      <c r="AD99" s="1100" t="s">
        <v>1153</v>
      </c>
      <c r="AE99" s="1100"/>
      <c r="AF99" s="1100">
        <v>0.01</v>
      </c>
      <c r="AG99" s="1100"/>
      <c r="AH99" s="516"/>
      <c r="AI99" s="516"/>
      <c r="AJ99" s="516"/>
      <c r="AK99" s="516"/>
      <c r="AL99" s="516"/>
      <c r="AM99" s="516"/>
      <c r="AN99" s="516"/>
      <c r="AO99" s="516"/>
      <c r="AP99" s="516"/>
      <c r="AQ99" s="123"/>
      <c r="AR99" s="123"/>
      <c r="AS99" s="123"/>
      <c r="AT99" s="123"/>
      <c r="AU99" s="123"/>
      <c r="AV99" s="123"/>
      <c r="AW99" s="123"/>
      <c r="AX99" s="123"/>
      <c r="AY99" s="123"/>
      <c r="AZ99" s="123"/>
      <c r="BA99" s="123"/>
      <c r="BB99" s="123"/>
      <c r="BC99" s="123"/>
      <c r="BD99" s="123"/>
      <c r="BE99" s="123"/>
      <c r="BF99" s="410" t="s">
        <v>1004</v>
      </c>
      <c r="BG99" s="361">
        <v>-40</v>
      </c>
      <c r="BH99" s="377">
        <v>-40</v>
      </c>
      <c r="BI99" s="123"/>
      <c r="BJ99" s="413" t="s">
        <v>141</v>
      </c>
      <c r="BK99" s="414" t="s">
        <v>1035</v>
      </c>
      <c r="BL99" s="414" t="s">
        <v>1033</v>
      </c>
      <c r="BM99" s="123"/>
      <c r="BN99" s="123"/>
      <c r="BO99" s="123"/>
      <c r="BP99" s="123"/>
      <c r="BQ99" s="519"/>
      <c r="BR99" s="519"/>
    </row>
    <row r="100" spans="18:71" x14ac:dyDescent="0.2">
      <c r="R100" s="1095"/>
      <c r="S100" s="451" t="s">
        <v>1091</v>
      </c>
      <c r="T100" s="367">
        <v>37</v>
      </c>
      <c r="U100" s="367">
        <v>255</v>
      </c>
      <c r="V100" s="367">
        <v>75</v>
      </c>
      <c r="W100" s="367">
        <v>515</v>
      </c>
      <c r="X100" s="367">
        <v>30</v>
      </c>
      <c r="Y100" s="367">
        <v>50</v>
      </c>
      <c r="Z100" s="457"/>
      <c r="AC100" s="368" t="s">
        <v>232</v>
      </c>
      <c r="AD100" s="1100">
        <v>0.05</v>
      </c>
      <c r="AE100" s="1100"/>
      <c r="AF100" s="1100">
        <v>0.01</v>
      </c>
      <c r="AG100" s="1100"/>
      <c r="AH100" s="516"/>
      <c r="AI100" s="516"/>
      <c r="AJ100" s="516"/>
      <c r="AK100" s="516"/>
      <c r="AL100" s="516"/>
      <c r="AM100" s="516"/>
      <c r="AN100" s="516"/>
      <c r="AO100" s="516"/>
      <c r="AP100" s="516"/>
      <c r="AQ100" s="123"/>
      <c r="AR100" s="123"/>
      <c r="AS100" s="123"/>
      <c r="AT100" s="123"/>
      <c r="AU100" s="123"/>
      <c r="AV100" s="123"/>
      <c r="AW100" s="123"/>
      <c r="AX100" s="123"/>
      <c r="AY100" s="123"/>
      <c r="AZ100" s="123"/>
      <c r="BA100" s="123"/>
      <c r="BB100" s="123"/>
      <c r="BC100" s="123"/>
      <c r="BD100" s="123"/>
      <c r="BE100" s="123"/>
      <c r="BF100" s="410" t="s">
        <v>976</v>
      </c>
      <c r="BG100" s="361">
        <v>-80</v>
      </c>
      <c r="BH100" s="377">
        <v>-62</v>
      </c>
      <c r="BI100" s="123"/>
      <c r="BJ100" s="400"/>
      <c r="BK100" s="411"/>
      <c r="BL100" s="411"/>
      <c r="BM100" s="123"/>
      <c r="BN100" s="123"/>
      <c r="BO100" s="123"/>
      <c r="BP100" s="123"/>
      <c r="BQ100" s="519"/>
      <c r="BR100" s="519"/>
    </row>
    <row r="101" spans="18:71" x14ac:dyDescent="0.2">
      <c r="R101" s="1095"/>
      <c r="S101" s="451" t="s">
        <v>1092</v>
      </c>
      <c r="T101" s="367">
        <v>30</v>
      </c>
      <c r="U101" s="367">
        <v>205</v>
      </c>
      <c r="V101" s="367">
        <v>78</v>
      </c>
      <c r="W101" s="367">
        <v>540</v>
      </c>
      <c r="X101" s="367">
        <v>25</v>
      </c>
      <c r="Y101" s="367">
        <v>40</v>
      </c>
      <c r="Z101" s="457"/>
      <c r="AC101" s="368" t="s">
        <v>226</v>
      </c>
      <c r="AD101" s="1100">
        <v>0.1</v>
      </c>
      <c r="AE101" s="1100"/>
      <c r="AF101" s="1100">
        <v>0.01</v>
      </c>
      <c r="AG101" s="1100"/>
      <c r="AH101" s="516"/>
      <c r="AI101" s="516"/>
      <c r="AJ101" s="516"/>
      <c r="AK101" s="516"/>
      <c r="AL101" s="516"/>
      <c r="AM101" s="516"/>
      <c r="AN101" s="516"/>
      <c r="AO101" s="516"/>
      <c r="AP101" s="516"/>
      <c r="AQ101" s="123"/>
      <c r="AR101" s="123"/>
      <c r="AS101" s="123"/>
      <c r="AT101" s="123"/>
      <c r="AU101" s="123"/>
      <c r="AV101" s="123"/>
      <c r="AW101" s="123"/>
      <c r="AX101" s="123"/>
      <c r="AY101" s="123"/>
      <c r="AZ101" s="123"/>
      <c r="BA101" s="123"/>
      <c r="BB101" s="123"/>
      <c r="BC101" s="123"/>
      <c r="BD101" s="123"/>
      <c r="BE101" s="123"/>
      <c r="BF101" s="410" t="s">
        <v>1006</v>
      </c>
      <c r="BG101" s="361">
        <v>-60</v>
      </c>
      <c r="BH101" s="377">
        <v>-51</v>
      </c>
      <c r="BI101" s="123"/>
      <c r="BJ101" s="410" t="s">
        <v>1000</v>
      </c>
      <c r="BK101" s="377">
        <v>0.45</v>
      </c>
      <c r="BL101" s="377">
        <v>0.46</v>
      </c>
      <c r="BM101" s="123"/>
      <c r="BN101" s="123"/>
      <c r="BO101" s="123"/>
      <c r="BP101" s="123"/>
      <c r="BQ101" s="519"/>
      <c r="BR101" s="519"/>
    </row>
    <row r="102" spans="18:71" x14ac:dyDescent="0.2">
      <c r="R102" s="1095"/>
      <c r="S102" s="451" t="s">
        <v>1093</v>
      </c>
      <c r="T102" s="367">
        <v>30</v>
      </c>
      <c r="U102" s="367">
        <v>205</v>
      </c>
      <c r="V102" s="367">
        <v>75</v>
      </c>
      <c r="W102" s="367">
        <v>515</v>
      </c>
      <c r="X102" s="367">
        <v>30</v>
      </c>
      <c r="Y102" s="367">
        <v>50</v>
      </c>
      <c r="Z102" s="457"/>
      <c r="AC102" s="368"/>
      <c r="AD102" s="1100" t="s">
        <v>1158</v>
      </c>
      <c r="AE102" s="1100"/>
      <c r="AF102" s="1100">
        <v>0.02</v>
      </c>
      <c r="AG102" s="1100"/>
      <c r="AH102" s="516"/>
      <c r="AI102" s="516"/>
      <c r="AJ102" s="516"/>
      <c r="AK102" s="516"/>
      <c r="AL102" s="516"/>
      <c r="AM102" s="516"/>
      <c r="AN102" s="516"/>
      <c r="AO102" s="516"/>
      <c r="AP102" s="516"/>
      <c r="AQ102" s="123"/>
      <c r="AR102" s="123"/>
      <c r="AS102" s="123"/>
      <c r="AT102" s="123"/>
      <c r="AU102" s="123"/>
      <c r="AV102" s="123"/>
      <c r="AW102" s="123"/>
      <c r="AX102" s="123"/>
      <c r="AY102" s="123"/>
      <c r="AZ102" s="123"/>
      <c r="BA102" s="123"/>
      <c r="BB102" s="123"/>
      <c r="BC102" s="123"/>
      <c r="BD102" s="123"/>
      <c r="BE102" s="123"/>
      <c r="BF102" s="412" t="s">
        <v>1007</v>
      </c>
      <c r="BG102" s="401">
        <v>-80</v>
      </c>
      <c r="BH102" s="402">
        <v>-62</v>
      </c>
      <c r="BI102" s="123"/>
      <c r="BJ102" s="410" t="s">
        <v>1030</v>
      </c>
      <c r="BK102" s="377">
        <v>0.47</v>
      </c>
      <c r="BL102" s="377">
        <v>0.48</v>
      </c>
      <c r="BM102" s="123"/>
      <c r="BN102" s="123"/>
      <c r="BO102" s="123"/>
      <c r="BP102" s="123"/>
      <c r="BQ102" s="519"/>
      <c r="BR102" s="519"/>
    </row>
    <row r="103" spans="18:71" x14ac:dyDescent="0.2">
      <c r="R103" s="1095"/>
      <c r="S103" s="451" t="s">
        <v>1094</v>
      </c>
      <c r="T103" s="367">
        <v>30</v>
      </c>
      <c r="U103" s="367">
        <v>205</v>
      </c>
      <c r="V103" s="367">
        <v>75</v>
      </c>
      <c r="W103" s="367">
        <v>515</v>
      </c>
      <c r="X103" s="367">
        <v>30</v>
      </c>
      <c r="Y103" s="367">
        <v>50</v>
      </c>
      <c r="Z103" s="457"/>
      <c r="AC103" s="368" t="s">
        <v>1133</v>
      </c>
      <c r="AD103" s="1100" t="s">
        <v>1159</v>
      </c>
      <c r="AE103" s="1100"/>
      <c r="AF103" s="1100">
        <v>-5.0000000000000001E-3</v>
      </c>
      <c r="AG103" s="1100"/>
      <c r="AH103" s="516"/>
      <c r="AI103" s="516"/>
      <c r="AJ103" s="516"/>
      <c r="AK103" s="516"/>
      <c r="AL103" s="516"/>
      <c r="AM103" s="516"/>
      <c r="AN103" s="516"/>
      <c r="AO103" s="516"/>
      <c r="AP103" s="516"/>
      <c r="AQ103" s="123"/>
      <c r="AR103" s="123"/>
      <c r="AS103" s="123"/>
      <c r="AT103" s="123"/>
      <c r="AU103" s="123"/>
      <c r="AV103" s="123"/>
      <c r="AW103" s="123"/>
      <c r="AX103" s="123"/>
      <c r="AY103" s="123"/>
      <c r="AZ103" s="123"/>
      <c r="BA103" s="123"/>
      <c r="BB103" s="123"/>
      <c r="BC103" s="123"/>
      <c r="BD103" s="123"/>
      <c r="BE103" s="123"/>
      <c r="BF103" s="123"/>
      <c r="BG103" s="123"/>
      <c r="BI103" s="123"/>
      <c r="BJ103" s="410" t="s">
        <v>1032</v>
      </c>
      <c r="BK103" s="377">
        <v>0.45</v>
      </c>
      <c r="BL103" s="377">
        <v>0.46</v>
      </c>
      <c r="BM103" s="123"/>
      <c r="BN103" s="123"/>
      <c r="BO103" s="123"/>
      <c r="BP103" s="123"/>
      <c r="BQ103" s="519"/>
      <c r="BR103" s="519"/>
    </row>
    <row r="104" spans="18:71" x14ac:dyDescent="0.2">
      <c r="R104" s="1095"/>
      <c r="S104" s="451" t="s">
        <v>1095</v>
      </c>
      <c r="T104" s="367">
        <v>25</v>
      </c>
      <c r="U104" s="367">
        <v>170</v>
      </c>
      <c r="V104" s="367">
        <v>75</v>
      </c>
      <c r="W104" s="367">
        <v>515</v>
      </c>
      <c r="X104" s="367">
        <v>30</v>
      </c>
      <c r="Y104" s="367">
        <v>50</v>
      </c>
      <c r="Z104" s="457"/>
      <c r="AC104" s="368"/>
      <c r="AD104" s="1100"/>
      <c r="AE104" s="1100"/>
      <c r="AF104" s="1100">
        <v>0.01</v>
      </c>
      <c r="AG104" s="1100"/>
      <c r="AH104" s="516"/>
      <c r="AI104" s="516"/>
      <c r="AJ104" s="516"/>
      <c r="AK104" s="516"/>
      <c r="AL104" s="516"/>
      <c r="AM104" s="516"/>
      <c r="AN104" s="516"/>
      <c r="AO104" s="516"/>
      <c r="AP104" s="516"/>
      <c r="AQ104" s="123"/>
      <c r="AR104" s="123"/>
      <c r="AS104" s="123"/>
      <c r="AT104" s="123"/>
      <c r="AU104" s="123"/>
      <c r="AV104" s="123"/>
      <c r="AW104" s="123"/>
      <c r="AX104" s="123"/>
      <c r="AY104" s="123"/>
      <c r="AZ104" s="123"/>
      <c r="BA104" s="123"/>
      <c r="BB104" s="123"/>
      <c r="BC104" s="123"/>
      <c r="BD104" s="123"/>
      <c r="BE104" s="123"/>
      <c r="BF104" s="123"/>
      <c r="BG104" s="123"/>
      <c r="BH104" s="123"/>
      <c r="BI104" s="123"/>
      <c r="BJ104" s="412" t="s">
        <v>1031</v>
      </c>
      <c r="BK104" s="402">
        <v>0.47</v>
      </c>
      <c r="BL104" s="402">
        <v>0.48</v>
      </c>
      <c r="BM104" s="123"/>
      <c r="BN104" s="123"/>
      <c r="BO104" s="123"/>
      <c r="BP104" s="123"/>
      <c r="BQ104" s="519"/>
      <c r="BR104" s="519"/>
    </row>
    <row r="105" spans="18:71" x14ac:dyDescent="0.2">
      <c r="R105" s="1095"/>
      <c r="S105" s="451" t="s">
        <v>1096</v>
      </c>
      <c r="T105" s="367">
        <v>35</v>
      </c>
      <c r="U105" s="367">
        <v>240</v>
      </c>
      <c r="V105" s="367">
        <v>70</v>
      </c>
      <c r="W105" s="367">
        <v>485</v>
      </c>
      <c r="X105" s="367">
        <v>30</v>
      </c>
      <c r="Y105" s="367">
        <v>50</v>
      </c>
      <c r="Z105" s="457"/>
      <c r="AC105" s="368" t="s">
        <v>1134</v>
      </c>
      <c r="AD105" s="1100">
        <v>1</v>
      </c>
      <c r="AE105" s="1100"/>
      <c r="AF105" s="1100">
        <v>0.04</v>
      </c>
      <c r="AG105" s="1100"/>
      <c r="AH105" s="516"/>
      <c r="AI105" s="516"/>
      <c r="AJ105" s="516"/>
      <c r="AK105" s="516"/>
      <c r="AL105" s="516"/>
      <c r="AM105" s="516"/>
      <c r="AN105" s="516"/>
      <c r="AO105" s="516"/>
      <c r="AP105" s="516"/>
      <c r="AQ105" s="123"/>
      <c r="AR105" s="123"/>
      <c r="AS105" s="123"/>
      <c r="AT105" s="123"/>
      <c r="AU105" s="123"/>
      <c r="AV105" s="123"/>
      <c r="AW105" s="123"/>
      <c r="AX105" s="123"/>
      <c r="AY105" s="123"/>
      <c r="AZ105" s="123"/>
      <c r="BA105" s="123"/>
      <c r="BB105" s="123"/>
      <c r="BC105" s="123"/>
      <c r="BD105" s="123"/>
      <c r="BE105" s="123"/>
      <c r="BF105" s="123"/>
      <c r="BG105" s="123"/>
      <c r="BH105" s="123"/>
      <c r="BI105" s="123"/>
      <c r="BJ105" s="355"/>
      <c r="BK105" s="355"/>
      <c r="BL105" s="355"/>
      <c r="BM105" s="355"/>
      <c r="BN105" s="355"/>
      <c r="BO105" s="123"/>
      <c r="BP105" s="123"/>
      <c r="BQ105" s="519"/>
      <c r="BR105" s="519"/>
    </row>
    <row r="106" spans="18:71" x14ac:dyDescent="0.2">
      <c r="R106" s="1095"/>
      <c r="S106" s="451" t="s">
        <v>1097</v>
      </c>
      <c r="T106" s="367">
        <v>30</v>
      </c>
      <c r="U106" s="367">
        <v>205</v>
      </c>
      <c r="V106" s="367">
        <v>80</v>
      </c>
      <c r="W106" s="367">
        <v>550</v>
      </c>
      <c r="X106" s="367">
        <v>30</v>
      </c>
      <c r="Y106" s="367">
        <v>50</v>
      </c>
      <c r="Z106" s="457"/>
      <c r="AC106" s="368" t="s">
        <v>222</v>
      </c>
      <c r="AD106" s="1100">
        <v>1</v>
      </c>
      <c r="AE106" s="1100"/>
      <c r="AF106" s="1100">
        <v>0.03</v>
      </c>
      <c r="AG106" s="1100"/>
      <c r="AH106" s="516"/>
      <c r="AI106" s="516"/>
      <c r="AJ106" s="516"/>
      <c r="AK106" s="516"/>
      <c r="AL106" s="516"/>
      <c r="AM106" s="516"/>
      <c r="AN106" s="516"/>
      <c r="AO106" s="516"/>
      <c r="AP106" s="516"/>
      <c r="AQ106" s="516"/>
      <c r="AR106" s="516"/>
      <c r="AS106" s="516"/>
      <c r="AT106" s="516"/>
      <c r="AU106" s="516"/>
      <c r="AV106" s="516"/>
      <c r="AW106" s="516"/>
      <c r="AX106" s="516"/>
      <c r="AY106" s="516"/>
      <c r="AZ106" s="516"/>
      <c r="BA106" s="516"/>
      <c r="BB106" s="516"/>
      <c r="BC106" s="516"/>
      <c r="BD106" s="516"/>
      <c r="BE106" s="516"/>
      <c r="BF106" s="516"/>
      <c r="BG106" s="516"/>
      <c r="BH106" s="516"/>
      <c r="BI106" s="516"/>
      <c r="BJ106" s="516"/>
      <c r="BK106" s="516"/>
      <c r="BL106" s="516"/>
      <c r="BM106" s="516"/>
      <c r="BN106" s="516"/>
      <c r="BO106" s="516"/>
      <c r="BP106" s="516"/>
      <c r="BQ106" s="516"/>
      <c r="BR106" s="516"/>
      <c r="BS106" s="516"/>
    </row>
    <row r="107" spans="18:71" x14ac:dyDescent="0.2">
      <c r="R107" s="1095"/>
      <c r="S107" s="451" t="s">
        <v>1098</v>
      </c>
      <c r="T107" s="367">
        <v>30</v>
      </c>
      <c r="U107" s="367">
        <v>205</v>
      </c>
      <c r="V107" s="367">
        <v>75</v>
      </c>
      <c r="W107" s="367">
        <v>515</v>
      </c>
      <c r="X107" s="367">
        <v>30</v>
      </c>
      <c r="Y107" s="367">
        <v>50</v>
      </c>
      <c r="Z107" s="457"/>
      <c r="AH107" s="516"/>
      <c r="AI107" s="516"/>
      <c r="AJ107" s="516"/>
      <c r="AK107" s="516"/>
      <c r="AL107" s="516"/>
      <c r="AM107" s="516"/>
      <c r="AN107" s="516"/>
      <c r="AO107" s="516"/>
      <c r="AP107" s="516"/>
      <c r="AQ107" s="516"/>
      <c r="AR107" s="516"/>
      <c r="AS107" s="516"/>
      <c r="AT107" s="516"/>
      <c r="AU107" s="516"/>
      <c r="AV107" s="516"/>
      <c r="AW107" s="516"/>
      <c r="AX107" s="516"/>
      <c r="AY107" s="516"/>
      <c r="AZ107" s="516"/>
      <c r="BA107" s="516"/>
      <c r="BB107" s="516"/>
      <c r="BC107" s="516"/>
      <c r="BD107" s="516"/>
      <c r="BE107" s="516"/>
      <c r="BF107" s="516"/>
      <c r="BG107" s="516"/>
      <c r="BH107" s="516"/>
      <c r="BI107" s="516"/>
      <c r="BJ107" s="516"/>
      <c r="BK107" s="516"/>
      <c r="BL107" s="516"/>
      <c r="BM107" s="516"/>
      <c r="BN107" s="516"/>
      <c r="BO107" s="516"/>
      <c r="BP107" s="516"/>
      <c r="BQ107" s="516"/>
      <c r="BR107" s="516"/>
      <c r="BS107" s="516"/>
    </row>
    <row r="108" spans="18:71" x14ac:dyDescent="0.2">
      <c r="R108" s="1095"/>
      <c r="S108" s="451" t="s">
        <v>1099</v>
      </c>
      <c r="T108" s="367">
        <v>25</v>
      </c>
      <c r="U108" s="367">
        <v>170</v>
      </c>
      <c r="V108" s="367">
        <v>75</v>
      </c>
      <c r="W108" s="367">
        <v>515</v>
      </c>
      <c r="X108" s="367">
        <v>30</v>
      </c>
      <c r="Y108" s="367">
        <v>50</v>
      </c>
      <c r="Z108" s="457"/>
      <c r="AH108" s="516"/>
      <c r="AI108" s="516"/>
      <c r="AJ108" s="516"/>
      <c r="AK108" s="516"/>
      <c r="AL108" s="516"/>
      <c r="AM108" s="516"/>
      <c r="AN108" s="516"/>
      <c r="AO108" s="516"/>
      <c r="AP108" s="516"/>
      <c r="AQ108" s="516"/>
      <c r="AR108" s="516"/>
      <c r="AS108" s="516"/>
      <c r="AT108" s="516"/>
      <c r="AU108" s="516"/>
      <c r="AV108" s="516"/>
      <c r="AW108" s="516"/>
      <c r="AX108" s="516"/>
      <c r="AY108" s="516"/>
      <c r="AZ108" s="516"/>
      <c r="BA108" s="516"/>
      <c r="BB108" s="516"/>
      <c r="BC108" s="516"/>
      <c r="BD108" s="516"/>
      <c r="BE108" s="516"/>
      <c r="BF108" s="516"/>
      <c r="BG108" s="516"/>
      <c r="BH108" s="516"/>
      <c r="BI108" s="516"/>
      <c r="BJ108" s="516"/>
      <c r="BK108" s="516"/>
      <c r="BL108" s="516"/>
      <c r="BM108" s="516"/>
      <c r="BN108" s="516"/>
      <c r="BO108" s="516"/>
      <c r="BP108" s="516"/>
      <c r="BQ108" s="516"/>
      <c r="BR108" s="516"/>
      <c r="BS108" s="516"/>
    </row>
    <row r="109" spans="18:71" x14ac:dyDescent="0.2">
      <c r="R109" s="1095"/>
      <c r="S109" s="451" t="s">
        <v>1100</v>
      </c>
      <c r="T109" s="367">
        <v>30</v>
      </c>
      <c r="U109" s="367">
        <v>205</v>
      </c>
      <c r="V109" s="367">
        <v>70</v>
      </c>
      <c r="W109" s="367">
        <v>485</v>
      </c>
      <c r="X109" s="367">
        <v>30</v>
      </c>
      <c r="Y109" s="367">
        <v>50</v>
      </c>
      <c r="Z109" s="457"/>
      <c r="AH109" s="516"/>
      <c r="AI109" s="516"/>
      <c r="AJ109" s="516"/>
      <c r="AK109" s="516"/>
      <c r="AL109" s="516"/>
      <c r="AM109" s="516"/>
      <c r="AN109" s="516"/>
      <c r="AO109" s="516"/>
      <c r="AP109" s="516"/>
      <c r="AQ109" s="516"/>
      <c r="AR109" s="516"/>
      <c r="AS109" s="516"/>
      <c r="AT109" s="516"/>
      <c r="AU109" s="516"/>
      <c r="AV109" s="516"/>
      <c r="AW109" s="516"/>
      <c r="AX109" s="516"/>
      <c r="AY109" s="516"/>
      <c r="AZ109" s="516"/>
      <c r="BA109" s="516"/>
      <c r="BB109" s="516"/>
      <c r="BC109" s="516"/>
      <c r="BD109" s="516"/>
      <c r="BE109" s="516"/>
      <c r="BF109" s="516"/>
      <c r="BG109" s="516"/>
      <c r="BH109" s="516"/>
      <c r="BI109" s="516"/>
      <c r="BJ109" s="516"/>
      <c r="BK109" s="516"/>
      <c r="BL109" s="516"/>
      <c r="BM109" s="516"/>
      <c r="BN109" s="516"/>
      <c r="BO109" s="516"/>
      <c r="BP109" s="516"/>
      <c r="BQ109" s="516"/>
      <c r="BR109" s="516"/>
      <c r="BS109" s="516"/>
    </row>
    <row r="110" spans="18:71" x14ac:dyDescent="0.2">
      <c r="R110" s="1095"/>
      <c r="S110" s="451" t="s">
        <v>1101</v>
      </c>
      <c r="T110" s="367">
        <v>30</v>
      </c>
      <c r="U110" s="367">
        <v>205</v>
      </c>
      <c r="V110" s="367">
        <v>75</v>
      </c>
      <c r="W110" s="367">
        <v>515</v>
      </c>
      <c r="X110" s="367">
        <v>30</v>
      </c>
      <c r="Y110" s="367">
        <v>50</v>
      </c>
      <c r="Z110" s="457"/>
      <c r="AH110" s="516"/>
      <c r="AI110" s="516"/>
      <c r="AJ110" s="516"/>
      <c r="AK110" s="516"/>
      <c r="AL110" s="516"/>
      <c r="AM110" s="516"/>
      <c r="AN110" s="516"/>
      <c r="AO110" s="516"/>
      <c r="AP110" s="516"/>
      <c r="AQ110" s="516"/>
      <c r="AR110" s="516"/>
      <c r="AS110" s="516"/>
      <c r="AT110" s="516"/>
      <c r="AU110" s="516"/>
      <c r="AV110" s="516"/>
      <c r="AW110" s="516"/>
      <c r="AX110" s="516"/>
      <c r="AY110" s="516"/>
      <c r="AZ110" s="516"/>
      <c r="BA110" s="516"/>
      <c r="BB110" s="516"/>
      <c r="BC110" s="516"/>
      <c r="BD110" s="516"/>
      <c r="BE110" s="516"/>
      <c r="BF110" s="516"/>
      <c r="BG110" s="516"/>
      <c r="BH110" s="516"/>
      <c r="BI110" s="516"/>
      <c r="BJ110" s="516"/>
      <c r="BK110" s="516"/>
      <c r="BL110" s="516"/>
      <c r="BM110" s="516"/>
      <c r="BN110" s="516"/>
      <c r="BO110" s="516"/>
      <c r="BP110" s="516"/>
      <c r="BQ110" s="516"/>
      <c r="BR110" s="516"/>
      <c r="BS110" s="516"/>
    </row>
    <row r="111" spans="18:71" x14ac:dyDescent="0.2">
      <c r="R111" s="1095"/>
      <c r="S111" s="451" t="s">
        <v>1102</v>
      </c>
      <c r="T111" s="367">
        <v>30</v>
      </c>
      <c r="U111" s="367">
        <v>205</v>
      </c>
      <c r="V111" s="367">
        <v>75</v>
      </c>
      <c r="W111" s="367">
        <v>515</v>
      </c>
      <c r="X111" s="367">
        <v>30</v>
      </c>
      <c r="Y111" s="367">
        <v>50</v>
      </c>
      <c r="Z111" s="457"/>
      <c r="AH111" s="516"/>
      <c r="AI111" s="516"/>
      <c r="AJ111" s="516"/>
      <c r="AK111" s="516"/>
      <c r="AL111" s="516"/>
      <c r="AM111" s="516"/>
      <c r="AN111" s="516"/>
      <c r="AO111" s="516"/>
      <c r="AP111" s="516"/>
      <c r="AQ111" s="516"/>
      <c r="AR111" s="516"/>
      <c r="AS111" s="516"/>
      <c r="AT111" s="516"/>
      <c r="AU111" s="516"/>
      <c r="AV111" s="516"/>
      <c r="AW111" s="516"/>
      <c r="AX111" s="516"/>
      <c r="AY111" s="516"/>
      <c r="AZ111" s="516"/>
      <c r="BA111" s="516"/>
      <c r="BB111" s="516"/>
      <c r="BC111" s="516"/>
      <c r="BD111" s="516"/>
      <c r="BE111" s="516"/>
      <c r="BF111" s="516"/>
      <c r="BG111" s="516"/>
      <c r="BH111" s="516"/>
      <c r="BI111" s="516"/>
      <c r="BJ111" s="516"/>
      <c r="BK111" s="516"/>
      <c r="BL111" s="516"/>
      <c r="BM111" s="516"/>
      <c r="BN111" s="516"/>
      <c r="BO111" s="516"/>
      <c r="BP111" s="516"/>
      <c r="BQ111" s="516"/>
      <c r="BR111" s="516"/>
      <c r="BS111" s="516"/>
    </row>
    <row r="112" spans="18:71" x14ac:dyDescent="0.2">
      <c r="R112" s="1095"/>
      <c r="S112" s="451" t="s">
        <v>1103</v>
      </c>
      <c r="T112" s="367">
        <v>30</v>
      </c>
      <c r="U112" s="367">
        <v>205</v>
      </c>
      <c r="V112" s="367">
        <v>75</v>
      </c>
      <c r="W112" s="367">
        <v>515</v>
      </c>
      <c r="X112" s="367">
        <v>30</v>
      </c>
      <c r="Y112" s="367">
        <v>50</v>
      </c>
      <c r="Z112" s="457"/>
      <c r="AH112" s="516"/>
      <c r="AI112" s="516"/>
      <c r="AJ112" s="516"/>
      <c r="AK112" s="516"/>
      <c r="AL112" s="516"/>
      <c r="AM112" s="516"/>
      <c r="AN112" s="516"/>
      <c r="AO112" s="516"/>
      <c r="AP112" s="516"/>
      <c r="AQ112" s="516"/>
      <c r="AR112" s="516"/>
      <c r="AS112" s="516"/>
      <c r="AT112" s="516"/>
      <c r="AU112" s="516"/>
      <c r="AV112" s="516"/>
      <c r="AW112" s="516"/>
      <c r="AX112" s="516"/>
      <c r="AY112" s="516"/>
      <c r="AZ112" s="516"/>
      <c r="BA112" s="516"/>
      <c r="BB112" s="516"/>
      <c r="BC112" s="516"/>
      <c r="BD112" s="516"/>
      <c r="BE112" s="516"/>
      <c r="BF112" s="516"/>
      <c r="BG112" s="516"/>
      <c r="BH112" s="516"/>
      <c r="BI112" s="516"/>
      <c r="BJ112" s="516"/>
      <c r="BK112" s="516"/>
      <c r="BL112" s="516"/>
      <c r="BM112" s="516"/>
      <c r="BN112" s="516"/>
      <c r="BO112" s="516"/>
      <c r="BP112" s="516"/>
      <c r="BQ112" s="516"/>
      <c r="BR112" s="516"/>
      <c r="BS112" s="516"/>
    </row>
    <row r="113" spans="18:71" x14ac:dyDescent="0.2">
      <c r="R113" s="1095"/>
      <c r="S113" s="451" t="s">
        <v>1104</v>
      </c>
      <c r="T113" s="367">
        <v>30</v>
      </c>
      <c r="U113" s="367">
        <v>205</v>
      </c>
      <c r="V113" s="367">
        <v>75</v>
      </c>
      <c r="W113" s="367">
        <v>515</v>
      </c>
      <c r="X113" s="367">
        <v>30</v>
      </c>
      <c r="Y113" s="367">
        <v>50</v>
      </c>
      <c r="Z113" s="457"/>
      <c r="AH113" s="516"/>
      <c r="AI113" s="516"/>
      <c r="AJ113" s="516"/>
      <c r="AK113" s="516"/>
      <c r="AL113" s="516"/>
      <c r="AM113" s="516"/>
      <c r="AN113" s="516"/>
      <c r="AO113" s="516"/>
      <c r="AP113" s="516"/>
      <c r="AQ113" s="516"/>
      <c r="AR113" s="516"/>
      <c r="AS113" s="516"/>
      <c r="AT113" s="516"/>
      <c r="AU113" s="516"/>
      <c r="AV113" s="516"/>
      <c r="AW113" s="516"/>
      <c r="AX113" s="516"/>
      <c r="AY113" s="516"/>
      <c r="AZ113" s="516"/>
      <c r="BA113" s="516"/>
      <c r="BB113" s="516"/>
      <c r="BC113" s="516"/>
      <c r="BD113" s="516"/>
      <c r="BE113" s="516"/>
      <c r="BF113" s="516"/>
      <c r="BG113" s="516"/>
      <c r="BH113" s="516"/>
      <c r="BI113" s="516"/>
      <c r="BJ113" s="516"/>
      <c r="BK113" s="516"/>
      <c r="BL113" s="516"/>
      <c r="BM113" s="516"/>
      <c r="BN113" s="516"/>
      <c r="BO113" s="516"/>
      <c r="BP113" s="516"/>
      <c r="BQ113" s="516"/>
      <c r="BR113" s="516"/>
      <c r="BS113" s="516"/>
    </row>
    <row r="114" spans="18:71" x14ac:dyDescent="0.2">
      <c r="R114" s="1095"/>
      <c r="S114" s="451" t="s">
        <v>1105</v>
      </c>
      <c r="T114" s="367">
        <v>30</v>
      </c>
      <c r="U114" s="367">
        <v>205</v>
      </c>
      <c r="V114" s="367">
        <v>75</v>
      </c>
      <c r="W114" s="367">
        <v>515</v>
      </c>
      <c r="X114" s="367">
        <v>30</v>
      </c>
      <c r="Y114" s="367">
        <v>50</v>
      </c>
      <c r="Z114" s="457"/>
      <c r="AH114" s="516"/>
      <c r="AI114" s="516"/>
      <c r="AJ114" s="516"/>
      <c r="AK114" s="516"/>
      <c r="AL114" s="516"/>
      <c r="AM114" s="516"/>
      <c r="AN114" s="516"/>
      <c r="AO114" s="516"/>
      <c r="AP114" s="516"/>
      <c r="AQ114" s="516"/>
      <c r="AR114" s="516"/>
      <c r="AS114" s="516"/>
      <c r="AT114" s="516"/>
      <c r="AU114" s="516"/>
      <c r="AV114" s="516"/>
      <c r="AW114" s="516"/>
      <c r="AX114" s="516"/>
      <c r="AY114" s="516"/>
      <c r="AZ114" s="516"/>
      <c r="BA114" s="516"/>
      <c r="BB114" s="516"/>
      <c r="BC114" s="516"/>
      <c r="BD114" s="516"/>
      <c r="BE114" s="516"/>
      <c r="BF114" s="516"/>
      <c r="BG114" s="516"/>
      <c r="BH114" s="516"/>
      <c r="BI114" s="516"/>
      <c r="BJ114" s="516"/>
      <c r="BK114" s="516"/>
      <c r="BL114" s="516"/>
      <c r="BM114" s="516"/>
      <c r="BN114" s="516"/>
      <c r="BO114" s="516"/>
      <c r="BP114" s="516"/>
      <c r="BQ114" s="516"/>
      <c r="BR114" s="516"/>
      <c r="BS114" s="516"/>
    </row>
    <row r="115" spans="18:71" x14ac:dyDescent="0.2">
      <c r="R115" s="1095"/>
      <c r="S115" s="451" t="s">
        <v>1106</v>
      </c>
      <c r="T115" s="367">
        <v>30</v>
      </c>
      <c r="U115" s="367">
        <v>205</v>
      </c>
      <c r="V115" s="367">
        <v>75</v>
      </c>
      <c r="W115" s="367">
        <v>515</v>
      </c>
      <c r="X115" s="367">
        <v>30</v>
      </c>
      <c r="Y115" s="367">
        <v>50</v>
      </c>
      <c r="Z115" s="457"/>
      <c r="AK115" s="516"/>
      <c r="AL115" s="516"/>
      <c r="AM115" s="516"/>
      <c r="AN115" s="516"/>
      <c r="AO115" s="516"/>
      <c r="AP115" s="516"/>
      <c r="AZ115" s="516"/>
    </row>
    <row r="116" spans="18:71" x14ac:dyDescent="0.2">
      <c r="R116" s="1095"/>
      <c r="S116" s="451" t="s">
        <v>1107</v>
      </c>
      <c r="T116" s="367">
        <v>50</v>
      </c>
      <c r="U116" s="367">
        <v>345</v>
      </c>
      <c r="V116" s="367">
        <v>90</v>
      </c>
      <c r="W116" s="367">
        <v>620</v>
      </c>
      <c r="X116" s="367">
        <v>45</v>
      </c>
      <c r="Y116" s="367">
        <v>60</v>
      </c>
      <c r="Z116" s="457"/>
    </row>
    <row r="117" spans="18:71" x14ac:dyDescent="0.2">
      <c r="R117" s="1095"/>
      <c r="S117" s="451" t="s">
        <v>1108</v>
      </c>
      <c r="T117" s="367">
        <v>55</v>
      </c>
      <c r="U117" s="367">
        <v>380</v>
      </c>
      <c r="V117" s="367">
        <v>100</v>
      </c>
      <c r="W117" s="367">
        <v>690</v>
      </c>
      <c r="X117" s="367">
        <v>35</v>
      </c>
      <c r="Y117" s="367">
        <v>55</v>
      </c>
      <c r="Z117" s="457"/>
    </row>
    <row r="118" spans="18:71" x14ac:dyDescent="0.2">
      <c r="R118" s="1095"/>
      <c r="S118" s="451" t="s">
        <v>1109</v>
      </c>
      <c r="T118" s="367">
        <v>30</v>
      </c>
      <c r="U118" s="367">
        <v>205</v>
      </c>
      <c r="V118" s="367">
        <v>80</v>
      </c>
      <c r="W118" s="367">
        <v>550</v>
      </c>
      <c r="X118" s="367">
        <v>30</v>
      </c>
      <c r="Y118" s="367">
        <v>50</v>
      </c>
      <c r="Z118" s="457"/>
    </row>
    <row r="119" spans="18:71" x14ac:dyDescent="0.2">
      <c r="R119" s="1095"/>
      <c r="S119" s="451" t="s">
        <v>1110</v>
      </c>
      <c r="T119" s="367">
        <v>35</v>
      </c>
      <c r="U119" s="367">
        <v>240</v>
      </c>
      <c r="V119" s="367">
        <v>80</v>
      </c>
      <c r="W119" s="367">
        <v>550</v>
      </c>
      <c r="X119" s="367">
        <v>30</v>
      </c>
      <c r="Y119" s="367">
        <v>50</v>
      </c>
      <c r="Z119" s="457"/>
    </row>
    <row r="120" spans="18:71" x14ac:dyDescent="0.2">
      <c r="R120" s="1095"/>
      <c r="S120" s="451" t="s">
        <v>1111</v>
      </c>
      <c r="T120" s="367">
        <v>44</v>
      </c>
      <c r="U120" s="367">
        <v>300</v>
      </c>
      <c r="V120" s="367">
        <v>94</v>
      </c>
      <c r="W120" s="367">
        <v>650</v>
      </c>
      <c r="X120" s="367">
        <v>35</v>
      </c>
      <c r="Y120" s="367">
        <v>50</v>
      </c>
      <c r="Z120" s="457"/>
    </row>
    <row r="121" spans="18:71" x14ac:dyDescent="0.2">
      <c r="R121" s="1095"/>
      <c r="S121" s="452" t="s">
        <v>1112</v>
      </c>
      <c r="T121" s="367">
        <v>45</v>
      </c>
      <c r="U121" s="367">
        <v>310</v>
      </c>
      <c r="V121" s="367">
        <v>87</v>
      </c>
      <c r="W121" s="367">
        <v>600</v>
      </c>
      <c r="X121" s="367">
        <v>40</v>
      </c>
      <c r="Y121" s="367">
        <v>50</v>
      </c>
      <c r="Z121" s="457"/>
    </row>
    <row r="122" spans="18:71" x14ac:dyDescent="0.2">
      <c r="R122" s="1095"/>
      <c r="S122" s="451" t="s">
        <v>147</v>
      </c>
      <c r="T122" s="367">
        <v>35</v>
      </c>
      <c r="U122" s="367">
        <v>240</v>
      </c>
      <c r="V122" s="367">
        <v>78</v>
      </c>
      <c r="W122" s="367">
        <v>540</v>
      </c>
      <c r="X122" s="367">
        <v>40</v>
      </c>
      <c r="Y122" s="367">
        <v>50</v>
      </c>
      <c r="Z122" s="457"/>
    </row>
    <row r="123" spans="18:71" x14ac:dyDescent="0.2">
      <c r="R123" s="1095"/>
      <c r="S123" s="451" t="s">
        <v>1113</v>
      </c>
      <c r="T123" s="367">
        <v>30</v>
      </c>
      <c r="U123" s="367">
        <v>205</v>
      </c>
      <c r="V123" s="367">
        <v>75</v>
      </c>
      <c r="W123" s="367">
        <v>515</v>
      </c>
      <c r="X123" s="367">
        <v>40</v>
      </c>
      <c r="Y123" s="367">
        <v>50</v>
      </c>
      <c r="Z123" s="457"/>
    </row>
    <row r="124" spans="18:71" x14ac:dyDescent="0.2">
      <c r="R124" s="1095"/>
      <c r="S124" s="451" t="s">
        <v>148</v>
      </c>
      <c r="T124" s="367">
        <v>35</v>
      </c>
      <c r="U124" s="367">
        <v>240</v>
      </c>
      <c r="V124" s="367">
        <v>80</v>
      </c>
      <c r="W124" s="367">
        <v>550</v>
      </c>
      <c r="X124" s="367">
        <v>40</v>
      </c>
      <c r="Y124" s="367">
        <v>50</v>
      </c>
      <c r="Z124" s="457"/>
    </row>
    <row r="125" spans="18:71" x14ac:dyDescent="0.2">
      <c r="R125" s="1095"/>
      <c r="S125" s="451" t="s">
        <v>1114</v>
      </c>
      <c r="T125" s="367">
        <v>60</v>
      </c>
      <c r="U125" s="367">
        <v>415</v>
      </c>
      <c r="V125" s="367">
        <v>115</v>
      </c>
      <c r="W125" s="367">
        <v>795</v>
      </c>
      <c r="X125" s="367">
        <v>35</v>
      </c>
      <c r="Y125" s="367">
        <v>40</v>
      </c>
      <c r="Z125" s="457"/>
    </row>
    <row r="126" spans="18:71" x14ac:dyDescent="0.2">
      <c r="R126" s="1095"/>
      <c r="S126" s="451" t="s">
        <v>151</v>
      </c>
      <c r="T126" s="367">
        <v>27</v>
      </c>
      <c r="U126" s="367">
        <v>185</v>
      </c>
      <c r="V126" s="367">
        <v>73</v>
      </c>
      <c r="W126" s="367">
        <v>500</v>
      </c>
      <c r="X126" s="367">
        <v>30</v>
      </c>
      <c r="Y126" s="367">
        <v>35</v>
      </c>
      <c r="Z126" s="457"/>
    </row>
    <row r="127" spans="18:71" x14ac:dyDescent="0.2">
      <c r="R127" s="1096"/>
      <c r="S127" s="451" t="s">
        <v>1115</v>
      </c>
      <c r="T127" s="367">
        <v>45</v>
      </c>
      <c r="U127" s="367">
        <v>310</v>
      </c>
      <c r="V127" s="367">
        <v>95</v>
      </c>
      <c r="W127" s="367">
        <v>655</v>
      </c>
      <c r="X127" s="367">
        <v>30</v>
      </c>
      <c r="Y127" s="367">
        <v>50</v>
      </c>
      <c r="Z127" s="457"/>
    </row>
    <row r="128" spans="18:71" x14ac:dyDescent="0.2">
      <c r="R128" s="1097" t="s">
        <v>1116</v>
      </c>
      <c r="S128" s="451" t="s">
        <v>155</v>
      </c>
      <c r="T128" s="367">
        <v>65</v>
      </c>
      <c r="U128" s="367">
        <v>450</v>
      </c>
      <c r="V128" s="373" t="s">
        <v>1124</v>
      </c>
      <c r="W128" s="373" t="s">
        <v>1126</v>
      </c>
      <c r="X128" s="367">
        <v>25</v>
      </c>
      <c r="Y128" s="367">
        <v>50</v>
      </c>
      <c r="Z128" s="457"/>
    </row>
    <row r="129" spans="17:26" x14ac:dyDescent="0.2">
      <c r="R129" s="1098"/>
      <c r="S129" s="451" t="s">
        <v>1117</v>
      </c>
      <c r="T129" s="367">
        <v>65</v>
      </c>
      <c r="U129" s="367">
        <v>450</v>
      </c>
      <c r="V129" s="367">
        <v>90</v>
      </c>
      <c r="W129" s="367">
        <v>620</v>
      </c>
      <c r="X129" s="367">
        <v>25</v>
      </c>
      <c r="Y129" s="367">
        <v>45</v>
      </c>
      <c r="Z129" s="457"/>
    </row>
    <row r="130" spans="17:26" ht="15" customHeight="1" x14ac:dyDescent="0.2">
      <c r="R130" s="1098"/>
      <c r="S130" s="451" t="s">
        <v>149</v>
      </c>
      <c r="T130" s="367">
        <v>70</v>
      </c>
      <c r="U130" s="367">
        <v>485</v>
      </c>
      <c r="V130" s="367">
        <v>100</v>
      </c>
      <c r="W130" s="367">
        <v>690</v>
      </c>
      <c r="X130" s="367">
        <v>15</v>
      </c>
      <c r="Y130" s="2"/>
      <c r="Z130" s="457"/>
    </row>
    <row r="131" spans="17:26" x14ac:dyDescent="0.2">
      <c r="R131" s="1098"/>
      <c r="S131" s="451" t="s">
        <v>1118</v>
      </c>
      <c r="T131" s="367">
        <v>80</v>
      </c>
      <c r="U131" s="367">
        <v>550</v>
      </c>
      <c r="V131" s="367">
        <v>116</v>
      </c>
      <c r="W131" s="367">
        <v>800</v>
      </c>
      <c r="X131" s="367">
        <v>15</v>
      </c>
      <c r="Y131" s="2"/>
      <c r="Z131" s="456">
        <v>310</v>
      </c>
    </row>
    <row r="132" spans="17:26" x14ac:dyDescent="0.2">
      <c r="R132" s="1098"/>
      <c r="S132" s="451" t="s">
        <v>1119</v>
      </c>
      <c r="T132" s="367">
        <v>80</v>
      </c>
      <c r="U132" s="367">
        <v>550</v>
      </c>
      <c r="V132" s="367">
        <v>116</v>
      </c>
      <c r="W132" s="367">
        <v>800</v>
      </c>
      <c r="X132" s="367">
        <v>15</v>
      </c>
      <c r="Y132" s="367">
        <v>30</v>
      </c>
      <c r="Z132" s="456">
        <v>310</v>
      </c>
    </row>
    <row r="133" spans="17:26" ht="15" customHeight="1" x14ac:dyDescent="0.2">
      <c r="R133" s="1098"/>
      <c r="S133" s="451" t="s">
        <v>1120</v>
      </c>
      <c r="T133" s="367">
        <v>80</v>
      </c>
      <c r="U133" s="367">
        <v>550</v>
      </c>
      <c r="V133" s="373" t="s">
        <v>1125</v>
      </c>
      <c r="W133" s="373" t="s">
        <v>1127</v>
      </c>
      <c r="X133" s="367">
        <v>25</v>
      </c>
      <c r="Y133" s="367">
        <v>45</v>
      </c>
      <c r="Z133" s="457"/>
    </row>
    <row r="134" spans="17:26" x14ac:dyDescent="0.2">
      <c r="R134" s="1098"/>
      <c r="S134" s="451" t="s">
        <v>1121</v>
      </c>
      <c r="T134" s="367">
        <v>85</v>
      </c>
      <c r="U134" s="367">
        <v>585</v>
      </c>
      <c r="V134" s="367">
        <v>118</v>
      </c>
      <c r="W134" s="367">
        <v>820</v>
      </c>
      <c r="X134" s="367">
        <v>25</v>
      </c>
      <c r="Y134" s="367">
        <v>50</v>
      </c>
      <c r="Z134" s="457"/>
    </row>
    <row r="135" spans="17:26" x14ac:dyDescent="0.2">
      <c r="R135" s="1098"/>
      <c r="S135" s="451" t="s">
        <v>1122</v>
      </c>
      <c r="T135" s="367">
        <v>80</v>
      </c>
      <c r="U135" s="367">
        <v>550</v>
      </c>
      <c r="V135" s="367">
        <v>112</v>
      </c>
      <c r="W135" s="367">
        <v>770</v>
      </c>
      <c r="X135" s="367">
        <v>25</v>
      </c>
      <c r="Y135" s="367">
        <v>40</v>
      </c>
      <c r="Z135" s="457"/>
    </row>
    <row r="136" spans="17:26" x14ac:dyDescent="0.2">
      <c r="R136" s="1098"/>
      <c r="S136" s="451" t="s">
        <v>155</v>
      </c>
      <c r="T136" s="367">
        <v>65</v>
      </c>
      <c r="U136" s="367">
        <v>450</v>
      </c>
      <c r="V136" s="367">
        <v>90</v>
      </c>
      <c r="W136" s="367">
        <v>620</v>
      </c>
      <c r="X136" s="367">
        <v>25</v>
      </c>
      <c r="Y136" s="367">
        <v>45</v>
      </c>
      <c r="Z136" s="457"/>
    </row>
    <row r="137" spans="17:26" x14ac:dyDescent="0.2">
      <c r="R137" s="1099"/>
      <c r="S137" s="458" t="s">
        <v>1123</v>
      </c>
      <c r="T137" s="459">
        <v>80</v>
      </c>
      <c r="U137" s="459">
        <v>550</v>
      </c>
      <c r="V137" s="459">
        <v>109</v>
      </c>
      <c r="W137" s="459">
        <v>750</v>
      </c>
      <c r="X137" s="459">
        <v>25</v>
      </c>
      <c r="Y137" s="459">
        <v>50</v>
      </c>
      <c r="Z137" s="393"/>
    </row>
    <row r="138" spans="17:26" x14ac:dyDescent="0.2">
      <c r="R138" s="460"/>
    </row>
    <row r="139" spans="17:26" x14ac:dyDescent="0.2">
      <c r="Q139" s="7"/>
      <c r="R139" s="460"/>
      <c r="S139" s="7"/>
      <c r="T139" s="7"/>
    </row>
    <row r="140" spans="17:26" x14ac:dyDescent="0.2">
      <c r="Q140" s="7"/>
      <c r="R140" s="460"/>
      <c r="S140" s="7"/>
      <c r="T140" s="7"/>
    </row>
    <row r="141" spans="17:26" x14ac:dyDescent="0.2">
      <c r="Q141" s="7"/>
      <c r="R141" s="460"/>
      <c r="S141" s="7"/>
      <c r="T141" s="7"/>
    </row>
    <row r="142" spans="17:26" x14ac:dyDescent="0.2">
      <c r="Q142" s="7"/>
      <c r="R142" s="460"/>
      <c r="S142" s="7"/>
      <c r="T142" s="7"/>
    </row>
    <row r="143" spans="17:26" x14ac:dyDescent="0.2">
      <c r="Q143" s="7"/>
      <c r="R143" s="461"/>
      <c r="S143" s="7"/>
      <c r="T143" s="7"/>
    </row>
  </sheetData>
  <mergeCells count="104">
    <mergeCell ref="BM60:BM61"/>
    <mergeCell ref="BN60:BO60"/>
    <mergeCell ref="BG60:BG61"/>
    <mergeCell ref="BH60:BH61"/>
    <mergeCell ref="BI60:BI61"/>
    <mergeCell ref="BF60:BF61"/>
    <mergeCell ref="BF66:BG66"/>
    <mergeCell ref="BF67:BG67"/>
    <mergeCell ref="V46:X46"/>
    <mergeCell ref="V47:X47"/>
    <mergeCell ref="BF62:BF63"/>
    <mergeCell ref="BJ60:BJ61"/>
    <mergeCell ref="BK60:BL60"/>
    <mergeCell ref="B21:C21"/>
    <mergeCell ref="V28:W28"/>
    <mergeCell ref="X28:Y28"/>
    <mergeCell ref="BE60:BE69"/>
    <mergeCell ref="R66:R84"/>
    <mergeCell ref="BF68:BG68"/>
    <mergeCell ref="BF69:BG69"/>
    <mergeCell ref="AD72:AE72"/>
    <mergeCell ref="AD73:AE73"/>
    <mergeCell ref="AD74:AE74"/>
    <mergeCell ref="AD75:AE75"/>
    <mergeCell ref="AD76:AE76"/>
    <mergeCell ref="AD67:AE67"/>
    <mergeCell ref="AD68:AE68"/>
    <mergeCell ref="AD69:AE69"/>
    <mergeCell ref="AD70:AE70"/>
    <mergeCell ref="AD71:AE71"/>
    <mergeCell ref="AD84:AE84"/>
    <mergeCell ref="AF72:AG72"/>
    <mergeCell ref="AF73:AG73"/>
    <mergeCell ref="AF74:AG74"/>
    <mergeCell ref="AF75:AG75"/>
    <mergeCell ref="AF76:AG76"/>
    <mergeCell ref="AF67:AG67"/>
    <mergeCell ref="AD85:AE85"/>
    <mergeCell ref="AD86:AE86"/>
    <mergeCell ref="AD77:AE77"/>
    <mergeCell ref="AD78:AE78"/>
    <mergeCell ref="AD79:AE79"/>
    <mergeCell ref="AD80:AE80"/>
    <mergeCell ref="AD81:AE81"/>
    <mergeCell ref="AD92:AE92"/>
    <mergeCell ref="AD82:AE82"/>
    <mergeCell ref="AD83:AE83"/>
    <mergeCell ref="AD93:AE93"/>
    <mergeCell ref="AD94:AE94"/>
    <mergeCell ref="AD95:AE95"/>
    <mergeCell ref="AD96:AE96"/>
    <mergeCell ref="AD87:AE87"/>
    <mergeCell ref="AD88:AE88"/>
    <mergeCell ref="AD89:AE89"/>
    <mergeCell ref="AD90:AE90"/>
    <mergeCell ref="AD91:AE91"/>
    <mergeCell ref="AD102:AE102"/>
    <mergeCell ref="AD103:AE103"/>
    <mergeCell ref="AD104:AE104"/>
    <mergeCell ref="AD105:AE105"/>
    <mergeCell ref="AD106:AE106"/>
    <mergeCell ref="AD97:AE97"/>
    <mergeCell ref="AD98:AE98"/>
    <mergeCell ref="AD99:AE99"/>
    <mergeCell ref="AD100:AE100"/>
    <mergeCell ref="AD101:AE101"/>
    <mergeCell ref="AF68:AG68"/>
    <mergeCell ref="AF69:AG69"/>
    <mergeCell ref="AF70:AG70"/>
    <mergeCell ref="AF71:AG71"/>
    <mergeCell ref="AF82:AG82"/>
    <mergeCell ref="AF83:AG83"/>
    <mergeCell ref="AF84:AG84"/>
    <mergeCell ref="AF85:AG85"/>
    <mergeCell ref="AF86:AG86"/>
    <mergeCell ref="AF77:AG77"/>
    <mergeCell ref="AF78:AG78"/>
    <mergeCell ref="AF79:AG79"/>
    <mergeCell ref="AF80:AG80"/>
    <mergeCell ref="AF81:AG81"/>
    <mergeCell ref="R85:R90"/>
    <mergeCell ref="R91:R93"/>
    <mergeCell ref="R94:R127"/>
    <mergeCell ref="R128:R137"/>
    <mergeCell ref="AF102:AG102"/>
    <mergeCell ref="AF103:AG103"/>
    <mergeCell ref="AF104:AG104"/>
    <mergeCell ref="AF105:AG105"/>
    <mergeCell ref="AF106:AG106"/>
    <mergeCell ref="AF97:AG97"/>
    <mergeCell ref="AF98:AG98"/>
    <mergeCell ref="AF99:AG99"/>
    <mergeCell ref="AF100:AG100"/>
    <mergeCell ref="AF101:AG101"/>
    <mergeCell ref="AF92:AG92"/>
    <mergeCell ref="AF93:AG93"/>
    <mergeCell ref="AF94:AG94"/>
    <mergeCell ref="AF95:AG95"/>
    <mergeCell ref="AF96:AG96"/>
    <mergeCell ref="AF87:AG87"/>
    <mergeCell ref="AF88:AG88"/>
    <mergeCell ref="AF89:AG89"/>
    <mergeCell ref="AF90:AG90"/>
    <mergeCell ref="AF91:AG91"/>
  </mergeCells>
  <pageMargins left="0.7" right="0.7" top="0.75" bottom="0.75" header="0.3" footer="0.3"/>
  <drawing r:id="rId1"/>
  <tableParts count="12">
    <tablePart r:id="rId2"/>
    <tablePart r:id="rId3"/>
    <tablePart r:id="rId4"/>
    <tablePart r:id="rId5"/>
    <tablePart r:id="rId6"/>
    <tablePart r:id="rId7"/>
    <tablePart r:id="rId8"/>
    <tablePart r:id="rId9"/>
    <tablePart r:id="rId10"/>
    <tablePart r:id="rId11"/>
    <tablePart r:id="rId12"/>
    <tablePart r:id="rId1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ublished="0" codeName="Sayfa7"/>
  <dimension ref="A1:AC296"/>
  <sheetViews>
    <sheetView showGridLines="0" zoomScale="70" zoomScaleNormal="70" workbookViewId="0">
      <selection activeCell="Q34" sqref="Q34"/>
    </sheetView>
  </sheetViews>
  <sheetFormatPr defaultRowHeight="15" x14ac:dyDescent="0.2"/>
  <cols>
    <col min="2" max="2" width="42.375" customWidth="1"/>
    <col min="3" max="3" width="21.38671875" customWidth="1"/>
    <col min="4" max="4" width="12.64453125" customWidth="1"/>
    <col min="5" max="5" width="12.9140625" customWidth="1"/>
    <col min="6" max="6" width="16.27734375" customWidth="1"/>
    <col min="7" max="7" width="13.31640625" customWidth="1"/>
    <col min="8" max="8" width="13.98828125" customWidth="1"/>
    <col min="9" max="9" width="14.9296875" customWidth="1"/>
    <col min="10" max="10" width="12.10546875" bestFit="1" customWidth="1"/>
    <col min="11" max="11" width="10.625" bestFit="1" customWidth="1"/>
    <col min="12" max="12" width="9.28125" bestFit="1" customWidth="1"/>
    <col min="13" max="13" width="14.390625" customWidth="1"/>
    <col min="14" max="14" width="10.4921875" customWidth="1"/>
    <col min="15" max="15" width="14.9296875" customWidth="1"/>
    <col min="17" max="17" width="31.609375" customWidth="1"/>
    <col min="18" max="18" width="17.62109375" customWidth="1"/>
    <col min="19" max="19" width="16.94921875" customWidth="1"/>
    <col min="20" max="20" width="19.50390625" customWidth="1"/>
    <col min="21" max="21" width="24.48046875" customWidth="1"/>
    <col min="22" max="22" width="10.4921875" customWidth="1"/>
    <col min="23" max="23" width="17.484375" customWidth="1"/>
    <col min="24" max="24" width="13.046875" customWidth="1"/>
    <col min="25" max="25" width="12.375" customWidth="1"/>
    <col min="26" max="26" width="13.31640625" customWidth="1"/>
  </cols>
  <sheetData>
    <row r="1" spans="2:27" x14ac:dyDescent="0.2">
      <c r="B1" s="124" t="s">
        <v>346</v>
      </c>
    </row>
    <row r="2" spans="2:27" x14ac:dyDescent="0.2">
      <c r="B2" s="124" t="s">
        <v>347</v>
      </c>
    </row>
    <row r="3" spans="2:27" x14ac:dyDescent="0.2">
      <c r="B3" s="126" t="s">
        <v>737</v>
      </c>
    </row>
    <row r="4" spans="2:27" x14ac:dyDescent="0.2">
      <c r="B4" s="127"/>
    </row>
    <row r="5" spans="2:27" ht="22.5" x14ac:dyDescent="0.2">
      <c r="B5" s="128" t="s">
        <v>339</v>
      </c>
    </row>
    <row r="6" spans="2:27" x14ac:dyDescent="0.2">
      <c r="B6" s="127"/>
    </row>
    <row r="7" spans="2:27" x14ac:dyDescent="0.2">
      <c r="B7" s="129" t="s">
        <v>348</v>
      </c>
    </row>
    <row r="8" spans="2:27" x14ac:dyDescent="0.2">
      <c r="B8" s="130" t="s">
        <v>853</v>
      </c>
    </row>
    <row r="9" spans="2:27" x14ac:dyDescent="0.2">
      <c r="B9" s="125" t="s">
        <v>349</v>
      </c>
    </row>
    <row r="10" spans="2:27" x14ac:dyDescent="0.2">
      <c r="B10" s="125" t="s">
        <v>350</v>
      </c>
    </row>
    <row r="11" spans="2:27" x14ac:dyDescent="0.2">
      <c r="B11" s="131" t="s">
        <v>351</v>
      </c>
    </row>
    <row r="12" spans="2:27" x14ac:dyDescent="0.2">
      <c r="B12" s="132"/>
    </row>
    <row r="13" spans="2:27" x14ac:dyDescent="0.2">
      <c r="B13" s="127"/>
    </row>
    <row r="14" spans="2:27" ht="9.75" customHeight="1" x14ac:dyDescent="0.2">
      <c r="B14" s="133"/>
    </row>
    <row r="15" spans="2:27" ht="36.75" customHeight="1" thickBot="1" x14ac:dyDescent="0.25">
      <c r="B15" s="561" t="s">
        <v>1197</v>
      </c>
      <c r="C15" s="535" t="s">
        <v>358</v>
      </c>
      <c r="D15" s="535" t="s">
        <v>359</v>
      </c>
      <c r="E15" s="535" t="s">
        <v>360</v>
      </c>
      <c r="F15" s="535" t="s">
        <v>361</v>
      </c>
      <c r="G15" s="535" t="s">
        <v>362</v>
      </c>
      <c r="H15" s="535" t="s">
        <v>363</v>
      </c>
      <c r="I15" s="535" t="s">
        <v>364</v>
      </c>
      <c r="J15" s="535" t="s">
        <v>1163</v>
      </c>
      <c r="K15" s="535" t="s">
        <v>1164</v>
      </c>
      <c r="L15" s="535" t="s">
        <v>1165</v>
      </c>
      <c r="M15" s="535" t="s">
        <v>1166</v>
      </c>
      <c r="N15" s="535" t="s">
        <v>1167</v>
      </c>
      <c r="O15" s="563" t="s">
        <v>1198</v>
      </c>
      <c r="P15" s="514"/>
      <c r="Q15" s="540" t="s">
        <v>1196</v>
      </c>
      <c r="R15" s="540" t="s">
        <v>372</v>
      </c>
      <c r="S15" s="540" t="s">
        <v>373</v>
      </c>
      <c r="T15" s="540" t="s">
        <v>369</v>
      </c>
      <c r="U15" s="540" t="s">
        <v>370</v>
      </c>
      <c r="V15" s="540" t="s">
        <v>374</v>
      </c>
      <c r="W15" s="540" t="s">
        <v>375</v>
      </c>
      <c r="X15" s="540" t="s">
        <v>376</v>
      </c>
      <c r="Y15" s="540" t="s">
        <v>1288</v>
      </c>
      <c r="Z15" s="544" t="s">
        <v>1287</v>
      </c>
      <c r="AA15" s="544" t="s">
        <v>1286</v>
      </c>
    </row>
    <row r="16" spans="2:27" ht="15" customHeight="1" x14ac:dyDescent="0.2">
      <c r="B16" s="482" t="s">
        <v>152</v>
      </c>
      <c r="C16" s="367" t="s">
        <v>854</v>
      </c>
      <c r="D16" s="367" t="s">
        <v>855</v>
      </c>
      <c r="E16" s="367">
        <v>3.5000000000000003E-2</v>
      </c>
      <c r="F16" s="367">
        <v>0.04</v>
      </c>
      <c r="G16" s="367" t="s">
        <v>736</v>
      </c>
      <c r="H16" s="367">
        <v>0.4</v>
      </c>
      <c r="I16" s="367">
        <v>0.4</v>
      </c>
      <c r="J16" s="367">
        <v>0.12</v>
      </c>
      <c r="K16" s="367">
        <v>0.08</v>
      </c>
      <c r="L16" s="477"/>
      <c r="M16" s="477"/>
      <c r="N16" s="477"/>
      <c r="O16" s="483"/>
      <c r="P16" s="7"/>
      <c r="Q16" s="2" t="s">
        <v>152</v>
      </c>
      <c r="R16" s="373">
        <v>36000</v>
      </c>
      <c r="S16" s="373">
        <v>250</v>
      </c>
      <c r="T16" s="373">
        <v>70000</v>
      </c>
      <c r="U16" s="373">
        <v>485</v>
      </c>
      <c r="V16" s="373" t="s">
        <v>857</v>
      </c>
      <c r="W16" s="373">
        <v>30</v>
      </c>
      <c r="X16" s="373">
        <v>197</v>
      </c>
      <c r="Y16" s="373"/>
      <c r="Z16" s="535"/>
      <c r="AA16" s="481"/>
    </row>
    <row r="17" spans="2:29" x14ac:dyDescent="0.2">
      <c r="B17" s="482" t="s">
        <v>1259</v>
      </c>
      <c r="C17" s="367" t="s">
        <v>914</v>
      </c>
      <c r="D17" s="367" t="s">
        <v>918</v>
      </c>
      <c r="E17" s="367" t="s">
        <v>926</v>
      </c>
      <c r="F17" s="367" t="s">
        <v>925</v>
      </c>
      <c r="G17" s="367" t="s">
        <v>923</v>
      </c>
      <c r="H17" s="367" t="s">
        <v>914</v>
      </c>
      <c r="I17" s="367" t="s">
        <v>929</v>
      </c>
      <c r="J17" s="367" t="s">
        <v>936</v>
      </c>
      <c r="K17" s="367" t="s">
        <v>942</v>
      </c>
      <c r="L17" s="477" t="s">
        <v>929</v>
      </c>
      <c r="M17" s="477" t="s">
        <v>937</v>
      </c>
      <c r="N17" s="477"/>
      <c r="O17" s="483"/>
      <c r="P17" s="7"/>
      <c r="Q17" s="482" t="s">
        <v>1259</v>
      </c>
      <c r="R17" s="373">
        <v>30000</v>
      </c>
      <c r="S17" s="373">
        <v>250</v>
      </c>
      <c r="T17" s="373" t="s">
        <v>1270</v>
      </c>
      <c r="U17" s="373" t="s">
        <v>190</v>
      </c>
      <c r="V17" s="373">
        <v>25</v>
      </c>
      <c r="W17" s="373">
        <v>38</v>
      </c>
      <c r="X17" s="373" t="s">
        <v>377</v>
      </c>
      <c r="Y17" s="373">
        <v>18</v>
      </c>
      <c r="Z17" s="511">
        <v>14</v>
      </c>
      <c r="AA17" s="493">
        <v>-28.9</v>
      </c>
    </row>
    <row r="18" spans="2:29" x14ac:dyDescent="0.2">
      <c r="B18" s="482" t="s">
        <v>1260</v>
      </c>
      <c r="C18" s="367" t="s">
        <v>914</v>
      </c>
      <c r="D18" s="367" t="s">
        <v>918</v>
      </c>
      <c r="E18" s="367" t="s">
        <v>927</v>
      </c>
      <c r="F18" s="367" t="s">
        <v>925</v>
      </c>
      <c r="G18" s="367" t="s">
        <v>923</v>
      </c>
      <c r="H18" s="367" t="s">
        <v>914</v>
      </c>
      <c r="I18" s="367" t="s">
        <v>929</v>
      </c>
      <c r="J18" s="367" t="s">
        <v>936</v>
      </c>
      <c r="K18" s="367" t="s">
        <v>942</v>
      </c>
      <c r="L18" s="477" t="s">
        <v>929</v>
      </c>
      <c r="M18" s="477" t="s">
        <v>937</v>
      </c>
      <c r="N18" s="477"/>
      <c r="O18" s="483"/>
      <c r="P18" s="7"/>
      <c r="Q18" s="482" t="s">
        <v>1262</v>
      </c>
      <c r="R18" s="373">
        <v>36000</v>
      </c>
      <c r="S18" s="373">
        <v>250</v>
      </c>
      <c r="T18" s="373" t="s">
        <v>852</v>
      </c>
      <c r="U18" s="373" t="s">
        <v>371</v>
      </c>
      <c r="V18" s="373">
        <v>22</v>
      </c>
      <c r="W18" s="373">
        <v>30</v>
      </c>
      <c r="X18" s="373"/>
      <c r="Y18" s="373">
        <v>20</v>
      </c>
      <c r="Z18" s="511">
        <v>16</v>
      </c>
      <c r="AA18" s="493">
        <v>-45.6</v>
      </c>
    </row>
    <row r="19" spans="2:29" x14ac:dyDescent="0.2">
      <c r="B19" s="482" t="s">
        <v>1261</v>
      </c>
      <c r="C19" s="367" t="s">
        <v>915</v>
      </c>
      <c r="D19" s="367" t="s">
        <v>919</v>
      </c>
      <c r="E19" s="367" t="s">
        <v>928</v>
      </c>
      <c r="F19" s="367" t="s">
        <v>925</v>
      </c>
      <c r="G19" s="367" t="s">
        <v>923</v>
      </c>
      <c r="H19" s="367" t="s">
        <v>914</v>
      </c>
      <c r="I19" s="367" t="s">
        <v>931</v>
      </c>
      <c r="J19" s="367" t="s">
        <v>936</v>
      </c>
      <c r="K19" s="367" t="s">
        <v>944</v>
      </c>
      <c r="L19" s="477" t="s">
        <v>929</v>
      </c>
      <c r="M19" s="477" t="s">
        <v>937</v>
      </c>
      <c r="N19" s="477"/>
      <c r="O19" s="483"/>
      <c r="P19" s="7"/>
      <c r="Q19" s="482" t="s">
        <v>1263</v>
      </c>
      <c r="R19" s="373">
        <v>36000</v>
      </c>
      <c r="S19" s="373">
        <v>250</v>
      </c>
      <c r="T19" s="373" t="s">
        <v>852</v>
      </c>
      <c r="U19" s="373" t="s">
        <v>371</v>
      </c>
      <c r="V19" s="373">
        <v>22</v>
      </c>
      <c r="W19" s="373">
        <v>30</v>
      </c>
      <c r="X19" s="373"/>
      <c r="Y19" s="373">
        <v>27</v>
      </c>
      <c r="Z19" s="511">
        <v>20</v>
      </c>
      <c r="AA19" s="493">
        <v>-18</v>
      </c>
    </row>
    <row r="20" spans="2:29" s="286" customFormat="1" x14ac:dyDescent="0.2">
      <c r="B20" s="482" t="s">
        <v>1255</v>
      </c>
      <c r="C20" s="367" t="s">
        <v>914</v>
      </c>
      <c r="D20" s="367" t="s">
        <v>918</v>
      </c>
      <c r="E20" s="367" t="s">
        <v>928</v>
      </c>
      <c r="F20" s="367" t="s">
        <v>925</v>
      </c>
      <c r="G20" s="367" t="s">
        <v>923</v>
      </c>
      <c r="H20" s="367" t="s">
        <v>914</v>
      </c>
      <c r="I20" s="367" t="s">
        <v>932</v>
      </c>
      <c r="J20" s="367" t="s">
        <v>936</v>
      </c>
      <c r="K20" s="367" t="s">
        <v>944</v>
      </c>
      <c r="L20" s="477" t="s">
        <v>929</v>
      </c>
      <c r="M20" s="477" t="s">
        <v>937</v>
      </c>
      <c r="N20" s="477"/>
      <c r="O20" s="483"/>
      <c r="P20" s="7"/>
      <c r="Q20" s="482" t="s">
        <v>1261</v>
      </c>
      <c r="R20" s="373">
        <v>37500</v>
      </c>
      <c r="S20" s="373">
        <v>260</v>
      </c>
      <c r="T20" s="373" t="s">
        <v>852</v>
      </c>
      <c r="U20" s="373" t="s">
        <v>371</v>
      </c>
      <c r="V20" s="373">
        <v>22</v>
      </c>
      <c r="W20" s="373">
        <v>35</v>
      </c>
      <c r="X20" s="373"/>
      <c r="Y20" s="373">
        <v>20</v>
      </c>
      <c r="Z20" s="511">
        <v>16</v>
      </c>
      <c r="AA20" s="493">
        <v>-101.1</v>
      </c>
    </row>
    <row r="21" spans="2:29" s="286" customFormat="1" x14ac:dyDescent="0.2">
      <c r="B21" s="482" t="s">
        <v>1256</v>
      </c>
      <c r="C21" s="367" t="s">
        <v>916</v>
      </c>
      <c r="D21" s="367" t="s">
        <v>920</v>
      </c>
      <c r="E21" s="367" t="s">
        <v>927</v>
      </c>
      <c r="F21" s="367" t="s">
        <v>923</v>
      </c>
      <c r="G21" s="367" t="s">
        <v>924</v>
      </c>
      <c r="H21" s="367" t="s">
        <v>914</v>
      </c>
      <c r="I21" s="367" t="s">
        <v>929</v>
      </c>
      <c r="J21" s="367" t="s">
        <v>936</v>
      </c>
      <c r="K21" s="367" t="s">
        <v>945</v>
      </c>
      <c r="L21" s="477" t="s">
        <v>929</v>
      </c>
      <c r="M21" s="477" t="s">
        <v>937</v>
      </c>
      <c r="N21" s="477" t="s">
        <v>946</v>
      </c>
      <c r="O21" s="483"/>
      <c r="P21" s="7"/>
      <c r="Q21" s="536" t="s">
        <v>1289</v>
      </c>
      <c r="R21" s="511">
        <v>37500</v>
      </c>
      <c r="S21" s="511">
        <v>260</v>
      </c>
      <c r="T21" s="511" t="s">
        <v>852</v>
      </c>
      <c r="U21" s="511" t="s">
        <v>371</v>
      </c>
      <c r="V21" s="511">
        <v>22</v>
      </c>
      <c r="W21" s="511">
        <v>35</v>
      </c>
      <c r="X21" s="511"/>
      <c r="Y21" s="511"/>
      <c r="Z21" s="511"/>
      <c r="AA21" s="511"/>
    </row>
    <row r="22" spans="2:29" s="286" customFormat="1" x14ac:dyDescent="0.2">
      <c r="B22" s="482" t="s">
        <v>1257</v>
      </c>
      <c r="C22" s="367" t="s">
        <v>915</v>
      </c>
      <c r="D22" s="367" t="s">
        <v>921</v>
      </c>
      <c r="E22" s="367"/>
      <c r="F22" s="367" t="s">
        <v>925</v>
      </c>
      <c r="G22" s="367" t="s">
        <v>925</v>
      </c>
      <c r="H22" s="367" t="s">
        <v>914</v>
      </c>
      <c r="I22" s="367" t="s">
        <v>933</v>
      </c>
      <c r="J22" s="367" t="s">
        <v>936</v>
      </c>
      <c r="K22" s="367" t="s">
        <v>944</v>
      </c>
      <c r="L22" s="477" t="s">
        <v>939</v>
      </c>
      <c r="M22" s="477" t="s">
        <v>937</v>
      </c>
      <c r="N22" s="477"/>
      <c r="O22" s="483"/>
      <c r="P22" s="7"/>
      <c r="Q22" s="482" t="s">
        <v>1264</v>
      </c>
      <c r="R22" s="373">
        <v>30000</v>
      </c>
      <c r="S22" s="373">
        <v>250</v>
      </c>
      <c r="T22" s="373" t="s">
        <v>1270</v>
      </c>
      <c r="U22" s="373" t="s">
        <v>190</v>
      </c>
      <c r="V22" s="373">
        <v>25</v>
      </c>
      <c r="W22" s="373">
        <v>38</v>
      </c>
      <c r="X22" s="373" t="s">
        <v>377</v>
      </c>
      <c r="Y22" s="373">
        <v>20</v>
      </c>
      <c r="Z22" s="511">
        <v>16</v>
      </c>
      <c r="AA22" s="493">
        <v>-59.4</v>
      </c>
    </row>
    <row r="23" spans="2:29" s="286" customFormat="1" x14ac:dyDescent="0.2">
      <c r="B23" s="482" t="s">
        <v>1258</v>
      </c>
      <c r="C23" s="367" t="s">
        <v>917</v>
      </c>
      <c r="D23" s="367" t="s">
        <v>922</v>
      </c>
      <c r="E23" s="367" t="s">
        <v>929</v>
      </c>
      <c r="F23" s="367" t="s">
        <v>924</v>
      </c>
      <c r="G23" s="367" t="s">
        <v>924</v>
      </c>
      <c r="H23" s="367" t="s">
        <v>935</v>
      </c>
      <c r="I23" s="367" t="s">
        <v>934</v>
      </c>
      <c r="J23" s="367" t="s">
        <v>938</v>
      </c>
      <c r="K23" s="367" t="s">
        <v>944</v>
      </c>
      <c r="L23" s="477" t="s">
        <v>940</v>
      </c>
      <c r="M23" s="477" t="s">
        <v>941</v>
      </c>
      <c r="N23" s="477"/>
      <c r="O23" s="483"/>
      <c r="P23" s="7"/>
      <c r="Q23" s="482" t="s">
        <v>1265</v>
      </c>
      <c r="R23" s="373">
        <v>37500</v>
      </c>
      <c r="S23" s="373">
        <v>260</v>
      </c>
      <c r="T23" s="373" t="s">
        <v>852</v>
      </c>
      <c r="U23" s="373" t="s">
        <v>371</v>
      </c>
      <c r="V23" s="373">
        <v>22</v>
      </c>
      <c r="W23" s="373">
        <v>35</v>
      </c>
      <c r="X23" s="373"/>
      <c r="Y23" s="373">
        <v>20</v>
      </c>
      <c r="Z23" s="511">
        <v>16</v>
      </c>
      <c r="AA23" s="493">
        <v>-59.4</v>
      </c>
    </row>
    <row r="24" spans="2:29" x14ac:dyDescent="0.2">
      <c r="B24" s="482" t="s">
        <v>365</v>
      </c>
      <c r="C24" s="367" t="s">
        <v>738</v>
      </c>
      <c r="D24" s="367" t="s">
        <v>739</v>
      </c>
      <c r="E24" s="367" t="s">
        <v>741</v>
      </c>
      <c r="F24" s="367" t="s">
        <v>740</v>
      </c>
      <c r="G24" s="367" t="s">
        <v>740</v>
      </c>
      <c r="H24" s="367"/>
      <c r="I24" s="528"/>
      <c r="J24" s="367"/>
      <c r="K24" s="367"/>
      <c r="L24" s="477"/>
      <c r="M24" s="477"/>
      <c r="N24" s="477"/>
      <c r="O24" s="483"/>
      <c r="P24" s="7"/>
      <c r="Q24" s="477" t="s">
        <v>1267</v>
      </c>
      <c r="R24" s="373">
        <v>52000</v>
      </c>
      <c r="S24" s="386">
        <v>360</v>
      </c>
      <c r="T24" s="373" t="s">
        <v>1271</v>
      </c>
      <c r="U24" s="373" t="s">
        <v>984</v>
      </c>
      <c r="V24" s="373">
        <v>22</v>
      </c>
      <c r="W24" s="373">
        <v>40</v>
      </c>
      <c r="X24" s="373"/>
      <c r="Y24" s="373">
        <v>20</v>
      </c>
      <c r="Z24" s="511">
        <v>16</v>
      </c>
      <c r="AA24" s="493">
        <v>-50</v>
      </c>
    </row>
    <row r="25" spans="2:29" x14ac:dyDescent="0.2">
      <c r="B25" s="482" t="s">
        <v>676</v>
      </c>
      <c r="C25" s="367" t="s">
        <v>738</v>
      </c>
      <c r="D25" s="367" t="s">
        <v>739</v>
      </c>
      <c r="E25" s="367" t="s">
        <v>741</v>
      </c>
      <c r="F25" s="367" t="s">
        <v>740</v>
      </c>
      <c r="G25" s="367" t="s">
        <v>740</v>
      </c>
      <c r="H25" s="367"/>
      <c r="I25" s="528"/>
      <c r="J25" s="367"/>
      <c r="K25" s="367"/>
      <c r="L25" s="477"/>
      <c r="M25" s="477"/>
      <c r="N25" s="477"/>
      <c r="O25" s="483"/>
      <c r="P25" s="7"/>
      <c r="Q25" s="477" t="s">
        <v>1268</v>
      </c>
      <c r="R25" s="373">
        <v>60000</v>
      </c>
      <c r="S25" s="511">
        <v>415</v>
      </c>
      <c r="T25" s="373" t="s">
        <v>1272</v>
      </c>
      <c r="U25" s="373" t="s">
        <v>207</v>
      </c>
      <c r="V25" s="373">
        <v>20</v>
      </c>
      <c r="W25" s="373">
        <v>40</v>
      </c>
      <c r="X25" s="373"/>
      <c r="Y25" s="373">
        <v>27</v>
      </c>
      <c r="Z25" s="511">
        <v>20</v>
      </c>
      <c r="AA25" s="493">
        <v>-50</v>
      </c>
    </row>
    <row r="26" spans="2:29" x14ac:dyDescent="0.2">
      <c r="B26" s="482" t="s">
        <v>732</v>
      </c>
      <c r="C26" s="367" t="s">
        <v>738</v>
      </c>
      <c r="D26" s="367" t="s">
        <v>739</v>
      </c>
      <c r="E26" s="367" t="s">
        <v>741</v>
      </c>
      <c r="F26" s="367" t="s">
        <v>740</v>
      </c>
      <c r="G26" s="367" t="s">
        <v>740</v>
      </c>
      <c r="H26" s="367"/>
      <c r="I26" s="528"/>
      <c r="J26" s="367"/>
      <c r="K26" s="367"/>
      <c r="L26" s="477"/>
      <c r="M26" s="477"/>
      <c r="N26" s="477"/>
      <c r="O26" s="483"/>
      <c r="P26" s="7"/>
      <c r="Q26" s="477" t="s">
        <v>1269</v>
      </c>
      <c r="R26" s="373">
        <v>60000</v>
      </c>
      <c r="S26" s="386">
        <v>415</v>
      </c>
      <c r="T26" s="373" t="s">
        <v>1272</v>
      </c>
      <c r="U26" s="373" t="s">
        <v>207</v>
      </c>
      <c r="V26" s="373">
        <v>20</v>
      </c>
      <c r="W26" s="373">
        <v>40</v>
      </c>
      <c r="X26" s="373"/>
      <c r="Y26" s="373">
        <v>27</v>
      </c>
      <c r="Z26" s="511">
        <v>20</v>
      </c>
      <c r="AA26" s="493">
        <v>-18</v>
      </c>
    </row>
    <row r="27" spans="2:29" x14ac:dyDescent="0.2">
      <c r="B27" s="482" t="s">
        <v>733</v>
      </c>
      <c r="C27" s="367" t="s">
        <v>738</v>
      </c>
      <c r="D27" s="367" t="s">
        <v>739</v>
      </c>
      <c r="E27" s="367" t="s">
        <v>741</v>
      </c>
      <c r="F27" s="367" t="s">
        <v>740</v>
      </c>
      <c r="G27" s="367" t="s">
        <v>740</v>
      </c>
      <c r="H27" s="367"/>
      <c r="I27" s="528"/>
      <c r="J27" s="367"/>
      <c r="K27" s="367"/>
      <c r="L27" s="477"/>
      <c r="M27" s="477"/>
      <c r="N27" s="477"/>
      <c r="O27" s="483"/>
      <c r="P27" s="7"/>
      <c r="Q27" s="477" t="s">
        <v>1257</v>
      </c>
      <c r="R27" s="373">
        <v>46000</v>
      </c>
      <c r="S27" s="373">
        <v>315</v>
      </c>
      <c r="T27" s="373" t="s">
        <v>1275</v>
      </c>
      <c r="U27" s="373" t="s">
        <v>197</v>
      </c>
      <c r="V27" s="373">
        <v>25</v>
      </c>
      <c r="W27" s="373">
        <v>38</v>
      </c>
      <c r="X27" s="373"/>
      <c r="Y27" s="373">
        <v>18</v>
      </c>
      <c r="Z27" s="511">
        <v>14</v>
      </c>
      <c r="AA27" s="493">
        <v>-73.3</v>
      </c>
    </row>
    <row r="28" spans="2:29" s="286" customFormat="1" x14ac:dyDescent="0.2">
      <c r="B28" s="482" t="s">
        <v>366</v>
      </c>
      <c r="C28" s="367" t="s">
        <v>738</v>
      </c>
      <c r="D28" s="367" t="s">
        <v>739</v>
      </c>
      <c r="E28" s="367" t="s">
        <v>741</v>
      </c>
      <c r="F28" s="367" t="s">
        <v>740</v>
      </c>
      <c r="G28" s="367" t="s">
        <v>740</v>
      </c>
      <c r="H28" s="367"/>
      <c r="I28" s="528"/>
      <c r="J28" s="367"/>
      <c r="K28" s="367"/>
      <c r="L28" s="477"/>
      <c r="M28" s="477"/>
      <c r="N28" s="477"/>
      <c r="O28" s="483"/>
      <c r="P28" s="7"/>
      <c r="Q28" s="482" t="s">
        <v>1273</v>
      </c>
      <c r="R28" s="373">
        <v>55000</v>
      </c>
      <c r="S28" s="373">
        <v>380</v>
      </c>
      <c r="T28" s="373" t="s">
        <v>1276</v>
      </c>
      <c r="U28" s="373" t="s">
        <v>986</v>
      </c>
      <c r="V28" s="373">
        <v>20</v>
      </c>
      <c r="W28" s="373">
        <v>45</v>
      </c>
      <c r="X28" s="373"/>
      <c r="Y28" s="373">
        <v>20</v>
      </c>
      <c r="Z28" s="511">
        <v>16</v>
      </c>
      <c r="AA28" s="493">
        <v>-50</v>
      </c>
    </row>
    <row r="29" spans="2:29" s="286" customFormat="1" x14ac:dyDescent="0.2">
      <c r="B29" s="482" t="s">
        <v>367</v>
      </c>
      <c r="C29" s="367" t="s">
        <v>738</v>
      </c>
      <c r="D29" s="367" t="s">
        <v>739</v>
      </c>
      <c r="E29" s="367" t="s">
        <v>741</v>
      </c>
      <c r="F29" s="367" t="s">
        <v>740</v>
      </c>
      <c r="G29" s="367" t="s">
        <v>740</v>
      </c>
      <c r="H29" s="367"/>
      <c r="I29" s="528"/>
      <c r="J29" s="367"/>
      <c r="K29" s="367"/>
      <c r="L29" s="477"/>
      <c r="M29" s="477"/>
      <c r="N29" s="477"/>
      <c r="O29" s="483"/>
      <c r="P29" s="7"/>
      <c r="Q29" s="482" t="s">
        <v>1274</v>
      </c>
      <c r="R29" s="373">
        <v>65000</v>
      </c>
      <c r="S29" s="373">
        <v>450</v>
      </c>
      <c r="T29" s="373" t="s">
        <v>1277</v>
      </c>
      <c r="U29" s="373" t="s">
        <v>988</v>
      </c>
      <c r="V29" s="373">
        <v>20</v>
      </c>
      <c r="W29" s="373">
        <v>45</v>
      </c>
      <c r="X29" s="373"/>
      <c r="Y29" s="373">
        <v>20</v>
      </c>
      <c r="Z29" s="511">
        <v>16</v>
      </c>
      <c r="AA29" s="493">
        <v>-73</v>
      </c>
      <c r="AB29"/>
      <c r="AC29"/>
    </row>
    <row r="30" spans="2:29" s="286" customFormat="1" x14ac:dyDescent="0.2">
      <c r="B30" s="482" t="s">
        <v>368</v>
      </c>
      <c r="C30" s="367" t="s">
        <v>738</v>
      </c>
      <c r="D30" s="367" t="s">
        <v>739</v>
      </c>
      <c r="E30" s="367" t="s">
        <v>741</v>
      </c>
      <c r="F30" s="367" t="s">
        <v>740</v>
      </c>
      <c r="G30" s="367" t="s">
        <v>740</v>
      </c>
      <c r="H30" s="367"/>
      <c r="I30" s="528"/>
      <c r="J30" s="367"/>
      <c r="K30" s="367"/>
      <c r="L30" s="477"/>
      <c r="M30" s="477"/>
      <c r="N30" s="477"/>
      <c r="O30" s="483"/>
      <c r="P30" s="7"/>
      <c r="Q30" s="2" t="s">
        <v>365</v>
      </c>
      <c r="R30" s="373">
        <v>42000</v>
      </c>
      <c r="S30" s="373">
        <v>290</v>
      </c>
      <c r="T30" s="373">
        <v>60000</v>
      </c>
      <c r="U30" s="373">
        <v>415</v>
      </c>
      <c r="V30" s="373">
        <v>20</v>
      </c>
      <c r="W30" s="373"/>
      <c r="X30" s="373"/>
      <c r="Y30" s="373"/>
      <c r="Z30" s="511"/>
      <c r="AA30" s="493"/>
      <c r="AB30" s="31"/>
      <c r="AC30" s="31"/>
    </row>
    <row r="31" spans="2:29" s="286" customFormat="1" x14ac:dyDescent="0.2">
      <c r="B31" s="482" t="s">
        <v>735</v>
      </c>
      <c r="C31" s="367"/>
      <c r="D31" s="367"/>
      <c r="E31" s="367"/>
      <c r="F31" s="367"/>
      <c r="G31" s="367"/>
      <c r="H31" s="367"/>
      <c r="I31" s="367"/>
      <c r="J31" s="367"/>
      <c r="K31" s="367"/>
      <c r="L31" s="477"/>
      <c r="M31" s="477"/>
      <c r="N31" s="477"/>
      <c r="O31" s="483"/>
      <c r="P31" s="7"/>
      <c r="Q31" s="2" t="s">
        <v>676</v>
      </c>
      <c r="R31" s="373">
        <v>46000</v>
      </c>
      <c r="S31" s="373">
        <v>315</v>
      </c>
      <c r="T31" s="373">
        <v>60000</v>
      </c>
      <c r="U31" s="373">
        <v>415</v>
      </c>
      <c r="V31" s="373">
        <v>20</v>
      </c>
      <c r="W31" s="373"/>
      <c r="X31" s="373"/>
      <c r="Y31" s="373"/>
      <c r="Z31" s="511"/>
      <c r="AA31" s="493"/>
      <c r="AB31" s="31"/>
      <c r="AC31" s="31"/>
    </row>
    <row r="32" spans="2:29" s="286" customFormat="1" x14ac:dyDescent="0.2">
      <c r="B32" s="482" t="s">
        <v>728</v>
      </c>
      <c r="C32" s="367" t="s">
        <v>742</v>
      </c>
      <c r="D32" s="367" t="s">
        <v>743</v>
      </c>
      <c r="E32" s="31" t="s">
        <v>744</v>
      </c>
      <c r="F32" s="367">
        <v>0.04</v>
      </c>
      <c r="G32" s="367">
        <v>0.04</v>
      </c>
      <c r="H32" s="367" t="s">
        <v>745</v>
      </c>
      <c r="I32" s="367"/>
      <c r="J32" s="31" t="s">
        <v>746</v>
      </c>
      <c r="K32" s="367"/>
      <c r="L32" s="477"/>
      <c r="M32" s="477"/>
      <c r="N32" s="477"/>
      <c r="O32" s="483"/>
      <c r="P32" s="7"/>
      <c r="Q32" s="2" t="s">
        <v>732</v>
      </c>
      <c r="R32" s="373">
        <v>48000</v>
      </c>
      <c r="S32" s="373">
        <v>330</v>
      </c>
      <c r="T32" s="373">
        <v>62000</v>
      </c>
      <c r="U32" s="373">
        <v>425</v>
      </c>
      <c r="V32" s="373">
        <v>20</v>
      </c>
      <c r="W32" s="373"/>
      <c r="X32" s="373"/>
      <c r="Y32" s="373"/>
      <c r="Z32" s="511"/>
      <c r="AA32" s="493"/>
      <c r="AB32" s="31"/>
      <c r="AC32" s="31"/>
    </row>
    <row r="33" spans="2:29" s="286" customFormat="1" x14ac:dyDescent="0.2">
      <c r="B33" s="482" t="s">
        <v>729</v>
      </c>
      <c r="C33" s="367" t="s">
        <v>747</v>
      </c>
      <c r="D33" s="367" t="s">
        <v>749</v>
      </c>
      <c r="E33" s="31" t="s">
        <v>750</v>
      </c>
      <c r="F33" s="367">
        <v>0.04</v>
      </c>
      <c r="G33" s="367">
        <v>0.04</v>
      </c>
      <c r="H33" s="367" t="s">
        <v>751</v>
      </c>
      <c r="I33" s="367"/>
      <c r="J33" s="31" t="s">
        <v>752</v>
      </c>
      <c r="K33" s="367"/>
      <c r="L33" s="477"/>
      <c r="M33" s="477"/>
      <c r="N33" s="477"/>
      <c r="O33" s="483"/>
      <c r="P33" s="7"/>
      <c r="Q33" s="2" t="s">
        <v>733</v>
      </c>
      <c r="R33" s="373">
        <v>50000</v>
      </c>
      <c r="S33" s="373">
        <v>345</v>
      </c>
      <c r="T33" s="373">
        <v>64000</v>
      </c>
      <c r="U33" s="373">
        <v>440</v>
      </c>
      <c r="V33" s="373">
        <v>20</v>
      </c>
      <c r="W33" s="373"/>
      <c r="X33" s="373"/>
      <c r="Y33" s="373"/>
      <c r="Z33" s="511"/>
      <c r="AA33" s="493"/>
      <c r="AB33" s="31"/>
      <c r="AC33" s="31"/>
    </row>
    <row r="34" spans="2:29" s="286" customFormat="1" x14ac:dyDescent="0.2">
      <c r="B34" s="482" t="s">
        <v>730</v>
      </c>
      <c r="C34" s="367" t="s">
        <v>748</v>
      </c>
      <c r="D34" s="367" t="s">
        <v>749</v>
      </c>
      <c r="E34" s="31" t="s">
        <v>750</v>
      </c>
      <c r="F34" s="367">
        <v>0.03</v>
      </c>
      <c r="G34" s="367">
        <v>0.03</v>
      </c>
      <c r="H34" s="367" t="s">
        <v>753</v>
      </c>
      <c r="I34" s="31">
        <v>0.5</v>
      </c>
      <c r="J34" s="31" t="s">
        <v>746</v>
      </c>
      <c r="K34" s="367"/>
      <c r="L34" s="477"/>
      <c r="M34" s="477"/>
      <c r="N34" s="477"/>
      <c r="O34" s="483"/>
      <c r="P34" s="7"/>
      <c r="Q34" s="2" t="s">
        <v>366</v>
      </c>
      <c r="R34" s="373">
        <v>52000</v>
      </c>
      <c r="S34" s="373">
        <v>360</v>
      </c>
      <c r="T34" s="373">
        <v>66000</v>
      </c>
      <c r="U34" s="373">
        <v>455</v>
      </c>
      <c r="V34" s="373">
        <v>20</v>
      </c>
      <c r="W34" s="373"/>
      <c r="X34" s="373"/>
      <c r="Y34" s="373"/>
      <c r="Z34" s="511"/>
      <c r="AA34" s="493"/>
    </row>
    <row r="35" spans="2:29" s="286" customFormat="1" ht="15" customHeight="1" x14ac:dyDescent="0.2">
      <c r="B35" s="482" t="s">
        <v>731</v>
      </c>
      <c r="C35" s="367" t="s">
        <v>748</v>
      </c>
      <c r="D35" s="367" t="s">
        <v>749</v>
      </c>
      <c r="E35" s="31" t="s">
        <v>744</v>
      </c>
      <c r="F35" s="367">
        <v>0.03</v>
      </c>
      <c r="G35" s="367">
        <v>0.03</v>
      </c>
      <c r="H35" s="367" t="s">
        <v>754</v>
      </c>
      <c r="I35" s="367"/>
      <c r="J35" s="31" t="s">
        <v>755</v>
      </c>
      <c r="K35" s="367"/>
      <c r="L35" s="477"/>
      <c r="M35" s="477"/>
      <c r="N35" s="477"/>
      <c r="O35" s="483"/>
      <c r="P35" s="7"/>
      <c r="Q35" s="2" t="s">
        <v>734</v>
      </c>
      <c r="R35" s="373">
        <v>56000</v>
      </c>
      <c r="S35" s="373">
        <v>385</v>
      </c>
      <c r="T35" s="373">
        <v>68000</v>
      </c>
      <c r="U35" s="373">
        <v>470</v>
      </c>
      <c r="V35" s="373">
        <v>20</v>
      </c>
      <c r="W35" s="373"/>
      <c r="X35" s="373"/>
      <c r="Y35" s="373"/>
      <c r="Z35" s="511"/>
      <c r="AA35" s="493"/>
    </row>
    <row r="36" spans="2:29" s="286" customFormat="1" x14ac:dyDescent="0.2">
      <c r="B36" s="484" t="s">
        <v>862</v>
      </c>
      <c r="C36" s="478">
        <v>0.08</v>
      </c>
      <c r="D36" s="478">
        <v>2</v>
      </c>
      <c r="E36" s="478">
        <v>1</v>
      </c>
      <c r="F36" s="478">
        <v>0.03</v>
      </c>
      <c r="G36" s="478">
        <v>4.4999999999999998E-2</v>
      </c>
      <c r="H36" s="478" t="s">
        <v>761</v>
      </c>
      <c r="I36" s="478" t="s">
        <v>760</v>
      </c>
      <c r="J36" s="478"/>
      <c r="K36" s="478"/>
      <c r="L36" s="479"/>
      <c r="M36" s="479"/>
      <c r="N36" s="479"/>
      <c r="O36" s="485"/>
      <c r="P36" s="7"/>
      <c r="Q36" s="2" t="s">
        <v>367</v>
      </c>
      <c r="R36" s="373">
        <v>60000</v>
      </c>
      <c r="S36" s="373">
        <v>415</v>
      </c>
      <c r="T36" s="373">
        <v>75000</v>
      </c>
      <c r="U36" s="373">
        <v>515</v>
      </c>
      <c r="V36" s="373">
        <v>20</v>
      </c>
      <c r="W36" s="373"/>
      <c r="X36" s="373"/>
      <c r="Y36" s="373"/>
      <c r="Z36" s="511"/>
      <c r="AA36" s="493"/>
    </row>
    <row r="37" spans="2:29" s="286" customFormat="1" x14ac:dyDescent="0.2">
      <c r="B37" s="484" t="s">
        <v>863</v>
      </c>
      <c r="C37" s="478" t="s">
        <v>762</v>
      </c>
      <c r="D37" s="478">
        <v>2</v>
      </c>
      <c r="E37" s="478">
        <v>1</v>
      </c>
      <c r="F37" s="478">
        <v>0.03</v>
      </c>
      <c r="G37" s="478">
        <v>4.4999999999999998E-2</v>
      </c>
      <c r="H37" s="478" t="s">
        <v>761</v>
      </c>
      <c r="I37" s="478" t="s">
        <v>760</v>
      </c>
      <c r="J37" s="478"/>
      <c r="K37" s="478"/>
      <c r="L37" s="479"/>
      <c r="M37" s="479"/>
      <c r="N37" s="479"/>
      <c r="O37" s="485"/>
      <c r="P37" s="7"/>
      <c r="Q37" s="2" t="s">
        <v>368</v>
      </c>
      <c r="R37" s="373">
        <v>65000</v>
      </c>
      <c r="S37" s="373">
        <v>450</v>
      </c>
      <c r="T37" s="373">
        <v>77000</v>
      </c>
      <c r="U37" s="373">
        <v>530</v>
      </c>
      <c r="V37" s="373">
        <v>20</v>
      </c>
      <c r="W37" s="373"/>
      <c r="X37" s="373"/>
      <c r="Y37" s="373"/>
      <c r="Z37" s="511"/>
      <c r="AA37" s="493"/>
    </row>
    <row r="38" spans="2:29" s="286" customFormat="1" x14ac:dyDescent="0.2">
      <c r="B38" s="484" t="s">
        <v>864</v>
      </c>
      <c r="C38" s="478">
        <v>0.03</v>
      </c>
      <c r="D38" s="478">
        <v>2</v>
      </c>
      <c r="E38" s="478">
        <v>1</v>
      </c>
      <c r="F38" s="478">
        <v>0.03</v>
      </c>
      <c r="G38" s="478">
        <v>4.4999999999999998E-2</v>
      </c>
      <c r="H38" s="478" t="s">
        <v>761</v>
      </c>
      <c r="I38" s="478" t="s">
        <v>763</v>
      </c>
      <c r="J38" s="478"/>
      <c r="K38" s="478"/>
      <c r="L38" s="479"/>
      <c r="M38" s="479"/>
      <c r="N38" s="479"/>
      <c r="O38" s="485"/>
      <c r="P38" s="7"/>
      <c r="Q38" s="2" t="s">
        <v>735</v>
      </c>
      <c r="R38" s="373">
        <v>70000</v>
      </c>
      <c r="S38" s="373">
        <v>485</v>
      </c>
      <c r="T38" s="373">
        <v>82000</v>
      </c>
      <c r="U38" s="373">
        <v>565</v>
      </c>
      <c r="V38" s="373">
        <v>18</v>
      </c>
      <c r="W38" s="373"/>
      <c r="X38" s="373"/>
      <c r="Y38" s="373"/>
      <c r="Z38" s="511"/>
      <c r="AA38" s="493"/>
    </row>
    <row r="39" spans="2:29" s="286" customFormat="1" x14ac:dyDescent="0.2">
      <c r="B39" s="484" t="s">
        <v>865</v>
      </c>
      <c r="C39" s="478">
        <v>0.08</v>
      </c>
      <c r="D39" s="478">
        <v>2</v>
      </c>
      <c r="E39" s="478">
        <v>1</v>
      </c>
      <c r="F39" s="478">
        <v>0.03</v>
      </c>
      <c r="G39" s="478">
        <v>4.4999999999999998E-2</v>
      </c>
      <c r="H39" s="478" t="s">
        <v>761</v>
      </c>
      <c r="I39" s="478" t="s">
        <v>764</v>
      </c>
      <c r="J39" s="478"/>
      <c r="K39" s="478"/>
      <c r="L39" s="479"/>
      <c r="M39" s="479"/>
      <c r="N39" s="479"/>
      <c r="O39" s="485"/>
      <c r="P39" s="7"/>
      <c r="Q39" s="365" t="s">
        <v>1199</v>
      </c>
      <c r="R39" s="375">
        <v>40000</v>
      </c>
      <c r="S39" s="375">
        <v>275</v>
      </c>
      <c r="T39" s="375">
        <v>70000</v>
      </c>
      <c r="U39" s="375">
        <v>485</v>
      </c>
      <c r="V39" s="375">
        <v>20</v>
      </c>
      <c r="W39" s="375">
        <v>30</v>
      </c>
      <c r="X39" s="375" t="s">
        <v>1058</v>
      </c>
      <c r="Y39" s="373"/>
      <c r="Z39" s="511"/>
      <c r="AA39" s="493"/>
    </row>
    <row r="40" spans="2:29" s="286" customFormat="1" x14ac:dyDescent="0.2">
      <c r="B40" s="484" t="s">
        <v>866</v>
      </c>
      <c r="C40" s="478">
        <v>0.03</v>
      </c>
      <c r="D40" s="478">
        <v>2</v>
      </c>
      <c r="E40" s="478">
        <v>1</v>
      </c>
      <c r="F40" s="478">
        <v>0.03</v>
      </c>
      <c r="G40" s="478">
        <v>4.4999999999999998E-2</v>
      </c>
      <c r="H40" s="478" t="s">
        <v>761</v>
      </c>
      <c r="I40" s="478" t="s">
        <v>764</v>
      </c>
      <c r="J40" s="478"/>
      <c r="K40" s="478"/>
      <c r="L40" s="479"/>
      <c r="M40" s="479"/>
      <c r="N40" s="479"/>
      <c r="O40" s="485"/>
      <c r="P40" s="7"/>
      <c r="Q40" s="365" t="s">
        <v>1200</v>
      </c>
      <c r="R40" s="375">
        <v>40000</v>
      </c>
      <c r="S40" s="375">
        <v>275</v>
      </c>
      <c r="T40" s="375">
        <v>70000</v>
      </c>
      <c r="U40" s="375">
        <v>485</v>
      </c>
      <c r="V40" s="375">
        <v>20</v>
      </c>
      <c r="W40" s="375">
        <v>30</v>
      </c>
      <c r="X40" s="375" t="s">
        <v>1058</v>
      </c>
      <c r="Y40" s="373"/>
      <c r="Z40" s="511"/>
      <c r="AA40" s="493"/>
    </row>
    <row r="41" spans="2:29" s="286" customFormat="1" ht="15" customHeight="1" x14ac:dyDescent="0.2">
      <c r="B41" s="484" t="s">
        <v>867</v>
      </c>
      <c r="C41" s="478" t="s">
        <v>762</v>
      </c>
      <c r="D41" s="478">
        <v>2</v>
      </c>
      <c r="E41" s="478">
        <v>1</v>
      </c>
      <c r="F41" s="478">
        <v>0.03</v>
      </c>
      <c r="G41" s="478">
        <v>4.4999999999999998E-2</v>
      </c>
      <c r="H41" s="478" t="s">
        <v>766</v>
      </c>
      <c r="I41" s="478" t="s">
        <v>765</v>
      </c>
      <c r="J41" s="478"/>
      <c r="K41" s="478"/>
      <c r="L41" s="479"/>
      <c r="M41" s="479"/>
      <c r="N41" s="479"/>
      <c r="O41" s="485"/>
      <c r="P41" s="7"/>
      <c r="Q41" s="365" t="s">
        <v>730</v>
      </c>
      <c r="R41" s="375">
        <v>40000</v>
      </c>
      <c r="S41" s="375">
        <v>275</v>
      </c>
      <c r="T41" s="375">
        <v>70000</v>
      </c>
      <c r="U41" s="375">
        <v>485</v>
      </c>
      <c r="V41" s="375">
        <v>20</v>
      </c>
      <c r="W41" s="375">
        <v>35</v>
      </c>
      <c r="X41" s="375" t="s">
        <v>1059</v>
      </c>
      <c r="Y41" s="373"/>
      <c r="Z41" s="511"/>
      <c r="AA41" s="493"/>
    </row>
    <row r="42" spans="2:29" s="286" customFormat="1" x14ac:dyDescent="0.2">
      <c r="B42" s="484" t="s">
        <v>868</v>
      </c>
      <c r="C42" s="478">
        <v>0.25</v>
      </c>
      <c r="D42" s="478">
        <v>2</v>
      </c>
      <c r="E42" s="478">
        <v>1</v>
      </c>
      <c r="F42" s="478">
        <v>0.03</v>
      </c>
      <c r="G42" s="478">
        <v>4.4999999999999998E-2</v>
      </c>
      <c r="H42" s="478" t="s">
        <v>768</v>
      </c>
      <c r="I42" s="478" t="s">
        <v>767</v>
      </c>
      <c r="J42" s="478"/>
      <c r="K42" s="478"/>
      <c r="L42" s="479"/>
      <c r="M42" s="479"/>
      <c r="N42" s="479"/>
      <c r="O42" s="485"/>
      <c r="P42" s="7"/>
      <c r="Q42" s="365" t="s">
        <v>1201</v>
      </c>
      <c r="R42" s="375">
        <v>65000</v>
      </c>
      <c r="S42" s="375">
        <v>450</v>
      </c>
      <c r="T42" s="375">
        <v>90000</v>
      </c>
      <c r="U42" s="375">
        <v>620</v>
      </c>
      <c r="V42" s="375">
        <v>22</v>
      </c>
      <c r="W42" s="375">
        <v>50</v>
      </c>
      <c r="X42" s="375" t="s">
        <v>1060</v>
      </c>
      <c r="Y42" s="373"/>
      <c r="Z42" s="511"/>
      <c r="AA42" s="493"/>
    </row>
    <row r="43" spans="2:29" s="286" customFormat="1" x14ac:dyDescent="0.2">
      <c r="B43" s="484" t="s">
        <v>869</v>
      </c>
      <c r="C43" s="478" t="s">
        <v>762</v>
      </c>
      <c r="D43" s="478">
        <v>2</v>
      </c>
      <c r="E43" s="478">
        <v>1</v>
      </c>
      <c r="F43" s="478">
        <v>0.03</v>
      </c>
      <c r="G43" s="478">
        <v>4.4999999999999998E-2</v>
      </c>
      <c r="H43" s="478" t="s">
        <v>768</v>
      </c>
      <c r="I43" s="478" t="s">
        <v>767</v>
      </c>
      <c r="J43" s="478"/>
      <c r="K43" s="478"/>
      <c r="L43" s="479"/>
      <c r="M43" s="479"/>
      <c r="N43" s="479"/>
      <c r="O43" s="485"/>
      <c r="P43" s="7"/>
      <c r="Q43" s="365" t="s">
        <v>731</v>
      </c>
      <c r="R43" s="375">
        <v>55000</v>
      </c>
      <c r="S43" s="375">
        <v>380</v>
      </c>
      <c r="T43" s="375">
        <v>85000</v>
      </c>
      <c r="U43" s="375">
        <v>585</v>
      </c>
      <c r="V43" s="375">
        <v>20</v>
      </c>
      <c r="W43" s="375">
        <v>40</v>
      </c>
      <c r="X43" s="375" t="s">
        <v>1061</v>
      </c>
      <c r="Y43" s="373"/>
      <c r="Z43" s="511"/>
      <c r="AA43" s="493"/>
    </row>
    <row r="44" spans="2:29" s="286" customFormat="1" ht="15" customHeight="1" x14ac:dyDescent="0.2">
      <c r="B44" s="484" t="s">
        <v>870</v>
      </c>
      <c r="C44" s="478">
        <v>0.03</v>
      </c>
      <c r="D44" s="478">
        <v>2</v>
      </c>
      <c r="E44" s="478">
        <v>0.4</v>
      </c>
      <c r="F44" s="478">
        <v>1.4999999999999999E-2</v>
      </c>
      <c r="G44" s="478">
        <v>0.03</v>
      </c>
      <c r="H44" s="478" t="s">
        <v>768</v>
      </c>
      <c r="I44" s="478" t="s">
        <v>769</v>
      </c>
      <c r="J44" s="478" t="s">
        <v>770</v>
      </c>
      <c r="K44" s="478"/>
      <c r="L44" s="479"/>
      <c r="M44" s="479"/>
      <c r="N44" s="479" t="s">
        <v>771</v>
      </c>
      <c r="O44" s="485"/>
      <c r="P44" s="7"/>
      <c r="Q44" s="365" t="s">
        <v>1202</v>
      </c>
      <c r="R44" s="373">
        <v>60000</v>
      </c>
      <c r="S44" s="373">
        <v>415</v>
      </c>
      <c r="T44" s="373">
        <v>85000</v>
      </c>
      <c r="U44" s="373">
        <v>585</v>
      </c>
      <c r="V44" s="373">
        <v>20</v>
      </c>
      <c r="W44" s="373">
        <v>40</v>
      </c>
      <c r="X44" s="373">
        <v>248</v>
      </c>
      <c r="Y44" s="373"/>
      <c r="Z44" s="511"/>
      <c r="AA44" s="493"/>
    </row>
    <row r="45" spans="2:29" s="286" customFormat="1" x14ac:dyDescent="0.2">
      <c r="B45" s="484" t="s">
        <v>407</v>
      </c>
      <c r="C45" s="478">
        <v>0.08</v>
      </c>
      <c r="D45" s="478">
        <v>2</v>
      </c>
      <c r="E45" s="478">
        <v>1</v>
      </c>
      <c r="F45" s="478">
        <v>0.03</v>
      </c>
      <c r="G45" s="478">
        <v>4.4999999999999998E-2</v>
      </c>
      <c r="H45" s="478" t="s">
        <v>773</v>
      </c>
      <c r="I45" s="478" t="s">
        <v>772</v>
      </c>
      <c r="J45" s="478" t="s">
        <v>770</v>
      </c>
      <c r="K45" s="478"/>
      <c r="L45" s="479"/>
      <c r="M45" s="479"/>
      <c r="N45" s="479"/>
      <c r="O45" s="485"/>
      <c r="P45" s="7"/>
      <c r="Q45" s="365" t="s">
        <v>1203</v>
      </c>
      <c r="R45" s="373">
        <v>64000</v>
      </c>
      <c r="S45" s="373">
        <v>440</v>
      </c>
      <c r="T45" s="373">
        <v>90000</v>
      </c>
      <c r="U45" s="373">
        <v>620</v>
      </c>
      <c r="V45" s="373">
        <v>20</v>
      </c>
      <c r="W45" s="373">
        <v>45</v>
      </c>
      <c r="X45" s="373">
        <v>269</v>
      </c>
      <c r="Y45" s="373"/>
      <c r="Z45" s="511"/>
      <c r="AA45" s="493"/>
    </row>
    <row r="46" spans="2:29" s="286" customFormat="1" x14ac:dyDescent="0.2">
      <c r="B46" s="484" t="s">
        <v>871</v>
      </c>
      <c r="C46" s="478" t="s">
        <v>762</v>
      </c>
      <c r="D46" s="478">
        <v>2</v>
      </c>
      <c r="E46" s="478">
        <v>1</v>
      </c>
      <c r="F46" s="478">
        <v>0.03</v>
      </c>
      <c r="G46" s="478">
        <v>4.4999999999999998E-2</v>
      </c>
      <c r="H46" s="478" t="s">
        <v>773</v>
      </c>
      <c r="I46" s="478" t="s">
        <v>772</v>
      </c>
      <c r="J46" s="478" t="s">
        <v>770</v>
      </c>
      <c r="K46" s="478"/>
      <c r="L46" s="479"/>
      <c r="M46" s="479"/>
      <c r="N46" s="479"/>
      <c r="O46" s="485"/>
      <c r="P46" s="7"/>
      <c r="Q46" s="365" t="s">
        <v>1204</v>
      </c>
      <c r="R46" s="373">
        <v>64000</v>
      </c>
      <c r="S46" s="373">
        <v>440</v>
      </c>
      <c r="T46" s="373">
        <v>90000</v>
      </c>
      <c r="U46" s="373">
        <v>620</v>
      </c>
      <c r="V46" s="373">
        <v>18</v>
      </c>
      <c r="W46" s="373">
        <v>40</v>
      </c>
      <c r="X46" s="373" t="s">
        <v>1060</v>
      </c>
      <c r="Y46" s="373"/>
      <c r="Z46" s="511"/>
      <c r="AA46" s="493"/>
    </row>
    <row r="47" spans="2:29" s="286" customFormat="1" x14ac:dyDescent="0.2">
      <c r="B47" s="484" t="s">
        <v>872</v>
      </c>
      <c r="C47" s="478">
        <v>0.03</v>
      </c>
      <c r="D47" s="478">
        <v>2</v>
      </c>
      <c r="E47" s="478">
        <v>1</v>
      </c>
      <c r="F47" s="478">
        <v>0.03</v>
      </c>
      <c r="G47" s="478">
        <v>4.4999999999999998E-2</v>
      </c>
      <c r="H47" s="478" t="s">
        <v>773</v>
      </c>
      <c r="I47" s="478" t="s">
        <v>774</v>
      </c>
      <c r="J47" s="478" t="s">
        <v>770</v>
      </c>
      <c r="K47" s="478"/>
      <c r="L47" s="479"/>
      <c r="M47" s="479"/>
      <c r="N47" s="479"/>
      <c r="O47" s="485"/>
      <c r="P47" s="7"/>
      <c r="Q47" s="365" t="s">
        <v>1205</v>
      </c>
      <c r="R47" s="373">
        <v>30000</v>
      </c>
      <c r="S47" s="373">
        <v>205</v>
      </c>
      <c r="T47" s="373">
        <v>60000</v>
      </c>
      <c r="U47" s="373">
        <v>415</v>
      </c>
      <c r="V47" s="373">
        <v>20</v>
      </c>
      <c r="W47" s="373">
        <v>45</v>
      </c>
      <c r="X47" s="373" t="s">
        <v>1062</v>
      </c>
      <c r="Y47" s="373"/>
      <c r="Z47" s="511"/>
      <c r="AA47" s="493"/>
    </row>
    <row r="48" spans="2:29" s="286" customFormat="1" x14ac:dyDescent="0.2">
      <c r="B48" s="484" t="s">
        <v>873</v>
      </c>
      <c r="C48" s="478">
        <v>0.08</v>
      </c>
      <c r="D48" s="478">
        <v>2</v>
      </c>
      <c r="E48" s="478">
        <v>1</v>
      </c>
      <c r="F48" s="478">
        <v>0.03</v>
      </c>
      <c r="G48" s="478">
        <v>4.4999999999999998E-2</v>
      </c>
      <c r="H48" s="478" t="s">
        <v>773</v>
      </c>
      <c r="I48" s="478" t="s">
        <v>775</v>
      </c>
      <c r="J48" s="478" t="s">
        <v>770</v>
      </c>
      <c r="K48" s="478"/>
      <c r="L48" s="479"/>
      <c r="M48" s="479"/>
      <c r="N48" s="479"/>
      <c r="O48" s="485"/>
      <c r="P48" s="7"/>
      <c r="Q48" s="365" t="s">
        <v>1206</v>
      </c>
      <c r="R48" s="373">
        <v>40000</v>
      </c>
      <c r="S48" s="373">
        <v>275</v>
      </c>
      <c r="T48" s="373">
        <v>70000</v>
      </c>
      <c r="U48" s="373">
        <v>485</v>
      </c>
      <c r="V48" s="373">
        <v>20</v>
      </c>
      <c r="W48" s="373">
        <v>30</v>
      </c>
      <c r="X48" s="373" t="s">
        <v>1063</v>
      </c>
      <c r="Y48" s="373"/>
      <c r="Z48" s="511"/>
      <c r="AA48" s="493"/>
    </row>
    <row r="49" spans="1:27" s="286" customFormat="1" x14ac:dyDescent="0.2">
      <c r="B49" s="484" t="s">
        <v>874</v>
      </c>
      <c r="C49" s="478">
        <v>0.03</v>
      </c>
      <c r="D49" s="478">
        <v>2</v>
      </c>
      <c r="E49" s="478">
        <v>1</v>
      </c>
      <c r="F49" s="478">
        <v>0.03</v>
      </c>
      <c r="G49" s="478">
        <v>4.4999999999999998E-2</v>
      </c>
      <c r="H49" s="478" t="s">
        <v>773</v>
      </c>
      <c r="I49" s="478" t="s">
        <v>775</v>
      </c>
      <c r="J49" s="478" t="s">
        <v>770</v>
      </c>
      <c r="K49" s="478"/>
      <c r="L49" s="479"/>
      <c r="M49" s="479"/>
      <c r="N49" s="479"/>
      <c r="O49" s="485"/>
      <c r="P49" s="7"/>
      <c r="Q49" s="365" t="s">
        <v>1207</v>
      </c>
      <c r="R49" s="373">
        <v>45000</v>
      </c>
      <c r="S49" s="373">
        <v>310</v>
      </c>
      <c r="T49" s="373">
        <v>75000</v>
      </c>
      <c r="U49" s="373">
        <v>515</v>
      </c>
      <c r="V49" s="373">
        <v>20</v>
      </c>
      <c r="W49" s="373">
        <v>30</v>
      </c>
      <c r="X49" s="373" t="s">
        <v>1064</v>
      </c>
      <c r="Y49" s="373"/>
      <c r="Z49" s="511"/>
      <c r="AA49" s="493"/>
    </row>
    <row r="50" spans="1:27" s="286" customFormat="1" x14ac:dyDescent="0.2">
      <c r="B50" s="484" t="s">
        <v>875</v>
      </c>
      <c r="C50" s="478">
        <v>0.08</v>
      </c>
      <c r="D50" s="478">
        <v>2</v>
      </c>
      <c r="E50" s="478">
        <v>1</v>
      </c>
      <c r="F50" s="478">
        <v>0.03</v>
      </c>
      <c r="G50" s="478">
        <v>4.4999999999999998E-2</v>
      </c>
      <c r="H50" s="478" t="s">
        <v>773</v>
      </c>
      <c r="I50" s="478" t="s">
        <v>772</v>
      </c>
      <c r="J50" s="478" t="s">
        <v>770</v>
      </c>
      <c r="K50" s="478"/>
      <c r="L50" s="479"/>
      <c r="M50" s="479">
        <v>-3</v>
      </c>
      <c r="N50" s="479" t="s">
        <v>776</v>
      </c>
      <c r="O50" s="485"/>
      <c r="P50" s="7"/>
      <c r="Q50" s="365" t="s">
        <v>1208</v>
      </c>
      <c r="R50" s="373">
        <v>32000</v>
      </c>
      <c r="S50" s="373">
        <v>220</v>
      </c>
      <c r="T50" s="373">
        <v>60000</v>
      </c>
      <c r="U50" s="373">
        <v>415</v>
      </c>
      <c r="V50" s="373">
        <v>20</v>
      </c>
      <c r="W50" s="373">
        <v>45</v>
      </c>
      <c r="X50" s="373" t="s">
        <v>1065</v>
      </c>
      <c r="Y50" s="373"/>
      <c r="Z50" s="511"/>
      <c r="AA50" s="493"/>
    </row>
    <row r="51" spans="1:27" s="286" customFormat="1" x14ac:dyDescent="0.2">
      <c r="B51" s="484" t="s">
        <v>876</v>
      </c>
      <c r="C51" s="478">
        <v>0.08</v>
      </c>
      <c r="D51" s="478">
        <v>2</v>
      </c>
      <c r="E51" s="478">
        <v>1</v>
      </c>
      <c r="F51" s="478">
        <v>0.03</v>
      </c>
      <c r="G51" s="478">
        <v>4.4999999999999998E-2</v>
      </c>
      <c r="H51" s="478" t="s">
        <v>761</v>
      </c>
      <c r="I51" s="478" t="s">
        <v>777</v>
      </c>
      <c r="J51" s="478" t="s">
        <v>778</v>
      </c>
      <c r="K51" s="478"/>
      <c r="L51" s="479"/>
      <c r="M51" s="479"/>
      <c r="N51" s="479"/>
      <c r="O51" s="485"/>
      <c r="P51" s="7"/>
      <c r="Q51" s="365" t="s">
        <v>1209</v>
      </c>
      <c r="R51" s="373">
        <v>40000</v>
      </c>
      <c r="S51" s="373">
        <v>275</v>
      </c>
      <c r="T51" s="373">
        <v>70000</v>
      </c>
      <c r="U51" s="373">
        <v>485</v>
      </c>
      <c r="V51" s="373">
        <v>20</v>
      </c>
      <c r="W51" s="373">
        <v>30</v>
      </c>
      <c r="X51" s="373">
        <v>170</v>
      </c>
      <c r="Y51" s="373"/>
      <c r="Z51" s="511"/>
      <c r="AA51" s="493"/>
    </row>
    <row r="52" spans="1:27" s="286" customFormat="1" x14ac:dyDescent="0.2">
      <c r="B52" s="484" t="s">
        <v>877</v>
      </c>
      <c r="C52" s="478">
        <v>0.03</v>
      </c>
      <c r="D52" s="478">
        <v>2</v>
      </c>
      <c r="E52" s="478">
        <v>1</v>
      </c>
      <c r="F52" s="478">
        <v>0.03</v>
      </c>
      <c r="G52" s="478">
        <v>4.4999999999999998E-2</v>
      </c>
      <c r="H52" s="478" t="s">
        <v>761</v>
      </c>
      <c r="I52" s="478" t="s">
        <v>777</v>
      </c>
      <c r="J52" s="478" t="s">
        <v>778</v>
      </c>
      <c r="K52" s="478"/>
      <c r="L52" s="479"/>
      <c r="M52" s="479"/>
      <c r="N52" s="479"/>
      <c r="O52" s="485"/>
      <c r="P52" s="7"/>
      <c r="Q52" s="365" t="s">
        <v>1210</v>
      </c>
      <c r="R52" s="373">
        <v>45000</v>
      </c>
      <c r="S52" s="373">
        <v>310</v>
      </c>
      <c r="T52" s="373">
        <v>75000</v>
      </c>
      <c r="U52" s="373">
        <v>515</v>
      </c>
      <c r="V52" s="373">
        <v>20</v>
      </c>
      <c r="W52" s="373">
        <v>30</v>
      </c>
      <c r="X52" s="373" t="s">
        <v>1064</v>
      </c>
      <c r="Y52" s="373"/>
      <c r="Z52" s="511"/>
      <c r="AA52" s="493"/>
    </row>
    <row r="53" spans="1:27" s="286" customFormat="1" x14ac:dyDescent="0.2">
      <c r="B53" s="484" t="s">
        <v>409</v>
      </c>
      <c r="C53" s="478">
        <v>0.08</v>
      </c>
      <c r="D53" s="478">
        <v>2</v>
      </c>
      <c r="E53" s="478">
        <v>1</v>
      </c>
      <c r="F53" s="478">
        <v>0.03</v>
      </c>
      <c r="G53" s="478">
        <v>4.4999999999999998E-2</v>
      </c>
      <c r="H53" s="478" t="s">
        <v>780</v>
      </c>
      <c r="I53" s="478" t="s">
        <v>779</v>
      </c>
      <c r="J53" s="478"/>
      <c r="K53" s="478"/>
      <c r="L53" s="479"/>
      <c r="M53" s="479">
        <v>-4</v>
      </c>
      <c r="N53" s="479"/>
      <c r="O53" s="485"/>
      <c r="P53" s="7"/>
      <c r="Q53" s="365" t="s">
        <v>1211</v>
      </c>
      <c r="R53" s="373">
        <v>60000</v>
      </c>
      <c r="S53" s="373">
        <v>415</v>
      </c>
      <c r="T53" s="373" t="s">
        <v>1251</v>
      </c>
      <c r="U53" s="373" t="s">
        <v>1056</v>
      </c>
      <c r="V53" s="373">
        <v>18</v>
      </c>
      <c r="W53" s="373">
        <v>45</v>
      </c>
      <c r="X53" s="373" t="s">
        <v>1065</v>
      </c>
      <c r="Y53" s="373"/>
      <c r="Z53" s="511"/>
      <c r="AA53" s="493"/>
    </row>
    <row r="54" spans="1:27" s="286" customFormat="1" x14ac:dyDescent="0.2">
      <c r="B54" s="484" t="s">
        <v>878</v>
      </c>
      <c r="C54" s="478" t="s">
        <v>762</v>
      </c>
      <c r="D54" s="478">
        <v>2</v>
      </c>
      <c r="E54" s="478">
        <v>1</v>
      </c>
      <c r="F54" s="478">
        <v>0.03</v>
      </c>
      <c r="G54" s="478">
        <v>4.4999999999999998E-2</v>
      </c>
      <c r="H54" s="478" t="s">
        <v>780</v>
      </c>
      <c r="I54" s="478" t="s">
        <v>779</v>
      </c>
      <c r="J54" s="478"/>
      <c r="K54" s="478"/>
      <c r="L54" s="479"/>
      <c r="M54" s="479">
        <v>-5</v>
      </c>
      <c r="N54" s="479"/>
      <c r="O54" s="485"/>
      <c r="P54" s="7"/>
      <c r="Q54" s="365" t="s">
        <v>1212</v>
      </c>
      <c r="R54" s="373">
        <v>30000</v>
      </c>
      <c r="S54" s="373">
        <v>205</v>
      </c>
      <c r="T54" s="373">
        <v>60000</v>
      </c>
      <c r="U54" s="373">
        <v>415</v>
      </c>
      <c r="V54" s="373">
        <v>20</v>
      </c>
      <c r="W54" s="373">
        <v>35</v>
      </c>
      <c r="X54" s="373">
        <v>170</v>
      </c>
      <c r="Y54" s="373"/>
      <c r="Z54" s="511"/>
      <c r="AA54" s="493"/>
    </row>
    <row r="55" spans="1:27" s="286" customFormat="1" x14ac:dyDescent="0.2">
      <c r="B55" s="484" t="s">
        <v>879</v>
      </c>
      <c r="C55" s="478">
        <v>0.08</v>
      </c>
      <c r="D55" s="478">
        <v>2</v>
      </c>
      <c r="E55" s="478">
        <v>1</v>
      </c>
      <c r="F55" s="478">
        <v>0.03</v>
      </c>
      <c r="G55" s="478">
        <v>4.4999999999999998E-2</v>
      </c>
      <c r="H55" s="478" t="s">
        <v>782</v>
      </c>
      <c r="I55" s="478" t="s">
        <v>781</v>
      </c>
      <c r="J55" s="478"/>
      <c r="K55" s="478"/>
      <c r="L55" s="479">
        <v>-6</v>
      </c>
      <c r="M55" s="479"/>
      <c r="N55" s="479"/>
      <c r="O55" s="485"/>
      <c r="P55" s="7"/>
      <c r="Q55" s="365" t="s">
        <v>1213</v>
      </c>
      <c r="R55" s="373">
        <v>45000</v>
      </c>
      <c r="S55" s="373">
        <v>310</v>
      </c>
      <c r="T55" s="373">
        <v>75000</v>
      </c>
      <c r="U55" s="373">
        <v>515</v>
      </c>
      <c r="V55" s="373">
        <v>20</v>
      </c>
      <c r="W55" s="373">
        <v>30</v>
      </c>
      <c r="X55" s="373" t="s">
        <v>1064</v>
      </c>
      <c r="Y55" s="373"/>
      <c r="Z55" s="511"/>
      <c r="AA55" s="493"/>
    </row>
    <row r="56" spans="1:27" s="286" customFormat="1" x14ac:dyDescent="0.2">
      <c r="B56" s="484" t="s">
        <v>880</v>
      </c>
      <c r="C56" s="478" t="s">
        <v>762</v>
      </c>
      <c r="D56" s="478">
        <v>2</v>
      </c>
      <c r="E56" s="478">
        <v>1</v>
      </c>
      <c r="F56" s="478">
        <v>0.03</v>
      </c>
      <c r="G56" s="478">
        <v>4.4999999999999998E-2</v>
      </c>
      <c r="H56" s="478" t="s">
        <v>782</v>
      </c>
      <c r="I56" s="478" t="s">
        <v>781</v>
      </c>
      <c r="J56" s="478"/>
      <c r="K56" s="478"/>
      <c r="L56" s="479">
        <v>-7</v>
      </c>
      <c r="M56" s="479"/>
      <c r="N56" s="479"/>
      <c r="O56" s="485"/>
      <c r="Q56" s="365" t="s">
        <v>1214</v>
      </c>
      <c r="R56" s="373">
        <v>60000</v>
      </c>
      <c r="S56" s="373">
        <v>415</v>
      </c>
      <c r="T56" s="373" t="s">
        <v>1251</v>
      </c>
      <c r="U56" s="373" t="s">
        <v>1057</v>
      </c>
      <c r="V56" s="373">
        <v>18</v>
      </c>
      <c r="W56" s="373">
        <v>45</v>
      </c>
      <c r="X56" s="373" t="s">
        <v>1065</v>
      </c>
      <c r="Y56" s="373"/>
      <c r="Z56" s="511"/>
      <c r="AA56" s="493"/>
    </row>
    <row r="57" spans="1:27" s="286" customFormat="1" x14ac:dyDescent="0.2">
      <c r="B57" s="484" t="s">
        <v>881</v>
      </c>
      <c r="C57" s="478">
        <v>0.08</v>
      </c>
      <c r="D57" s="478">
        <v>2</v>
      </c>
      <c r="E57" s="478">
        <v>1</v>
      </c>
      <c r="F57" s="478">
        <v>0.03</v>
      </c>
      <c r="G57" s="478">
        <v>4.4999999999999998E-2</v>
      </c>
      <c r="H57" s="478" t="s">
        <v>782</v>
      </c>
      <c r="I57" s="478" t="s">
        <v>781</v>
      </c>
      <c r="J57" s="478"/>
      <c r="K57" s="478"/>
      <c r="L57" s="479">
        <v>-6</v>
      </c>
      <c r="M57" s="479"/>
      <c r="N57" s="479"/>
      <c r="O57" s="485" t="s">
        <v>887</v>
      </c>
      <c r="Q57" s="365" t="s">
        <v>1215</v>
      </c>
      <c r="R57" s="373">
        <v>46000</v>
      </c>
      <c r="S57" s="373">
        <v>315</v>
      </c>
      <c r="T57" s="373">
        <v>63000</v>
      </c>
      <c r="U57" s="373">
        <v>435</v>
      </c>
      <c r="V57" s="373">
        <v>25</v>
      </c>
      <c r="W57" s="373">
        <v>38</v>
      </c>
      <c r="X57" s="373">
        <v>197</v>
      </c>
      <c r="Y57" s="373"/>
      <c r="Z57" s="511"/>
      <c r="AA57" s="493"/>
    </row>
    <row r="58" spans="1:27" s="286" customFormat="1" x14ac:dyDescent="0.2">
      <c r="B58" s="486" t="s">
        <v>882</v>
      </c>
      <c r="C58" s="487" t="s">
        <v>762</v>
      </c>
      <c r="D58" s="487">
        <v>2</v>
      </c>
      <c r="E58" s="487">
        <v>1</v>
      </c>
      <c r="F58" s="487">
        <v>0.03</v>
      </c>
      <c r="G58" s="487">
        <v>4.4999999999999998E-2</v>
      </c>
      <c r="H58" s="487" t="s">
        <v>782</v>
      </c>
      <c r="I58" s="487" t="s">
        <v>781</v>
      </c>
      <c r="J58" s="487"/>
      <c r="K58" s="487"/>
      <c r="L58" s="488">
        <v>-7</v>
      </c>
      <c r="M58" s="488"/>
      <c r="N58" s="488"/>
      <c r="O58" s="489" t="s">
        <v>887</v>
      </c>
      <c r="Q58" s="366" t="s">
        <v>1216</v>
      </c>
      <c r="R58" s="367">
        <v>40000</v>
      </c>
      <c r="S58" s="367">
        <v>275</v>
      </c>
      <c r="T58" s="367">
        <v>70000</v>
      </c>
      <c r="U58" s="367">
        <v>485</v>
      </c>
      <c r="V58" s="367">
        <v>18</v>
      </c>
      <c r="W58" s="367">
        <v>35</v>
      </c>
      <c r="X58" s="373" t="s">
        <v>1063</v>
      </c>
      <c r="Y58" s="373"/>
      <c r="Z58" s="511"/>
      <c r="AA58" s="493"/>
    </row>
    <row r="59" spans="1:27" s="286" customFormat="1" x14ac:dyDescent="0.2">
      <c r="A59"/>
      <c r="B59" s="127"/>
      <c r="C59" s="31"/>
      <c r="D59" s="31"/>
      <c r="E59" s="31"/>
      <c r="F59" s="31"/>
      <c r="G59" s="31"/>
      <c r="H59" s="31"/>
      <c r="I59" s="31"/>
      <c r="J59" s="31"/>
      <c r="K59" s="31"/>
      <c r="L59" s="127"/>
      <c r="M59" s="127"/>
      <c r="N59" s="127"/>
      <c r="Q59" s="366" t="s">
        <v>1217</v>
      </c>
      <c r="R59" s="367">
        <v>55000</v>
      </c>
      <c r="S59" s="367">
        <v>380</v>
      </c>
      <c r="T59" s="367">
        <v>85000</v>
      </c>
      <c r="U59" s="367">
        <v>585</v>
      </c>
      <c r="V59" s="367">
        <v>18</v>
      </c>
      <c r="W59" s="367">
        <v>35</v>
      </c>
      <c r="X59" s="367" t="s">
        <v>1075</v>
      </c>
      <c r="Y59" s="373"/>
      <c r="Z59" s="511"/>
      <c r="AA59" s="493"/>
    </row>
    <row r="60" spans="1:27" s="286" customFormat="1" x14ac:dyDescent="0.2">
      <c r="B60" s="127"/>
      <c r="C60" s="31"/>
      <c r="D60" s="31"/>
      <c r="E60" s="31"/>
      <c r="F60" s="31"/>
      <c r="G60" s="31"/>
      <c r="H60" s="31"/>
      <c r="I60" s="31"/>
      <c r="J60" s="31"/>
      <c r="K60" s="31"/>
      <c r="L60" s="127"/>
      <c r="M60" s="127"/>
      <c r="N60" s="127"/>
      <c r="Q60" s="366" t="s">
        <v>1218</v>
      </c>
      <c r="R60" s="367">
        <v>85000</v>
      </c>
      <c r="S60" s="367">
        <v>585</v>
      </c>
      <c r="T60" s="367">
        <v>110000</v>
      </c>
      <c r="U60" s="367">
        <v>760</v>
      </c>
      <c r="V60" s="367">
        <v>15</v>
      </c>
      <c r="W60" s="367">
        <v>35</v>
      </c>
      <c r="X60" s="367" t="s">
        <v>1076</v>
      </c>
      <c r="Y60" s="373"/>
      <c r="Z60" s="511"/>
      <c r="AA60" s="493"/>
    </row>
    <row r="61" spans="1:27" s="286" customFormat="1" x14ac:dyDescent="0.2">
      <c r="B61" s="127"/>
      <c r="C61" s="31"/>
      <c r="D61" s="31"/>
      <c r="F61" s="31"/>
      <c r="G61" s="31"/>
      <c r="H61" s="31"/>
      <c r="I61" s="31"/>
      <c r="J61" s="31"/>
      <c r="K61" s="31"/>
      <c r="L61" s="127"/>
      <c r="M61" s="127"/>
      <c r="N61" s="127"/>
      <c r="Q61" s="366" t="s">
        <v>1219</v>
      </c>
      <c r="R61" s="367">
        <v>110000</v>
      </c>
      <c r="S61" s="367">
        <v>760</v>
      </c>
      <c r="T61" s="367">
        <v>130000</v>
      </c>
      <c r="U61" s="367">
        <v>895</v>
      </c>
      <c r="V61" s="367">
        <v>12</v>
      </c>
      <c r="W61" s="367">
        <v>35</v>
      </c>
      <c r="X61" s="367" t="s">
        <v>1077</v>
      </c>
      <c r="Y61" s="373"/>
      <c r="Z61" s="511"/>
      <c r="AA61" s="493"/>
    </row>
    <row r="62" spans="1:27" s="286" customFormat="1" x14ac:dyDescent="0.2">
      <c r="B62" s="127"/>
      <c r="C62" s="31"/>
      <c r="D62" s="31"/>
      <c r="F62" s="31"/>
      <c r="G62" s="31"/>
      <c r="H62" s="31"/>
      <c r="I62" s="31"/>
      <c r="J62" s="31"/>
      <c r="K62" s="31"/>
      <c r="L62" s="127"/>
      <c r="M62" s="127"/>
      <c r="N62" s="127"/>
      <c r="Q62" s="366" t="s">
        <v>1220</v>
      </c>
      <c r="R62" s="367">
        <v>90000</v>
      </c>
      <c r="S62" s="367">
        <v>620</v>
      </c>
      <c r="T62" s="373" t="s">
        <v>1252</v>
      </c>
      <c r="U62" s="373" t="s">
        <v>1074</v>
      </c>
      <c r="V62" s="367">
        <v>16</v>
      </c>
      <c r="W62" s="367">
        <v>45</v>
      </c>
      <c r="X62" s="367" t="s">
        <v>1078</v>
      </c>
      <c r="Y62" s="373"/>
      <c r="Z62" s="511"/>
      <c r="AA62" s="493"/>
    </row>
    <row r="63" spans="1:27" s="286" customFormat="1" x14ac:dyDescent="0.2">
      <c r="B63" s="127"/>
      <c r="C63" s="127"/>
      <c r="D63" s="127"/>
      <c r="F63" s="127"/>
      <c r="G63" s="127"/>
      <c r="H63" s="127"/>
      <c r="I63" s="127"/>
      <c r="J63" s="127"/>
      <c r="K63" s="127"/>
      <c r="L63" s="127"/>
      <c r="Q63" s="366" t="s">
        <v>1221</v>
      </c>
      <c r="R63" s="367">
        <v>90000</v>
      </c>
      <c r="S63" s="367">
        <v>620</v>
      </c>
      <c r="T63" s="367">
        <v>115000</v>
      </c>
      <c r="U63" s="367">
        <v>790</v>
      </c>
      <c r="V63" s="367">
        <v>15</v>
      </c>
      <c r="W63" s="367">
        <v>45</v>
      </c>
      <c r="X63" s="367">
        <v>295</v>
      </c>
      <c r="Y63" s="373"/>
      <c r="Z63" s="511"/>
      <c r="AA63" s="493"/>
    </row>
    <row r="64" spans="1:27" s="286" customFormat="1" x14ac:dyDescent="0.2">
      <c r="B64" s="127"/>
      <c r="C64" s="127"/>
      <c r="D64" s="127"/>
      <c r="E64" s="127"/>
      <c r="F64" s="127"/>
      <c r="G64" s="127"/>
      <c r="H64" s="127"/>
      <c r="I64" s="127"/>
      <c r="J64" s="127"/>
      <c r="K64" s="127"/>
      <c r="L64" s="127"/>
      <c r="Q64" s="366" t="s">
        <v>1222</v>
      </c>
      <c r="R64" s="367">
        <v>35000</v>
      </c>
      <c r="S64" s="367">
        <v>240</v>
      </c>
      <c r="T64" s="367">
        <v>60000</v>
      </c>
      <c r="U64" s="367">
        <v>415</v>
      </c>
      <c r="V64" s="367">
        <v>20</v>
      </c>
      <c r="W64" s="367">
        <v>45</v>
      </c>
      <c r="X64" s="367">
        <v>190</v>
      </c>
      <c r="Y64" s="373"/>
      <c r="Z64" s="511"/>
      <c r="AA64" s="493"/>
    </row>
    <row r="65" spans="2:27" s="286" customFormat="1" x14ac:dyDescent="0.2">
      <c r="B65" s="127"/>
      <c r="C65" s="127"/>
      <c r="D65" s="127"/>
      <c r="E65" s="127"/>
      <c r="F65" s="127"/>
      <c r="G65" s="127"/>
      <c r="H65" s="127"/>
      <c r="I65" s="127"/>
      <c r="J65" s="127"/>
      <c r="K65" s="127"/>
      <c r="L65" s="127"/>
      <c r="Q65" s="366" t="s">
        <v>1223</v>
      </c>
      <c r="R65" s="367">
        <v>35000</v>
      </c>
      <c r="S65" s="367">
        <v>240</v>
      </c>
      <c r="T65" s="367">
        <v>60000</v>
      </c>
      <c r="U65" s="367">
        <v>415</v>
      </c>
      <c r="V65" s="367">
        <v>20</v>
      </c>
      <c r="W65" s="367">
        <v>45</v>
      </c>
      <c r="X65" s="367">
        <v>190</v>
      </c>
      <c r="Y65" s="373"/>
      <c r="Z65" s="511"/>
      <c r="AA65" s="493"/>
    </row>
    <row r="66" spans="2:27" x14ac:dyDescent="0.2">
      <c r="B66" s="127"/>
      <c r="C66" s="127"/>
      <c r="D66" s="127"/>
      <c r="E66" s="127"/>
      <c r="F66" s="127"/>
      <c r="G66" s="127"/>
      <c r="H66" s="127"/>
      <c r="I66" s="127"/>
      <c r="J66" s="127"/>
      <c r="K66" s="127"/>
      <c r="L66" s="127"/>
      <c r="M66" s="286"/>
      <c r="N66" s="286"/>
      <c r="O66" s="286"/>
      <c r="Q66" s="366" t="s">
        <v>1224</v>
      </c>
      <c r="R66" s="367">
        <v>35000</v>
      </c>
      <c r="S66" s="367">
        <v>240</v>
      </c>
      <c r="T66" s="367">
        <v>60000</v>
      </c>
      <c r="U66" s="367">
        <v>415</v>
      </c>
      <c r="V66" s="367">
        <v>20</v>
      </c>
      <c r="W66" s="367">
        <v>45</v>
      </c>
      <c r="X66" s="367">
        <v>190</v>
      </c>
      <c r="Y66" s="373"/>
      <c r="Z66" s="511"/>
      <c r="AA66" s="493"/>
    </row>
    <row r="67" spans="2:27" x14ac:dyDescent="0.2">
      <c r="B67" s="127"/>
      <c r="C67" s="127"/>
      <c r="D67" s="127"/>
      <c r="E67" s="127"/>
      <c r="F67" s="127"/>
      <c r="G67" s="127"/>
      <c r="H67" s="127"/>
      <c r="I67" s="127"/>
      <c r="J67" s="127"/>
      <c r="K67" s="127"/>
      <c r="L67" s="127"/>
      <c r="M67" s="286"/>
      <c r="N67" s="286"/>
      <c r="O67" s="286"/>
      <c r="Q67" s="366" t="s">
        <v>405</v>
      </c>
      <c r="R67" s="367">
        <v>30000</v>
      </c>
      <c r="S67" s="367">
        <v>205</v>
      </c>
      <c r="T67" s="367">
        <v>75000</v>
      </c>
      <c r="U67" s="367">
        <v>515</v>
      </c>
      <c r="V67" s="367">
        <v>30</v>
      </c>
      <c r="W67" s="367">
        <v>50</v>
      </c>
      <c r="X67" s="373"/>
      <c r="Y67" s="373"/>
      <c r="Z67" s="511"/>
      <c r="AA67" s="493"/>
    </row>
    <row r="68" spans="2:27" x14ac:dyDescent="0.2">
      <c r="B68" s="127"/>
      <c r="C68" s="127"/>
      <c r="D68" s="127"/>
      <c r="E68" s="127"/>
      <c r="F68" s="127"/>
      <c r="G68" s="127"/>
      <c r="H68" s="127"/>
      <c r="I68" s="127"/>
      <c r="J68" s="127"/>
      <c r="K68" s="127"/>
      <c r="L68" s="127"/>
      <c r="M68" s="286"/>
      <c r="N68" s="286"/>
      <c r="O68" s="286"/>
      <c r="Q68" s="366" t="s">
        <v>863</v>
      </c>
      <c r="R68" s="367">
        <v>30000</v>
      </c>
      <c r="S68" s="367">
        <v>205</v>
      </c>
      <c r="T68" s="367">
        <v>75000</v>
      </c>
      <c r="U68" s="367">
        <v>515</v>
      </c>
      <c r="V68" s="367">
        <v>30</v>
      </c>
      <c r="W68" s="367">
        <v>50</v>
      </c>
      <c r="X68" s="373"/>
      <c r="Y68" s="373"/>
      <c r="Z68" s="511"/>
      <c r="AA68" s="493"/>
    </row>
    <row r="69" spans="2:27" x14ac:dyDescent="0.2">
      <c r="B69" s="127"/>
      <c r="C69" s="127"/>
      <c r="D69" s="127"/>
      <c r="E69" s="127"/>
      <c r="F69" s="127"/>
      <c r="G69" s="127"/>
      <c r="H69" s="127"/>
      <c r="I69" s="127"/>
      <c r="J69" s="127"/>
      <c r="K69" s="127"/>
      <c r="L69" s="127"/>
      <c r="M69" s="286"/>
      <c r="N69" s="286"/>
      <c r="Q69" s="366" t="s">
        <v>406</v>
      </c>
      <c r="R69" s="367">
        <v>25000</v>
      </c>
      <c r="S69" s="367">
        <v>170</v>
      </c>
      <c r="T69" s="367">
        <v>70000</v>
      </c>
      <c r="U69" s="367">
        <v>485</v>
      </c>
      <c r="V69" s="367">
        <v>30</v>
      </c>
      <c r="W69" s="367">
        <v>50</v>
      </c>
      <c r="X69" s="373"/>
      <c r="Y69" s="373"/>
      <c r="Z69" s="511"/>
      <c r="AA69" s="493"/>
    </row>
    <row r="70" spans="2:27" s="286" customFormat="1" ht="17.25" x14ac:dyDescent="0.2">
      <c r="B70" s="133"/>
      <c r="C70"/>
      <c r="D70"/>
      <c r="E70"/>
      <c r="F70"/>
      <c r="G70"/>
      <c r="H70"/>
      <c r="I70"/>
      <c r="J70"/>
      <c r="K70"/>
      <c r="L70"/>
      <c r="M70"/>
      <c r="N70"/>
      <c r="O70"/>
      <c r="Q70" s="366" t="s">
        <v>1225</v>
      </c>
      <c r="R70" s="367">
        <v>35000</v>
      </c>
      <c r="S70" s="367">
        <v>240</v>
      </c>
      <c r="T70" s="367">
        <v>80000</v>
      </c>
      <c r="U70" s="367">
        <v>550</v>
      </c>
      <c r="V70" s="367">
        <v>30</v>
      </c>
      <c r="W70" s="367">
        <v>50</v>
      </c>
      <c r="X70" s="373"/>
      <c r="Y70" s="373"/>
      <c r="Z70" s="511"/>
      <c r="AA70" s="493"/>
    </row>
    <row r="71" spans="2:27" s="286" customFormat="1" x14ac:dyDescent="0.2">
      <c r="B71"/>
      <c r="C71"/>
      <c r="D71"/>
      <c r="E71"/>
      <c r="F71"/>
      <c r="G71"/>
      <c r="H71"/>
      <c r="I71"/>
      <c r="J71"/>
      <c r="K71"/>
      <c r="L71"/>
      <c r="M71"/>
      <c r="N71"/>
      <c r="O71"/>
      <c r="Q71" s="366" t="s">
        <v>1226</v>
      </c>
      <c r="R71" s="367">
        <v>30000</v>
      </c>
      <c r="S71" s="367">
        <v>205</v>
      </c>
      <c r="T71" s="367">
        <v>75000</v>
      </c>
      <c r="U71" s="367">
        <v>515</v>
      </c>
      <c r="V71" s="367">
        <v>30</v>
      </c>
      <c r="W71" s="367">
        <v>50</v>
      </c>
      <c r="X71" s="373"/>
      <c r="Y71" s="373"/>
      <c r="Z71" s="511"/>
      <c r="AA71" s="493"/>
    </row>
    <row r="72" spans="2:27" s="286" customFormat="1" x14ac:dyDescent="0.2">
      <c r="B72"/>
      <c r="C72"/>
      <c r="D72"/>
      <c r="E72"/>
      <c r="F72"/>
      <c r="G72"/>
      <c r="H72"/>
      <c r="I72"/>
      <c r="J72"/>
      <c r="K72"/>
      <c r="L72"/>
      <c r="M72"/>
      <c r="N72"/>
      <c r="O72"/>
      <c r="Q72" s="366" t="s">
        <v>867</v>
      </c>
      <c r="R72" s="367">
        <v>30000</v>
      </c>
      <c r="S72" s="367">
        <v>205</v>
      </c>
      <c r="T72" s="367">
        <v>75000</v>
      </c>
      <c r="U72" s="367">
        <v>515</v>
      </c>
      <c r="V72" s="367">
        <v>30</v>
      </c>
      <c r="W72" s="367">
        <v>50</v>
      </c>
      <c r="X72" s="373"/>
      <c r="Y72" s="373"/>
      <c r="Z72" s="511"/>
      <c r="AA72" s="493"/>
    </row>
    <row r="73" spans="2:27" s="286" customFormat="1" x14ac:dyDescent="0.2">
      <c r="K73"/>
      <c r="L73"/>
      <c r="M73"/>
      <c r="N73"/>
      <c r="Q73" s="366" t="s">
        <v>868</v>
      </c>
      <c r="R73" s="367">
        <v>37000</v>
      </c>
      <c r="S73" s="367">
        <v>255</v>
      </c>
      <c r="T73" s="367">
        <v>75000</v>
      </c>
      <c r="U73" s="367">
        <v>515</v>
      </c>
      <c r="V73" s="367">
        <v>30</v>
      </c>
      <c r="W73" s="367">
        <v>50</v>
      </c>
      <c r="X73" s="373"/>
      <c r="Y73" s="373"/>
      <c r="Z73" s="511"/>
      <c r="AA73" s="493"/>
    </row>
    <row r="74" spans="2:27" s="286" customFormat="1" x14ac:dyDescent="0.2">
      <c r="Q74" s="366" t="s">
        <v>1227</v>
      </c>
      <c r="R74" s="367">
        <v>30000</v>
      </c>
      <c r="S74" s="367">
        <v>205</v>
      </c>
      <c r="T74" s="367">
        <v>78000</v>
      </c>
      <c r="U74" s="367">
        <v>540</v>
      </c>
      <c r="V74" s="367">
        <v>25</v>
      </c>
      <c r="W74" s="367">
        <v>40</v>
      </c>
      <c r="X74" s="373"/>
      <c r="Y74" s="373"/>
      <c r="Z74" s="511"/>
      <c r="AA74" s="493"/>
    </row>
    <row r="75" spans="2:27" s="286" customFormat="1" x14ac:dyDescent="0.2">
      <c r="Q75" s="366" t="s">
        <v>869</v>
      </c>
      <c r="R75" s="367">
        <v>30000</v>
      </c>
      <c r="S75" s="367">
        <v>205</v>
      </c>
      <c r="T75" s="367">
        <v>75000</v>
      </c>
      <c r="U75" s="367">
        <v>515</v>
      </c>
      <c r="V75" s="367">
        <v>30</v>
      </c>
      <c r="W75" s="367">
        <v>50</v>
      </c>
      <c r="X75" s="373"/>
      <c r="Y75" s="373"/>
      <c r="Z75" s="511"/>
      <c r="AA75" s="493"/>
    </row>
    <row r="76" spans="2:27" s="286" customFormat="1" x14ac:dyDescent="0.2">
      <c r="Q76" s="366" t="s">
        <v>407</v>
      </c>
      <c r="R76" s="367">
        <v>30000</v>
      </c>
      <c r="S76" s="367">
        <v>205</v>
      </c>
      <c r="T76" s="367">
        <v>75000</v>
      </c>
      <c r="U76" s="367">
        <v>515</v>
      </c>
      <c r="V76" s="367">
        <v>30</v>
      </c>
      <c r="W76" s="367">
        <v>50</v>
      </c>
      <c r="X76" s="373"/>
      <c r="Y76" s="373"/>
      <c r="Z76" s="511"/>
      <c r="AA76" s="493"/>
    </row>
    <row r="77" spans="2:27" s="286" customFormat="1" x14ac:dyDescent="0.2">
      <c r="Q77" s="366" t="s">
        <v>871</v>
      </c>
      <c r="R77" s="367">
        <v>25000</v>
      </c>
      <c r="S77" s="367">
        <v>170</v>
      </c>
      <c r="T77" s="367">
        <v>75000</v>
      </c>
      <c r="U77" s="367">
        <v>515</v>
      </c>
      <c r="V77" s="367">
        <v>30</v>
      </c>
      <c r="W77" s="367">
        <v>50</v>
      </c>
      <c r="X77" s="373"/>
      <c r="Y77" s="373"/>
      <c r="Z77" s="511"/>
      <c r="AA77" s="493"/>
    </row>
    <row r="78" spans="2:27" s="286" customFormat="1" ht="15" customHeight="1" x14ac:dyDescent="0.2">
      <c r="Q78" s="366" t="s">
        <v>408</v>
      </c>
      <c r="R78" s="367">
        <v>35000</v>
      </c>
      <c r="S78" s="367">
        <v>240</v>
      </c>
      <c r="T78" s="367">
        <v>70000</v>
      </c>
      <c r="U78" s="367">
        <v>485</v>
      </c>
      <c r="V78" s="367">
        <v>30</v>
      </c>
      <c r="W78" s="367">
        <v>50</v>
      </c>
      <c r="X78" s="373"/>
      <c r="Y78" s="373"/>
      <c r="Z78" s="511"/>
      <c r="AA78" s="493"/>
    </row>
    <row r="79" spans="2:27" s="286" customFormat="1" x14ac:dyDescent="0.2">
      <c r="Q79" s="366" t="s">
        <v>1228</v>
      </c>
      <c r="R79" s="367">
        <v>30000</v>
      </c>
      <c r="S79" s="367">
        <v>205</v>
      </c>
      <c r="T79" s="367">
        <v>80000</v>
      </c>
      <c r="U79" s="367">
        <v>550</v>
      </c>
      <c r="V79" s="367">
        <v>30</v>
      </c>
      <c r="W79" s="367">
        <v>50</v>
      </c>
      <c r="X79" s="373"/>
      <c r="Y79" s="373"/>
      <c r="Z79" s="511"/>
      <c r="AA79" s="493"/>
    </row>
    <row r="80" spans="2:27" s="286" customFormat="1" x14ac:dyDescent="0.2">
      <c r="Q80" s="366" t="s">
        <v>1229</v>
      </c>
      <c r="R80" s="367">
        <v>30000</v>
      </c>
      <c r="S80" s="367">
        <v>205</v>
      </c>
      <c r="T80" s="367">
        <v>75000</v>
      </c>
      <c r="U80" s="367">
        <v>515</v>
      </c>
      <c r="V80" s="367">
        <v>30</v>
      </c>
      <c r="W80" s="367">
        <v>50</v>
      </c>
      <c r="X80" s="373"/>
      <c r="Y80" s="373"/>
      <c r="Z80" s="511"/>
      <c r="AA80" s="493"/>
    </row>
    <row r="81" spans="2:27" s="286" customFormat="1" x14ac:dyDescent="0.2">
      <c r="Q81" s="366" t="s">
        <v>876</v>
      </c>
      <c r="R81" s="367">
        <v>25000</v>
      </c>
      <c r="S81" s="367">
        <v>170</v>
      </c>
      <c r="T81" s="367">
        <v>75000</v>
      </c>
      <c r="U81" s="367">
        <v>515</v>
      </c>
      <c r="V81" s="367">
        <v>30</v>
      </c>
      <c r="W81" s="367">
        <v>50</v>
      </c>
      <c r="X81" s="373"/>
      <c r="Y81" s="373"/>
      <c r="Z81" s="511"/>
      <c r="AA81" s="493"/>
    </row>
    <row r="82" spans="2:27" s="286" customFormat="1" x14ac:dyDescent="0.2">
      <c r="Q82" s="366" t="s">
        <v>877</v>
      </c>
      <c r="R82" s="367">
        <v>30000</v>
      </c>
      <c r="S82" s="367">
        <v>205</v>
      </c>
      <c r="T82" s="367">
        <v>70000</v>
      </c>
      <c r="U82" s="367">
        <v>485</v>
      </c>
      <c r="V82" s="367">
        <v>30</v>
      </c>
      <c r="W82" s="367">
        <v>50</v>
      </c>
      <c r="X82" s="373"/>
      <c r="Y82" s="373"/>
      <c r="Z82" s="511"/>
      <c r="AA82" s="493"/>
    </row>
    <row r="83" spans="2:27" s="286" customFormat="1" x14ac:dyDescent="0.2">
      <c r="Q83" s="366" t="s">
        <v>879</v>
      </c>
      <c r="R83" s="367">
        <v>30000</v>
      </c>
      <c r="S83" s="367">
        <v>205</v>
      </c>
      <c r="T83" s="367">
        <v>75000</v>
      </c>
      <c r="U83" s="367">
        <v>515</v>
      </c>
      <c r="V83" s="367">
        <v>30</v>
      </c>
      <c r="W83" s="367">
        <v>50</v>
      </c>
      <c r="X83" s="373"/>
      <c r="Y83" s="373"/>
      <c r="Z83" s="511"/>
      <c r="AA83" s="493"/>
    </row>
    <row r="84" spans="2:27" s="286" customFormat="1" x14ac:dyDescent="0.2">
      <c r="Q84" s="366" t="s">
        <v>880</v>
      </c>
      <c r="R84" s="367">
        <v>30000</v>
      </c>
      <c r="S84" s="367">
        <v>205</v>
      </c>
      <c r="T84" s="367">
        <v>75000</v>
      </c>
      <c r="U84" s="367">
        <v>515</v>
      </c>
      <c r="V84" s="367">
        <v>30</v>
      </c>
      <c r="W84" s="367">
        <v>50</v>
      </c>
      <c r="X84" s="373"/>
      <c r="Y84" s="373"/>
      <c r="Z84" s="511"/>
      <c r="AA84" s="493"/>
    </row>
    <row r="85" spans="2:27" s="286" customFormat="1" x14ac:dyDescent="0.2">
      <c r="L85" s="330"/>
      <c r="Q85" s="366" t="s">
        <v>881</v>
      </c>
      <c r="R85" s="367">
        <v>30000</v>
      </c>
      <c r="S85" s="367">
        <v>205</v>
      </c>
      <c r="T85" s="367">
        <v>75000</v>
      </c>
      <c r="U85" s="367">
        <v>515</v>
      </c>
      <c r="V85" s="367">
        <v>30</v>
      </c>
      <c r="W85" s="367">
        <v>50</v>
      </c>
      <c r="X85" s="373"/>
      <c r="Y85" s="373"/>
      <c r="Z85" s="511"/>
      <c r="AA85" s="493"/>
    </row>
    <row r="86" spans="2:27" s="286" customFormat="1" x14ac:dyDescent="0.2">
      <c r="Q86" s="366" t="s">
        <v>882</v>
      </c>
      <c r="R86" s="367">
        <v>30000</v>
      </c>
      <c r="S86" s="367">
        <v>205</v>
      </c>
      <c r="T86" s="367">
        <v>75000</v>
      </c>
      <c r="U86" s="367">
        <v>515</v>
      </c>
      <c r="V86" s="367">
        <v>30</v>
      </c>
      <c r="W86" s="367">
        <v>50</v>
      </c>
      <c r="X86" s="373"/>
      <c r="Y86" s="373"/>
      <c r="Z86" s="511"/>
      <c r="AA86" s="493"/>
    </row>
    <row r="87" spans="2:27" s="286" customFormat="1" x14ac:dyDescent="0.2">
      <c r="Q87" s="366" t="s">
        <v>409</v>
      </c>
      <c r="R87" s="367">
        <v>30000</v>
      </c>
      <c r="S87" s="367">
        <v>205</v>
      </c>
      <c r="T87" s="367">
        <v>75000</v>
      </c>
      <c r="U87" s="367">
        <v>515</v>
      </c>
      <c r="V87" s="367">
        <v>30</v>
      </c>
      <c r="W87" s="367">
        <v>50</v>
      </c>
      <c r="X87" s="373"/>
      <c r="Y87" s="373"/>
      <c r="Z87" s="511"/>
      <c r="AA87" s="493"/>
    </row>
    <row r="88" spans="2:27" s="286" customFormat="1" x14ac:dyDescent="0.2">
      <c r="Q88" s="366" t="s">
        <v>878</v>
      </c>
      <c r="R88" s="367">
        <v>30000</v>
      </c>
      <c r="S88" s="367">
        <v>205</v>
      </c>
      <c r="T88" s="367">
        <v>75000</v>
      </c>
      <c r="U88" s="367">
        <v>515</v>
      </c>
      <c r="V88" s="367">
        <v>30</v>
      </c>
      <c r="W88" s="367">
        <v>50</v>
      </c>
      <c r="X88" s="373"/>
      <c r="Y88" s="373"/>
      <c r="Z88" s="511"/>
      <c r="AA88" s="493"/>
    </row>
    <row r="89" spans="2:27" s="286" customFormat="1" x14ac:dyDescent="0.2">
      <c r="Q89" s="366" t="s">
        <v>1230</v>
      </c>
      <c r="R89" s="367">
        <v>50000</v>
      </c>
      <c r="S89" s="367">
        <v>345</v>
      </c>
      <c r="T89" s="367">
        <v>90000</v>
      </c>
      <c r="U89" s="367">
        <v>620</v>
      </c>
      <c r="V89" s="367">
        <v>45</v>
      </c>
      <c r="W89" s="367">
        <v>60</v>
      </c>
      <c r="X89" s="373"/>
      <c r="Y89" s="373"/>
      <c r="Z89" s="511"/>
      <c r="AA89" s="493"/>
    </row>
    <row r="90" spans="2:27" x14ac:dyDescent="0.2">
      <c r="B90" s="286"/>
      <c r="C90" s="286"/>
      <c r="D90" s="286"/>
      <c r="E90" s="286"/>
      <c r="F90" s="286"/>
      <c r="G90" s="286"/>
      <c r="H90" s="286"/>
      <c r="I90" s="286"/>
      <c r="J90" s="286"/>
      <c r="K90" s="286"/>
      <c r="L90" s="286"/>
      <c r="M90" s="286"/>
      <c r="N90" s="286"/>
      <c r="O90" s="286"/>
      <c r="Q90" s="366" t="s">
        <v>1231</v>
      </c>
      <c r="R90" s="367">
        <v>55000</v>
      </c>
      <c r="S90" s="367">
        <v>380</v>
      </c>
      <c r="T90" s="367">
        <v>100000</v>
      </c>
      <c r="U90" s="367">
        <v>690</v>
      </c>
      <c r="V90" s="367">
        <v>35</v>
      </c>
      <c r="W90" s="367">
        <v>55</v>
      </c>
      <c r="X90" s="373"/>
      <c r="Y90" s="373"/>
      <c r="Z90" s="511"/>
      <c r="AA90" s="493"/>
    </row>
    <row r="91" spans="2:27" x14ac:dyDescent="0.2">
      <c r="B91" s="286"/>
      <c r="C91" s="286"/>
      <c r="D91" s="286"/>
      <c r="E91" s="286"/>
      <c r="F91" s="286"/>
      <c r="G91" s="286"/>
      <c r="H91" s="286"/>
      <c r="I91" s="286"/>
      <c r="J91" s="286"/>
      <c r="K91" s="286"/>
      <c r="L91" s="286"/>
      <c r="M91" s="286"/>
      <c r="N91" s="286"/>
      <c r="O91" s="286"/>
      <c r="Q91" s="366" t="s">
        <v>1232</v>
      </c>
      <c r="R91" s="367">
        <v>30000</v>
      </c>
      <c r="S91" s="367">
        <v>205</v>
      </c>
      <c r="T91" s="367">
        <v>80000</v>
      </c>
      <c r="U91" s="367">
        <v>550</v>
      </c>
      <c r="V91" s="367">
        <v>30</v>
      </c>
      <c r="W91" s="367">
        <v>50</v>
      </c>
      <c r="X91" s="373"/>
      <c r="Y91" s="373"/>
      <c r="Z91" s="511"/>
      <c r="AA91" s="493"/>
    </row>
    <row r="92" spans="2:27" s="286" customFormat="1" x14ac:dyDescent="0.2">
      <c r="Q92" s="366" t="s">
        <v>1233</v>
      </c>
      <c r="R92" s="367">
        <v>35000</v>
      </c>
      <c r="S92" s="367">
        <v>240</v>
      </c>
      <c r="T92" s="367">
        <v>80000</v>
      </c>
      <c r="U92" s="367">
        <v>550</v>
      </c>
      <c r="V92" s="367">
        <v>30</v>
      </c>
      <c r="W92" s="367">
        <v>50</v>
      </c>
      <c r="X92" s="373"/>
      <c r="Y92" s="373"/>
      <c r="Z92" s="511"/>
      <c r="AA92" s="493"/>
    </row>
    <row r="93" spans="2:27" x14ac:dyDescent="0.2">
      <c r="K93" s="286"/>
      <c r="L93" s="286"/>
      <c r="M93" s="286"/>
      <c r="N93" s="286"/>
      <c r="Q93" s="366" t="s">
        <v>1234</v>
      </c>
      <c r="R93" s="367">
        <v>44000</v>
      </c>
      <c r="S93" s="367">
        <v>300</v>
      </c>
      <c r="T93" s="367">
        <v>94000</v>
      </c>
      <c r="U93" s="367">
        <v>650</v>
      </c>
      <c r="V93" s="367">
        <v>35</v>
      </c>
      <c r="W93" s="367">
        <v>50</v>
      </c>
      <c r="X93" s="373"/>
      <c r="Y93" s="373"/>
      <c r="Z93" s="511"/>
      <c r="AA93" s="493"/>
    </row>
    <row r="94" spans="2:27" x14ac:dyDescent="0.2">
      <c r="Q94" s="2" t="s">
        <v>1235</v>
      </c>
      <c r="R94" s="367">
        <v>45000</v>
      </c>
      <c r="S94" s="367">
        <v>310</v>
      </c>
      <c r="T94" s="367">
        <v>87000</v>
      </c>
      <c r="U94" s="367">
        <v>600</v>
      </c>
      <c r="V94" s="367">
        <v>40</v>
      </c>
      <c r="W94" s="367">
        <v>50</v>
      </c>
      <c r="X94" s="373"/>
      <c r="Y94" s="373"/>
      <c r="Z94" s="511"/>
      <c r="AA94" s="493"/>
    </row>
    <row r="95" spans="2:27" s="286" customFormat="1" x14ac:dyDescent="0.2">
      <c r="Q95" s="366" t="s">
        <v>1236</v>
      </c>
      <c r="R95" s="367">
        <v>35000</v>
      </c>
      <c r="S95" s="367">
        <v>240</v>
      </c>
      <c r="T95" s="367">
        <v>78000</v>
      </c>
      <c r="U95" s="367">
        <v>540</v>
      </c>
      <c r="V95" s="367">
        <v>40</v>
      </c>
      <c r="W95" s="367">
        <v>50</v>
      </c>
      <c r="X95" s="373"/>
      <c r="Y95" s="373"/>
      <c r="Z95" s="511"/>
      <c r="AA95" s="493"/>
    </row>
    <row r="96" spans="2:27" s="286" customFormat="1" x14ac:dyDescent="0.2">
      <c r="B96"/>
      <c r="C96"/>
      <c r="D96"/>
      <c r="E96"/>
      <c r="F96"/>
      <c r="G96"/>
      <c r="H96"/>
      <c r="I96"/>
      <c r="J96"/>
      <c r="K96"/>
      <c r="L96"/>
      <c r="M96"/>
      <c r="N96"/>
      <c r="O96"/>
      <c r="Q96" s="366" t="s">
        <v>1237</v>
      </c>
      <c r="R96" s="367">
        <v>30000</v>
      </c>
      <c r="S96" s="367">
        <v>205</v>
      </c>
      <c r="T96" s="367">
        <v>75000</v>
      </c>
      <c r="U96" s="367">
        <v>515</v>
      </c>
      <c r="V96" s="367">
        <v>40</v>
      </c>
      <c r="W96" s="367">
        <v>50</v>
      </c>
      <c r="X96" s="373"/>
      <c r="Y96" s="373"/>
      <c r="Z96" s="511"/>
      <c r="AA96" s="493"/>
    </row>
    <row r="97" spans="2:27" s="286" customFormat="1" x14ac:dyDescent="0.2">
      <c r="B97"/>
      <c r="C97"/>
      <c r="D97"/>
      <c r="E97"/>
      <c r="F97"/>
      <c r="G97"/>
      <c r="H97"/>
      <c r="I97"/>
      <c r="J97"/>
      <c r="K97"/>
      <c r="L97"/>
      <c r="M97"/>
      <c r="N97"/>
      <c r="O97"/>
      <c r="Q97" s="366" t="s">
        <v>1238</v>
      </c>
      <c r="R97" s="367">
        <v>35000</v>
      </c>
      <c r="S97" s="367">
        <v>240</v>
      </c>
      <c r="T97" s="367">
        <v>80000</v>
      </c>
      <c r="U97" s="367">
        <v>550</v>
      </c>
      <c r="V97" s="367">
        <v>40</v>
      </c>
      <c r="W97" s="367">
        <v>50</v>
      </c>
      <c r="X97" s="373"/>
      <c r="Y97" s="373"/>
      <c r="Z97" s="511"/>
      <c r="AA97" s="493"/>
    </row>
    <row r="98" spans="2:27" s="286" customFormat="1" x14ac:dyDescent="0.2">
      <c r="Q98" s="366" t="s">
        <v>1239</v>
      </c>
      <c r="R98" s="367">
        <v>60000</v>
      </c>
      <c r="S98" s="367">
        <v>415</v>
      </c>
      <c r="T98" s="367">
        <v>115000</v>
      </c>
      <c r="U98" s="367">
        <v>795</v>
      </c>
      <c r="V98" s="367">
        <v>35</v>
      </c>
      <c r="W98" s="367">
        <v>40</v>
      </c>
      <c r="X98" s="373"/>
      <c r="Y98" s="373"/>
      <c r="Z98" s="511"/>
      <c r="AA98" s="493"/>
    </row>
    <row r="99" spans="2:27" s="286" customFormat="1" x14ac:dyDescent="0.2">
      <c r="Q99" s="366" t="s">
        <v>1240</v>
      </c>
      <c r="R99" s="367">
        <v>27000</v>
      </c>
      <c r="S99" s="367">
        <v>185</v>
      </c>
      <c r="T99" s="367">
        <v>73000</v>
      </c>
      <c r="U99" s="367">
        <v>500</v>
      </c>
      <c r="V99" s="367">
        <v>30</v>
      </c>
      <c r="W99" s="367">
        <v>35</v>
      </c>
      <c r="X99" s="373"/>
      <c r="Y99" s="373"/>
      <c r="Z99" s="511"/>
      <c r="AA99" s="493"/>
    </row>
    <row r="100" spans="2:27" s="286" customFormat="1" x14ac:dyDescent="0.2">
      <c r="Q100" s="366" t="s">
        <v>1241</v>
      </c>
      <c r="R100" s="367">
        <v>45000</v>
      </c>
      <c r="S100" s="367">
        <v>310</v>
      </c>
      <c r="T100" s="367">
        <v>95000</v>
      </c>
      <c r="U100" s="367">
        <v>655</v>
      </c>
      <c r="V100" s="367">
        <v>30</v>
      </c>
      <c r="W100" s="367">
        <v>50</v>
      </c>
      <c r="X100" s="373"/>
      <c r="Y100" s="373"/>
      <c r="Z100" s="511"/>
      <c r="AA100" s="493"/>
    </row>
    <row r="101" spans="2:27" s="286" customFormat="1" x14ac:dyDescent="0.2">
      <c r="Q101" s="366" t="s">
        <v>1242</v>
      </c>
      <c r="R101" s="367">
        <v>65000</v>
      </c>
      <c r="S101" s="367">
        <v>450</v>
      </c>
      <c r="T101" s="373" t="s">
        <v>1253</v>
      </c>
      <c r="U101" s="373" t="s">
        <v>1126</v>
      </c>
      <c r="V101" s="367">
        <v>25</v>
      </c>
      <c r="W101" s="367">
        <v>50</v>
      </c>
      <c r="X101" s="373"/>
      <c r="Y101" s="373"/>
      <c r="Z101" s="511"/>
      <c r="AA101" s="493"/>
    </row>
    <row r="102" spans="2:27" s="286" customFormat="1" x14ac:dyDescent="0.2">
      <c r="Q102" s="366" t="s">
        <v>1243</v>
      </c>
      <c r="R102" s="367">
        <v>65000</v>
      </c>
      <c r="S102" s="367">
        <v>450</v>
      </c>
      <c r="T102" s="367">
        <v>90000</v>
      </c>
      <c r="U102" s="367">
        <v>620</v>
      </c>
      <c r="V102" s="367">
        <v>25</v>
      </c>
      <c r="W102" s="367">
        <v>45</v>
      </c>
      <c r="X102" s="373"/>
      <c r="Y102" s="373"/>
      <c r="Z102" s="511"/>
      <c r="AA102" s="493"/>
    </row>
    <row r="103" spans="2:27" s="286" customFormat="1" x14ac:dyDescent="0.2">
      <c r="Q103" s="366" t="s">
        <v>1244</v>
      </c>
      <c r="R103" s="367">
        <v>70000</v>
      </c>
      <c r="S103" s="367">
        <v>485</v>
      </c>
      <c r="T103" s="367">
        <v>100000</v>
      </c>
      <c r="U103" s="367">
        <v>690</v>
      </c>
      <c r="V103" s="367">
        <v>15</v>
      </c>
      <c r="W103" s="373"/>
      <c r="X103" s="373"/>
      <c r="Y103" s="373"/>
      <c r="Z103" s="511"/>
      <c r="AA103" s="493"/>
    </row>
    <row r="104" spans="2:27" s="286" customFormat="1" x14ac:dyDescent="0.2">
      <c r="Q104" s="366" t="s">
        <v>1245</v>
      </c>
      <c r="R104" s="367">
        <v>80000</v>
      </c>
      <c r="S104" s="367">
        <v>550</v>
      </c>
      <c r="T104" s="367">
        <v>116000</v>
      </c>
      <c r="U104" s="367">
        <v>800</v>
      </c>
      <c r="V104" s="367">
        <v>15</v>
      </c>
      <c r="W104" s="373"/>
      <c r="X104" s="367">
        <v>310</v>
      </c>
      <c r="Y104" s="373"/>
      <c r="Z104" s="511"/>
      <c r="AA104" s="493"/>
    </row>
    <row r="105" spans="2:27" s="286" customFormat="1" x14ac:dyDescent="0.2">
      <c r="Q105" s="366" t="s">
        <v>1246</v>
      </c>
      <c r="R105" s="367">
        <v>80000</v>
      </c>
      <c r="S105" s="367">
        <v>550</v>
      </c>
      <c r="T105" s="367">
        <v>116000</v>
      </c>
      <c r="U105" s="367">
        <v>800</v>
      </c>
      <c r="V105" s="367">
        <v>15</v>
      </c>
      <c r="W105" s="367">
        <v>30</v>
      </c>
      <c r="X105" s="367">
        <v>310</v>
      </c>
      <c r="Y105" s="373"/>
      <c r="Z105" s="511"/>
      <c r="AA105" s="493"/>
    </row>
    <row r="106" spans="2:27" s="286" customFormat="1" x14ac:dyDescent="0.2">
      <c r="Q106" s="366" t="s">
        <v>1247</v>
      </c>
      <c r="R106" s="367">
        <v>80000</v>
      </c>
      <c r="S106" s="367">
        <v>550</v>
      </c>
      <c r="T106" s="373" t="s">
        <v>1254</v>
      </c>
      <c r="U106" s="373" t="s">
        <v>1127</v>
      </c>
      <c r="V106" s="367">
        <v>25</v>
      </c>
      <c r="W106" s="367">
        <v>45</v>
      </c>
      <c r="X106" s="373"/>
      <c r="Y106" s="373"/>
      <c r="Z106" s="511"/>
      <c r="AA106" s="493"/>
    </row>
    <row r="107" spans="2:27" s="286" customFormat="1" x14ac:dyDescent="0.2">
      <c r="Q107" s="366" t="s">
        <v>1248</v>
      </c>
      <c r="R107" s="367">
        <v>85000</v>
      </c>
      <c r="S107" s="367">
        <v>585</v>
      </c>
      <c r="T107" s="367">
        <v>118000</v>
      </c>
      <c r="U107" s="367">
        <v>820</v>
      </c>
      <c r="V107" s="367">
        <v>25</v>
      </c>
      <c r="W107" s="367">
        <v>50</v>
      </c>
      <c r="X107" s="373"/>
      <c r="Y107" s="373"/>
      <c r="Z107" s="511"/>
      <c r="AA107" s="493"/>
    </row>
    <row r="108" spans="2:27" s="286" customFormat="1" x14ac:dyDescent="0.2">
      <c r="Q108" s="366" t="s">
        <v>1249</v>
      </c>
      <c r="R108" s="367">
        <v>80000</v>
      </c>
      <c r="S108" s="367">
        <v>550</v>
      </c>
      <c r="T108" s="367">
        <v>112000</v>
      </c>
      <c r="U108" s="367">
        <v>770</v>
      </c>
      <c r="V108" s="367">
        <v>25</v>
      </c>
      <c r="W108" s="367">
        <v>40</v>
      </c>
      <c r="X108" s="373"/>
      <c r="Y108" s="373"/>
      <c r="Z108" s="511"/>
      <c r="AA108" s="493"/>
    </row>
    <row r="109" spans="2:27" s="286" customFormat="1" x14ac:dyDescent="0.2">
      <c r="Q109" s="366" t="s">
        <v>1242</v>
      </c>
      <c r="R109" s="367">
        <v>65000</v>
      </c>
      <c r="S109" s="367">
        <v>450</v>
      </c>
      <c r="T109" s="367">
        <v>90000</v>
      </c>
      <c r="U109" s="367">
        <v>620</v>
      </c>
      <c r="V109" s="367">
        <v>25</v>
      </c>
      <c r="W109" s="367">
        <v>45</v>
      </c>
      <c r="X109" s="373"/>
      <c r="Y109" s="373"/>
      <c r="Z109" s="511"/>
      <c r="AA109" s="493"/>
    </row>
    <row r="110" spans="2:27" s="286" customFormat="1" x14ac:dyDescent="0.2">
      <c r="Q110" s="366" t="s">
        <v>1250</v>
      </c>
      <c r="R110" s="367">
        <v>80000</v>
      </c>
      <c r="S110" s="367">
        <v>550</v>
      </c>
      <c r="T110" s="367">
        <v>109000</v>
      </c>
      <c r="U110" s="367">
        <v>750</v>
      </c>
      <c r="V110" s="367">
        <v>25</v>
      </c>
      <c r="W110" s="367">
        <v>50</v>
      </c>
      <c r="X110" s="373"/>
      <c r="Y110" s="373"/>
      <c r="Z110" s="543"/>
      <c r="AA110" s="508"/>
    </row>
    <row r="111" spans="2:27" s="286" customFormat="1" x14ac:dyDescent="0.2"/>
    <row r="112" spans="2:27" s="286" customFormat="1" x14ac:dyDescent="0.2"/>
    <row r="113" spans="2:27" s="286" customFormat="1" x14ac:dyDescent="0.2">
      <c r="P113"/>
    </row>
    <row r="114" spans="2:27" s="286" customFormat="1" x14ac:dyDescent="0.2">
      <c r="B114" s="132" t="s">
        <v>380</v>
      </c>
      <c r="C114"/>
      <c r="D114"/>
      <c r="P114"/>
      <c r="Q114"/>
      <c r="R114"/>
      <c r="S114"/>
      <c r="T114"/>
      <c r="U114"/>
    </row>
    <row r="115" spans="2:27" s="286" customFormat="1" ht="15.75" thickBot="1" x14ac:dyDescent="0.25">
      <c r="B115" s="127"/>
      <c r="C115"/>
      <c r="D115"/>
      <c r="L115" s="7"/>
      <c r="M115" s="7"/>
      <c r="P115"/>
      <c r="Q115"/>
      <c r="R115"/>
      <c r="S115"/>
      <c r="T115"/>
      <c r="U115"/>
    </row>
    <row r="116" spans="2:27" s="286" customFormat="1" ht="36.75" thickBot="1" x14ac:dyDescent="0.25">
      <c r="B116" s="138" t="s">
        <v>381</v>
      </c>
      <c r="C116" s="138" t="s">
        <v>382</v>
      </c>
      <c r="D116" s="138" t="s">
        <v>383</v>
      </c>
      <c r="L116" s="497"/>
      <c r="M116" s="498"/>
      <c r="N116"/>
      <c r="O116"/>
      <c r="P116"/>
      <c r="Q116"/>
      <c r="R116"/>
      <c r="S116"/>
      <c r="T116"/>
      <c r="U116"/>
    </row>
    <row r="117" spans="2:27" s="286" customFormat="1" ht="150" thickBot="1" x14ac:dyDescent="0.25">
      <c r="B117" s="142" t="s">
        <v>384</v>
      </c>
      <c r="C117" s="142" t="s">
        <v>385</v>
      </c>
      <c r="D117" s="142" t="s">
        <v>756</v>
      </c>
      <c r="L117" s="1121"/>
      <c r="M117" s="7"/>
      <c r="N117"/>
      <c r="O117"/>
      <c r="P117"/>
      <c r="Q117"/>
      <c r="R117"/>
      <c r="S117"/>
      <c r="T117"/>
      <c r="U117"/>
    </row>
    <row r="118" spans="2:27" s="286" customFormat="1" ht="127.5" thickBot="1" x14ac:dyDescent="0.25">
      <c r="B118" s="134" t="s">
        <v>386</v>
      </c>
      <c r="C118" s="134" t="s">
        <v>757</v>
      </c>
      <c r="D118" s="134" t="s">
        <v>387</v>
      </c>
      <c r="L118" s="1121"/>
      <c r="M118" s="7"/>
      <c r="N118"/>
      <c r="O118"/>
      <c r="P118"/>
      <c r="Q118"/>
      <c r="R118"/>
      <c r="S118"/>
      <c r="T118"/>
      <c r="U118"/>
    </row>
    <row r="119" spans="2:27" s="286" customFormat="1" ht="127.5" thickBot="1" x14ac:dyDescent="0.25">
      <c r="B119" s="142" t="s">
        <v>388</v>
      </c>
      <c r="C119" s="142" t="s">
        <v>389</v>
      </c>
      <c r="D119" s="142" t="s">
        <v>758</v>
      </c>
      <c r="L119" s="1121"/>
      <c r="M119" s="7"/>
      <c r="N119"/>
      <c r="O119"/>
      <c r="P119"/>
      <c r="Q119"/>
      <c r="R119"/>
      <c r="S119"/>
      <c r="T119"/>
      <c r="U119"/>
    </row>
    <row r="120" spans="2:27" s="286" customFormat="1" ht="127.5" thickBot="1" x14ac:dyDescent="0.25">
      <c r="B120" s="134" t="s">
        <v>390</v>
      </c>
      <c r="C120" s="134" t="s">
        <v>391</v>
      </c>
      <c r="D120" s="134" t="s">
        <v>758</v>
      </c>
      <c r="L120" s="1121"/>
      <c r="M120" s="7"/>
      <c r="N120"/>
      <c r="O120"/>
      <c r="Q120"/>
      <c r="R120"/>
      <c r="S120"/>
      <c r="T120"/>
      <c r="U120"/>
    </row>
    <row r="121" spans="2:27" s="286" customFormat="1" ht="150" thickBot="1" x14ac:dyDescent="0.25">
      <c r="B121" s="142" t="s">
        <v>392</v>
      </c>
      <c r="C121" s="142" t="s">
        <v>393</v>
      </c>
      <c r="D121" s="142" t="s">
        <v>759</v>
      </c>
      <c r="L121" s="7"/>
      <c r="M121" s="7"/>
      <c r="N121"/>
      <c r="O121"/>
    </row>
    <row r="122" spans="2:27" s="286" customFormat="1" ht="150" thickBot="1" x14ac:dyDescent="0.25">
      <c r="B122" s="134" t="s">
        <v>394</v>
      </c>
      <c r="C122" s="134" t="s">
        <v>395</v>
      </c>
      <c r="D122" s="134" t="s">
        <v>759</v>
      </c>
      <c r="L122"/>
      <c r="M122"/>
      <c r="N122"/>
      <c r="O122"/>
    </row>
    <row r="123" spans="2:27" ht="150" thickBot="1" x14ac:dyDescent="0.25">
      <c r="B123" s="142" t="s">
        <v>396</v>
      </c>
      <c r="C123" s="142" t="s">
        <v>397</v>
      </c>
      <c r="D123" s="142" t="s">
        <v>759</v>
      </c>
      <c r="E123" s="286"/>
      <c r="F123" s="286"/>
      <c r="G123" s="286"/>
      <c r="H123" s="286"/>
      <c r="I123" s="286"/>
      <c r="J123" s="286"/>
      <c r="K123" s="286"/>
      <c r="L123" s="286"/>
      <c r="M123" s="286"/>
      <c r="N123" s="286"/>
      <c r="O123" s="286"/>
      <c r="Q123" s="286"/>
      <c r="R123" s="286"/>
      <c r="S123" s="286"/>
      <c r="T123" s="286"/>
      <c r="U123" s="286"/>
      <c r="V123" s="286"/>
      <c r="W123" s="286"/>
      <c r="X123" s="286"/>
      <c r="Y123" s="286"/>
      <c r="Z123" s="286"/>
      <c r="AA123" s="286"/>
    </row>
    <row r="124" spans="2:27" x14ac:dyDescent="0.2">
      <c r="B124" s="286"/>
      <c r="C124" s="286"/>
      <c r="D124" s="286"/>
      <c r="E124" s="286"/>
      <c r="F124" s="286"/>
      <c r="G124" s="286"/>
      <c r="H124" s="286"/>
      <c r="I124" s="286"/>
      <c r="J124" s="286"/>
      <c r="K124" s="286"/>
      <c r="L124" s="286"/>
      <c r="M124" s="286"/>
      <c r="N124" s="286"/>
      <c r="O124" s="286"/>
    </row>
    <row r="125" spans="2:27" x14ac:dyDescent="0.2">
      <c r="B125" s="286"/>
      <c r="C125" s="286"/>
      <c r="D125" s="286"/>
      <c r="E125" s="286"/>
      <c r="F125" s="286"/>
      <c r="G125" s="286"/>
      <c r="H125" s="286"/>
      <c r="I125" s="286"/>
      <c r="J125" s="286"/>
      <c r="K125" s="286"/>
      <c r="L125" s="286"/>
      <c r="M125" s="286"/>
      <c r="N125" s="286"/>
      <c r="O125" s="286"/>
    </row>
    <row r="126" spans="2:27" ht="22.5" x14ac:dyDescent="0.2">
      <c r="B126" s="128" t="s">
        <v>340</v>
      </c>
    </row>
    <row r="127" spans="2:27" ht="17.25" x14ac:dyDescent="0.2">
      <c r="B127" s="133" t="s">
        <v>398</v>
      </c>
    </row>
    <row r="128" spans="2:27" ht="15.75" thickBot="1" x14ac:dyDescent="0.25">
      <c r="B128" s="127"/>
    </row>
    <row r="129" spans="2:13" ht="15.75" thickBot="1" x14ac:dyDescent="0.25">
      <c r="B129" s="1125" t="s">
        <v>399</v>
      </c>
      <c r="C129" s="1126"/>
      <c r="D129" s="1126"/>
      <c r="E129" s="1126"/>
      <c r="F129" s="1126"/>
      <c r="G129" s="1126"/>
      <c r="H129" s="1126"/>
      <c r="I129" s="1126"/>
      <c r="J129" s="1126"/>
      <c r="K129" s="1126"/>
      <c r="L129" s="1126"/>
      <c r="M129" s="1127"/>
    </row>
    <row r="130" spans="2:13" ht="15.75" thickBot="1" x14ac:dyDescent="0.25">
      <c r="B130" s="347" t="s">
        <v>400</v>
      </c>
      <c r="C130" s="336" t="s">
        <v>290</v>
      </c>
      <c r="D130" s="336" t="s">
        <v>291</v>
      </c>
      <c r="E130" s="336" t="s">
        <v>292</v>
      </c>
      <c r="F130" s="336" t="s">
        <v>293</v>
      </c>
      <c r="G130" s="336" t="s">
        <v>352</v>
      </c>
      <c r="H130" s="336" t="s">
        <v>354</v>
      </c>
      <c r="I130" s="336" t="s">
        <v>355</v>
      </c>
      <c r="J130" s="336" t="s">
        <v>356</v>
      </c>
      <c r="K130" s="336" t="s">
        <v>294</v>
      </c>
      <c r="L130" s="336" t="s">
        <v>296</v>
      </c>
      <c r="M130" s="348" t="s">
        <v>401</v>
      </c>
    </row>
    <row r="131" spans="2:13" ht="15.75" thickBot="1" x14ac:dyDescent="0.25">
      <c r="B131" s="339" t="s">
        <v>862</v>
      </c>
      <c r="C131" s="137">
        <v>0.08</v>
      </c>
      <c r="D131" s="137">
        <v>2</v>
      </c>
      <c r="E131" s="137">
        <v>4.4999999999999998E-2</v>
      </c>
      <c r="F131" s="137">
        <v>0.03</v>
      </c>
      <c r="G131" s="137">
        <v>1</v>
      </c>
      <c r="H131" s="135" t="s">
        <v>760</v>
      </c>
      <c r="I131" s="135" t="s">
        <v>761</v>
      </c>
      <c r="J131" s="134"/>
      <c r="K131" s="134"/>
      <c r="L131" s="134"/>
      <c r="M131" s="343"/>
    </row>
    <row r="132" spans="2:13" ht="15.75" thickBot="1" x14ac:dyDescent="0.25">
      <c r="B132" s="340" t="s">
        <v>863</v>
      </c>
      <c r="C132" s="136" t="s">
        <v>762</v>
      </c>
      <c r="D132" s="136">
        <v>2</v>
      </c>
      <c r="E132" s="136">
        <v>4.4999999999999998E-2</v>
      </c>
      <c r="F132" s="136">
        <v>0.03</v>
      </c>
      <c r="G132" s="136">
        <v>1</v>
      </c>
      <c r="H132" s="141" t="s">
        <v>760</v>
      </c>
      <c r="I132" s="141" t="s">
        <v>761</v>
      </c>
      <c r="J132" s="142"/>
      <c r="K132" s="142"/>
      <c r="L132" s="142"/>
      <c r="M132" s="344"/>
    </row>
    <row r="133" spans="2:13" ht="15.75" thickBot="1" x14ac:dyDescent="0.25">
      <c r="B133" s="339" t="s">
        <v>864</v>
      </c>
      <c r="C133" s="137">
        <v>0.03</v>
      </c>
      <c r="D133" s="137">
        <v>2</v>
      </c>
      <c r="E133" s="137">
        <v>4.4999999999999998E-2</v>
      </c>
      <c r="F133" s="137">
        <v>0.03</v>
      </c>
      <c r="G133" s="137">
        <v>1</v>
      </c>
      <c r="H133" s="135" t="s">
        <v>763</v>
      </c>
      <c r="I133" s="135" t="s">
        <v>761</v>
      </c>
      <c r="J133" s="134"/>
      <c r="K133" s="134"/>
      <c r="L133" s="134"/>
      <c r="M133" s="343"/>
    </row>
    <row r="134" spans="2:13" ht="15.75" thickBot="1" x14ac:dyDescent="0.25">
      <c r="B134" s="340" t="s">
        <v>865</v>
      </c>
      <c r="C134" s="136">
        <v>0.08</v>
      </c>
      <c r="D134" s="136">
        <v>2</v>
      </c>
      <c r="E134" s="136">
        <v>4.4999999999999998E-2</v>
      </c>
      <c r="F134" s="136">
        <v>0.03</v>
      </c>
      <c r="G134" s="136">
        <v>1</v>
      </c>
      <c r="H134" s="141" t="s">
        <v>764</v>
      </c>
      <c r="I134" s="141" t="s">
        <v>761</v>
      </c>
      <c r="J134" s="142"/>
      <c r="K134" s="142"/>
      <c r="L134" s="142"/>
      <c r="M134" s="344"/>
    </row>
    <row r="135" spans="2:13" ht="15.75" thickBot="1" x14ac:dyDescent="0.25">
      <c r="B135" s="339" t="s">
        <v>866</v>
      </c>
      <c r="C135" s="137">
        <v>0.03</v>
      </c>
      <c r="D135" s="137">
        <v>2</v>
      </c>
      <c r="E135" s="137">
        <v>4.4999999999999998E-2</v>
      </c>
      <c r="F135" s="137">
        <v>0.03</v>
      </c>
      <c r="G135" s="137">
        <v>1</v>
      </c>
      <c r="H135" s="135" t="s">
        <v>764</v>
      </c>
      <c r="I135" s="135" t="s">
        <v>761</v>
      </c>
      <c r="J135" s="134"/>
      <c r="K135" s="134"/>
      <c r="L135" s="134"/>
      <c r="M135" s="343"/>
    </row>
    <row r="136" spans="2:13" ht="15.75" thickBot="1" x14ac:dyDescent="0.25">
      <c r="B136" s="340" t="s">
        <v>867</v>
      </c>
      <c r="C136" s="136" t="s">
        <v>762</v>
      </c>
      <c r="D136" s="136">
        <v>2</v>
      </c>
      <c r="E136" s="136">
        <v>4.4999999999999998E-2</v>
      </c>
      <c r="F136" s="136">
        <v>0.03</v>
      </c>
      <c r="G136" s="136">
        <v>1</v>
      </c>
      <c r="H136" s="141" t="s">
        <v>765</v>
      </c>
      <c r="I136" s="141" t="s">
        <v>766</v>
      </c>
      <c r="J136" s="142"/>
      <c r="K136" s="142"/>
      <c r="L136" s="142"/>
      <c r="M136" s="344"/>
    </row>
    <row r="137" spans="2:13" ht="15.75" thickBot="1" x14ac:dyDescent="0.25">
      <c r="B137" s="339" t="s">
        <v>868</v>
      </c>
      <c r="C137" s="137">
        <v>0.25</v>
      </c>
      <c r="D137" s="137">
        <v>2</v>
      </c>
      <c r="E137" s="137">
        <v>4.4999999999999998E-2</v>
      </c>
      <c r="F137" s="137">
        <v>0.03</v>
      </c>
      <c r="G137" s="137">
        <v>1</v>
      </c>
      <c r="H137" s="135" t="s">
        <v>767</v>
      </c>
      <c r="I137" s="135" t="s">
        <v>768</v>
      </c>
      <c r="J137" s="134"/>
      <c r="K137" s="134"/>
      <c r="L137" s="134"/>
      <c r="M137" s="343"/>
    </row>
    <row r="138" spans="2:13" ht="15.75" thickBot="1" x14ac:dyDescent="0.25">
      <c r="B138" s="340" t="s">
        <v>869</v>
      </c>
      <c r="C138" s="136" t="s">
        <v>762</v>
      </c>
      <c r="D138" s="136">
        <v>2</v>
      </c>
      <c r="E138" s="136">
        <v>4.4999999999999998E-2</v>
      </c>
      <c r="F138" s="136">
        <v>0.03</v>
      </c>
      <c r="G138" s="136">
        <v>1</v>
      </c>
      <c r="H138" s="141" t="s">
        <v>767</v>
      </c>
      <c r="I138" s="141" t="s">
        <v>768</v>
      </c>
      <c r="J138" s="142"/>
      <c r="K138" s="142"/>
      <c r="L138" s="142"/>
      <c r="M138" s="344"/>
    </row>
    <row r="139" spans="2:13" ht="15.75" thickBot="1" x14ac:dyDescent="0.25">
      <c r="B139" s="339" t="s">
        <v>870</v>
      </c>
      <c r="C139" s="137">
        <v>0.03</v>
      </c>
      <c r="D139" s="137">
        <v>2</v>
      </c>
      <c r="E139" s="137">
        <v>0.03</v>
      </c>
      <c r="F139" s="137">
        <v>1.4999999999999999E-2</v>
      </c>
      <c r="G139" s="137">
        <v>0.4</v>
      </c>
      <c r="H139" s="135" t="s">
        <v>769</v>
      </c>
      <c r="I139" s="135" t="s">
        <v>768</v>
      </c>
      <c r="J139" s="135" t="s">
        <v>770</v>
      </c>
      <c r="K139" s="134"/>
      <c r="L139" s="134"/>
      <c r="M139" s="343" t="s">
        <v>771</v>
      </c>
    </row>
    <row r="140" spans="2:13" ht="15.75" thickBot="1" x14ac:dyDescent="0.25">
      <c r="B140" s="340" t="s">
        <v>407</v>
      </c>
      <c r="C140" s="136">
        <v>0.08</v>
      </c>
      <c r="D140" s="136">
        <v>2</v>
      </c>
      <c r="E140" s="136">
        <v>4.4999999999999998E-2</v>
      </c>
      <c r="F140" s="136">
        <v>0.03</v>
      </c>
      <c r="G140" s="136">
        <v>1</v>
      </c>
      <c r="H140" s="141" t="s">
        <v>772</v>
      </c>
      <c r="I140" s="141" t="s">
        <v>773</v>
      </c>
      <c r="J140" s="141" t="s">
        <v>770</v>
      </c>
      <c r="K140" s="142"/>
      <c r="L140" s="142"/>
      <c r="M140" s="344"/>
    </row>
    <row r="141" spans="2:13" ht="15.75" thickBot="1" x14ac:dyDescent="0.25">
      <c r="B141" s="339" t="s">
        <v>871</v>
      </c>
      <c r="C141" s="137" t="s">
        <v>762</v>
      </c>
      <c r="D141" s="137">
        <v>2</v>
      </c>
      <c r="E141" s="137">
        <v>4.4999999999999998E-2</v>
      </c>
      <c r="F141" s="137">
        <v>0.03</v>
      </c>
      <c r="G141" s="137">
        <v>1</v>
      </c>
      <c r="H141" s="135" t="s">
        <v>772</v>
      </c>
      <c r="I141" s="135" t="s">
        <v>773</v>
      </c>
      <c r="J141" s="135" t="s">
        <v>770</v>
      </c>
      <c r="K141" s="134"/>
      <c r="L141" s="134"/>
      <c r="M141" s="343"/>
    </row>
    <row r="142" spans="2:13" ht="15.75" thickBot="1" x14ac:dyDescent="0.25">
      <c r="B142" s="340" t="s">
        <v>872</v>
      </c>
      <c r="C142" s="136">
        <v>0.03</v>
      </c>
      <c r="D142" s="136">
        <v>2</v>
      </c>
      <c r="E142" s="136">
        <v>4.4999999999999998E-2</v>
      </c>
      <c r="F142" s="136">
        <v>0.03</v>
      </c>
      <c r="G142" s="136">
        <v>1</v>
      </c>
      <c r="H142" s="141" t="s">
        <v>774</v>
      </c>
      <c r="I142" s="141" t="s">
        <v>773</v>
      </c>
      <c r="J142" s="141" t="s">
        <v>770</v>
      </c>
      <c r="K142" s="142"/>
      <c r="L142" s="142"/>
      <c r="M142" s="344"/>
    </row>
    <row r="143" spans="2:13" ht="15.75" thickBot="1" x14ac:dyDescent="0.25">
      <c r="B143" s="339" t="s">
        <v>873</v>
      </c>
      <c r="C143" s="137">
        <v>0.08</v>
      </c>
      <c r="D143" s="137">
        <v>2</v>
      </c>
      <c r="E143" s="137">
        <v>4.4999999999999998E-2</v>
      </c>
      <c r="F143" s="137">
        <v>0.03</v>
      </c>
      <c r="G143" s="137">
        <v>1</v>
      </c>
      <c r="H143" s="135" t="s">
        <v>775</v>
      </c>
      <c r="I143" s="135" t="s">
        <v>773</v>
      </c>
      <c r="J143" s="135" t="s">
        <v>770</v>
      </c>
      <c r="K143" s="134"/>
      <c r="L143" s="134"/>
      <c r="M143" s="343"/>
    </row>
    <row r="144" spans="2:13" ht="15.75" thickBot="1" x14ac:dyDescent="0.25">
      <c r="B144" s="340" t="s">
        <v>874</v>
      </c>
      <c r="C144" s="136">
        <v>0.03</v>
      </c>
      <c r="D144" s="136">
        <v>2</v>
      </c>
      <c r="E144" s="136">
        <v>4.4999999999999998E-2</v>
      </c>
      <c r="F144" s="136">
        <v>0.03</v>
      </c>
      <c r="G144" s="136">
        <v>1</v>
      </c>
      <c r="H144" s="141" t="s">
        <v>775</v>
      </c>
      <c r="I144" s="141" t="s">
        <v>773</v>
      </c>
      <c r="J144" s="141" t="s">
        <v>770</v>
      </c>
      <c r="K144" s="142"/>
      <c r="L144" s="142"/>
      <c r="M144" s="344"/>
    </row>
    <row r="145" spans="2:13" ht="15.75" thickBot="1" x14ac:dyDescent="0.25">
      <c r="B145" s="339" t="s">
        <v>875</v>
      </c>
      <c r="C145" s="137">
        <v>0.08</v>
      </c>
      <c r="D145" s="137">
        <v>2</v>
      </c>
      <c r="E145" s="137">
        <v>4.4999999999999998E-2</v>
      </c>
      <c r="F145" s="137">
        <v>0.03</v>
      </c>
      <c r="G145" s="137">
        <v>1</v>
      </c>
      <c r="H145" s="135" t="s">
        <v>772</v>
      </c>
      <c r="I145" s="135" t="s">
        <v>773</v>
      </c>
      <c r="J145" s="135" t="s">
        <v>770</v>
      </c>
      <c r="K145" s="134"/>
      <c r="L145" s="137">
        <v>-3</v>
      </c>
      <c r="M145" s="343" t="s">
        <v>776</v>
      </c>
    </row>
    <row r="146" spans="2:13" ht="15.75" thickBot="1" x14ac:dyDescent="0.25">
      <c r="B146" s="340" t="s">
        <v>876</v>
      </c>
      <c r="C146" s="136">
        <v>0.08</v>
      </c>
      <c r="D146" s="136">
        <v>2</v>
      </c>
      <c r="E146" s="136">
        <v>4.4999999999999998E-2</v>
      </c>
      <c r="F146" s="136">
        <v>0.03</v>
      </c>
      <c r="G146" s="136">
        <v>1</v>
      </c>
      <c r="H146" s="141" t="s">
        <v>777</v>
      </c>
      <c r="I146" s="141" t="s">
        <v>761</v>
      </c>
      <c r="J146" s="141" t="s">
        <v>778</v>
      </c>
      <c r="K146" s="142"/>
      <c r="L146" s="142"/>
      <c r="M146" s="344"/>
    </row>
    <row r="147" spans="2:13" ht="15.75" thickBot="1" x14ac:dyDescent="0.25">
      <c r="B147" s="339" t="s">
        <v>877</v>
      </c>
      <c r="C147" s="137">
        <v>0.03</v>
      </c>
      <c r="D147" s="137">
        <v>2</v>
      </c>
      <c r="E147" s="137">
        <v>4.4999999999999998E-2</v>
      </c>
      <c r="F147" s="137">
        <v>0.03</v>
      </c>
      <c r="G147" s="137">
        <v>1</v>
      </c>
      <c r="H147" s="135" t="s">
        <v>777</v>
      </c>
      <c r="I147" s="135" t="s">
        <v>761</v>
      </c>
      <c r="J147" s="135" t="s">
        <v>778</v>
      </c>
      <c r="K147" s="134"/>
      <c r="L147" s="134"/>
      <c r="M147" s="343"/>
    </row>
    <row r="148" spans="2:13" ht="15.75" thickBot="1" x14ac:dyDescent="0.25">
      <c r="B148" s="340" t="s">
        <v>409</v>
      </c>
      <c r="C148" s="136">
        <v>0.08</v>
      </c>
      <c r="D148" s="136">
        <v>2</v>
      </c>
      <c r="E148" s="136">
        <v>4.4999999999999998E-2</v>
      </c>
      <c r="F148" s="136">
        <v>0.03</v>
      </c>
      <c r="G148" s="136">
        <v>1</v>
      </c>
      <c r="H148" s="141" t="s">
        <v>779</v>
      </c>
      <c r="I148" s="141" t="s">
        <v>780</v>
      </c>
      <c r="J148" s="142"/>
      <c r="K148" s="142"/>
      <c r="L148" s="136">
        <v>-4</v>
      </c>
      <c r="M148" s="344"/>
    </row>
    <row r="149" spans="2:13" ht="15.75" thickBot="1" x14ac:dyDescent="0.25">
      <c r="B149" s="339" t="s">
        <v>878</v>
      </c>
      <c r="C149" s="137" t="s">
        <v>762</v>
      </c>
      <c r="D149" s="137">
        <v>2</v>
      </c>
      <c r="E149" s="137">
        <v>4.4999999999999998E-2</v>
      </c>
      <c r="F149" s="137">
        <v>0.03</v>
      </c>
      <c r="G149" s="137">
        <v>1</v>
      </c>
      <c r="H149" s="135" t="s">
        <v>779</v>
      </c>
      <c r="I149" s="135" t="s">
        <v>780</v>
      </c>
      <c r="J149" s="134"/>
      <c r="K149" s="134"/>
      <c r="L149" s="137">
        <v>-5</v>
      </c>
      <c r="M149" s="343"/>
    </row>
    <row r="150" spans="2:13" ht="15.75" thickBot="1" x14ac:dyDescent="0.25">
      <c r="B150" s="340" t="s">
        <v>879</v>
      </c>
      <c r="C150" s="136">
        <v>0.08</v>
      </c>
      <c r="D150" s="136">
        <v>2</v>
      </c>
      <c r="E150" s="136">
        <v>4.4999999999999998E-2</v>
      </c>
      <c r="F150" s="136">
        <v>0.03</v>
      </c>
      <c r="G150" s="136">
        <v>1</v>
      </c>
      <c r="H150" s="141" t="s">
        <v>781</v>
      </c>
      <c r="I150" s="141" t="s">
        <v>782</v>
      </c>
      <c r="J150" s="142"/>
      <c r="K150" s="136">
        <v>-6</v>
      </c>
      <c r="L150" s="142"/>
      <c r="M150" s="344"/>
    </row>
    <row r="151" spans="2:13" ht="15.75" thickBot="1" x14ac:dyDescent="0.25">
      <c r="B151" s="339" t="s">
        <v>880</v>
      </c>
      <c r="C151" s="137" t="s">
        <v>762</v>
      </c>
      <c r="D151" s="137">
        <v>2</v>
      </c>
      <c r="E151" s="137">
        <v>4.4999999999999998E-2</v>
      </c>
      <c r="F151" s="137">
        <v>0.03</v>
      </c>
      <c r="G151" s="137">
        <v>1</v>
      </c>
      <c r="H151" s="135" t="s">
        <v>781</v>
      </c>
      <c r="I151" s="135" t="s">
        <v>782</v>
      </c>
      <c r="J151" s="134"/>
      <c r="K151" s="137">
        <v>-7</v>
      </c>
      <c r="L151" s="134"/>
      <c r="M151" s="343"/>
    </row>
    <row r="152" spans="2:13" ht="24.75" thickBot="1" x14ac:dyDescent="0.25">
      <c r="B152" s="341" t="s">
        <v>881</v>
      </c>
      <c r="C152" s="338">
        <v>0.08</v>
      </c>
      <c r="D152" s="338">
        <v>2</v>
      </c>
      <c r="E152" s="338">
        <v>4.4999999999999998E-2</v>
      </c>
      <c r="F152" s="338">
        <v>0.03</v>
      </c>
      <c r="G152" s="338">
        <v>1</v>
      </c>
      <c r="H152" s="335" t="s">
        <v>781</v>
      </c>
      <c r="I152" s="335" t="s">
        <v>782</v>
      </c>
      <c r="J152" s="337"/>
      <c r="K152" s="338">
        <v>-6</v>
      </c>
      <c r="L152" s="337"/>
      <c r="M152" s="345" t="s">
        <v>887</v>
      </c>
    </row>
    <row r="153" spans="2:13" ht="24" x14ac:dyDescent="0.2">
      <c r="B153" s="342" t="s">
        <v>882</v>
      </c>
      <c r="C153" s="333" t="s">
        <v>762</v>
      </c>
      <c r="D153" s="333">
        <v>2</v>
      </c>
      <c r="E153" s="333">
        <v>4.4999999999999998E-2</v>
      </c>
      <c r="F153" s="333">
        <v>0.03</v>
      </c>
      <c r="G153" s="333">
        <v>1</v>
      </c>
      <c r="H153" s="332" t="s">
        <v>781</v>
      </c>
      <c r="I153" s="332" t="s">
        <v>782</v>
      </c>
      <c r="J153" s="334"/>
      <c r="K153" s="333">
        <v>-7</v>
      </c>
      <c r="L153" s="334"/>
      <c r="M153" s="346" t="s">
        <v>887</v>
      </c>
    </row>
    <row r="154" spans="2:13" x14ac:dyDescent="0.2">
      <c r="B154" s="143" t="s">
        <v>402</v>
      </c>
    </row>
    <row r="155" spans="2:13" x14ac:dyDescent="0.2">
      <c r="B155" s="144" t="s">
        <v>783</v>
      </c>
    </row>
    <row r="156" spans="2:13" x14ac:dyDescent="0.2">
      <c r="B156" s="144" t="s">
        <v>784</v>
      </c>
    </row>
    <row r="157" spans="2:13" x14ac:dyDescent="0.2">
      <c r="B157" s="144" t="s">
        <v>785</v>
      </c>
    </row>
    <row r="158" spans="2:13" x14ac:dyDescent="0.2">
      <c r="B158" s="144" t="s">
        <v>786</v>
      </c>
    </row>
    <row r="159" spans="2:13" x14ac:dyDescent="0.2">
      <c r="B159" s="144" t="s">
        <v>787</v>
      </c>
    </row>
    <row r="160" spans="2:13" x14ac:dyDescent="0.2">
      <c r="B160" s="144" t="s">
        <v>788</v>
      </c>
    </row>
    <row r="161" spans="2:8" x14ac:dyDescent="0.2">
      <c r="B161" s="144" t="s">
        <v>789</v>
      </c>
    </row>
    <row r="162" spans="2:8" ht="17.25" x14ac:dyDescent="0.2">
      <c r="B162" s="133" t="s">
        <v>403</v>
      </c>
    </row>
    <row r="163" spans="2:8" x14ac:dyDescent="0.2">
      <c r="B163" s="127"/>
    </row>
    <row r="164" spans="2:8" x14ac:dyDescent="0.2">
      <c r="B164" t="s">
        <v>404</v>
      </c>
      <c r="C164" t="s">
        <v>883</v>
      </c>
      <c r="D164" t="s">
        <v>884</v>
      </c>
      <c r="E164" t="s">
        <v>885</v>
      </c>
      <c r="F164" t="s">
        <v>886</v>
      </c>
      <c r="G164" t="s">
        <v>410</v>
      </c>
      <c r="H164" t="s">
        <v>383</v>
      </c>
    </row>
    <row r="165" spans="2:8" ht="81" x14ac:dyDescent="0.2">
      <c r="B165" t="s">
        <v>405</v>
      </c>
      <c r="C165" s="31">
        <v>515</v>
      </c>
      <c r="D165" s="31">
        <v>205</v>
      </c>
      <c r="E165" s="31">
        <v>30</v>
      </c>
      <c r="F165" s="31">
        <v>50</v>
      </c>
      <c r="G165" s="14" t="s">
        <v>411</v>
      </c>
      <c r="H165" s="14" t="s">
        <v>412</v>
      </c>
    </row>
    <row r="166" spans="2:8" ht="81" x14ac:dyDescent="0.2">
      <c r="B166" t="s">
        <v>406</v>
      </c>
      <c r="C166" s="31">
        <v>485</v>
      </c>
      <c r="D166" s="31">
        <v>170</v>
      </c>
      <c r="E166" s="31">
        <v>30</v>
      </c>
      <c r="F166" s="31">
        <v>50</v>
      </c>
      <c r="G166" s="14" t="s">
        <v>411</v>
      </c>
      <c r="H166" s="14" t="s">
        <v>412</v>
      </c>
    </row>
    <row r="167" spans="2:8" ht="68.25" x14ac:dyDescent="0.2">
      <c r="B167" t="s">
        <v>407</v>
      </c>
      <c r="C167" s="31">
        <v>515</v>
      </c>
      <c r="D167" s="31">
        <v>205</v>
      </c>
      <c r="E167" s="31">
        <v>30</v>
      </c>
      <c r="F167" s="31">
        <v>50</v>
      </c>
      <c r="G167" s="14" t="s">
        <v>413</v>
      </c>
      <c r="H167" s="14" t="s">
        <v>790</v>
      </c>
    </row>
    <row r="168" spans="2:8" ht="38.25" customHeight="1" x14ac:dyDescent="0.2">
      <c r="B168" t="s">
        <v>408</v>
      </c>
      <c r="C168" s="31">
        <v>485</v>
      </c>
      <c r="D168" s="31">
        <v>170</v>
      </c>
      <c r="E168" s="31">
        <v>30</v>
      </c>
      <c r="F168" s="31">
        <v>50</v>
      </c>
      <c r="G168" s="14" t="s">
        <v>413</v>
      </c>
      <c r="H168" s="14" t="s">
        <v>790</v>
      </c>
    </row>
    <row r="169" spans="2:8" x14ac:dyDescent="0.2">
      <c r="B169" t="s">
        <v>409</v>
      </c>
      <c r="C169" s="31">
        <v>515</v>
      </c>
      <c r="D169" s="31">
        <v>205</v>
      </c>
      <c r="E169" s="31">
        <v>30</v>
      </c>
      <c r="F169" s="31">
        <v>50</v>
      </c>
    </row>
    <row r="170" spans="2:8" ht="25.5" customHeight="1" x14ac:dyDescent="0.2">
      <c r="B170" s="133" t="s">
        <v>791</v>
      </c>
    </row>
    <row r="171" spans="2:8" ht="15.75" thickBot="1" x14ac:dyDescent="0.25">
      <c r="B171" s="127"/>
    </row>
    <row r="172" spans="2:8" ht="15.75" thickBot="1" x14ac:dyDescent="0.25">
      <c r="B172" s="1122" t="s">
        <v>414</v>
      </c>
      <c r="C172" s="1123"/>
      <c r="D172" s="1124"/>
    </row>
    <row r="173" spans="2:8" ht="15.75" thickBot="1" x14ac:dyDescent="0.25">
      <c r="B173" s="141" t="s">
        <v>415</v>
      </c>
      <c r="C173" s="141" t="s">
        <v>416</v>
      </c>
      <c r="D173" s="141" t="s">
        <v>417</v>
      </c>
    </row>
    <row r="174" spans="2:8" ht="15.75" thickBot="1" x14ac:dyDescent="0.25">
      <c r="B174" s="1122" t="s">
        <v>418</v>
      </c>
      <c r="C174" s="1123"/>
      <c r="D174" s="1124"/>
    </row>
    <row r="175" spans="2:8" ht="24.75" thickBot="1" x14ac:dyDescent="0.25">
      <c r="B175" s="140" t="s">
        <v>792</v>
      </c>
      <c r="C175" s="140" t="s">
        <v>419</v>
      </c>
      <c r="D175" s="140" t="s">
        <v>420</v>
      </c>
    </row>
    <row r="176" spans="2:8" ht="24.75" thickBot="1" x14ac:dyDescent="0.25">
      <c r="B176" s="139" t="s">
        <v>793</v>
      </c>
      <c r="C176" s="139" t="s">
        <v>421</v>
      </c>
      <c r="D176" s="139" t="s">
        <v>422</v>
      </c>
    </row>
    <row r="177" spans="2:4" ht="24.75" thickBot="1" x14ac:dyDescent="0.25">
      <c r="B177" s="140" t="s">
        <v>794</v>
      </c>
      <c r="C177" s="140" t="s">
        <v>423</v>
      </c>
      <c r="D177" s="140" t="s">
        <v>424</v>
      </c>
    </row>
    <row r="178" spans="2:4" ht="24.75" thickBot="1" x14ac:dyDescent="0.25">
      <c r="B178" s="139" t="s">
        <v>795</v>
      </c>
      <c r="C178" s="139" t="s">
        <v>357</v>
      </c>
      <c r="D178" s="139" t="s">
        <v>425</v>
      </c>
    </row>
    <row r="179" spans="2:4" ht="24.75" thickBot="1" x14ac:dyDescent="0.25">
      <c r="B179" s="140" t="s">
        <v>796</v>
      </c>
      <c r="C179" s="140" t="s">
        <v>426</v>
      </c>
      <c r="D179" s="140" t="s">
        <v>425</v>
      </c>
    </row>
    <row r="180" spans="2:4" ht="24.75" thickBot="1" x14ac:dyDescent="0.25">
      <c r="B180" s="139" t="s">
        <v>797</v>
      </c>
      <c r="C180" s="139" t="s">
        <v>427</v>
      </c>
      <c r="D180" s="139" t="s">
        <v>428</v>
      </c>
    </row>
    <row r="181" spans="2:4" ht="24.75" thickBot="1" x14ac:dyDescent="0.25">
      <c r="B181" s="140" t="s">
        <v>798</v>
      </c>
      <c r="C181" s="140" t="s">
        <v>429</v>
      </c>
      <c r="D181" s="140" t="s">
        <v>430</v>
      </c>
    </row>
    <row r="182" spans="2:4" ht="24.75" thickBot="1" x14ac:dyDescent="0.25">
      <c r="B182" s="139" t="s">
        <v>799</v>
      </c>
      <c r="C182" s="139" t="s">
        <v>431</v>
      </c>
      <c r="D182" s="139" t="s">
        <v>432</v>
      </c>
    </row>
    <row r="183" spans="2:4" ht="15.75" thickBot="1" x14ac:dyDescent="0.25">
      <c r="B183" s="140" t="s">
        <v>800</v>
      </c>
      <c r="C183" s="140" t="s">
        <v>433</v>
      </c>
      <c r="D183" s="140" t="s">
        <v>434</v>
      </c>
    </row>
    <row r="184" spans="2:4" ht="24.75" thickBot="1" x14ac:dyDescent="0.25">
      <c r="B184" s="139" t="s">
        <v>801</v>
      </c>
      <c r="C184" s="139" t="s">
        <v>435</v>
      </c>
      <c r="D184" s="139" t="s">
        <v>436</v>
      </c>
    </row>
    <row r="185" spans="2:4" ht="15.75" thickBot="1" x14ac:dyDescent="0.25">
      <c r="B185" s="140" t="s">
        <v>802</v>
      </c>
      <c r="C185" s="140" t="s">
        <v>437</v>
      </c>
      <c r="D185" s="140" t="s">
        <v>438</v>
      </c>
    </row>
    <row r="186" spans="2:4" ht="22.5" x14ac:dyDescent="0.2">
      <c r="B186" s="128" t="s">
        <v>341</v>
      </c>
    </row>
    <row r="187" spans="2:4" x14ac:dyDescent="0.2">
      <c r="B187" s="127"/>
    </row>
    <row r="188" spans="2:4" x14ac:dyDescent="0.2">
      <c r="B188" s="132" t="s">
        <v>803</v>
      </c>
    </row>
    <row r="189" spans="2:4" x14ac:dyDescent="0.2">
      <c r="B189" s="147"/>
    </row>
    <row r="190" spans="2:4" x14ac:dyDescent="0.2">
      <c r="B190" s="147"/>
    </row>
    <row r="191" spans="2:4" x14ac:dyDescent="0.2">
      <c r="B191" s="148" t="s">
        <v>439</v>
      </c>
    </row>
    <row r="192" spans="2:4" x14ac:dyDescent="0.2">
      <c r="B192" s="147"/>
    </row>
    <row r="193" spans="2:2" x14ac:dyDescent="0.2">
      <c r="B193" s="147"/>
    </row>
    <row r="194" spans="2:2" x14ac:dyDescent="0.2">
      <c r="B194" s="147"/>
    </row>
    <row r="195" spans="2:2" x14ac:dyDescent="0.2">
      <c r="B195" s="147"/>
    </row>
    <row r="196" spans="2:2" x14ac:dyDescent="0.2">
      <c r="B196" s="147"/>
    </row>
    <row r="197" spans="2:2" x14ac:dyDescent="0.2">
      <c r="B197" s="147"/>
    </row>
    <row r="198" spans="2:2" x14ac:dyDescent="0.2">
      <c r="B198" s="147"/>
    </row>
    <row r="199" spans="2:2" x14ac:dyDescent="0.2">
      <c r="B199" s="147"/>
    </row>
    <row r="200" spans="2:2" x14ac:dyDescent="0.2">
      <c r="B200" s="127"/>
    </row>
    <row r="201" spans="2:2" x14ac:dyDescent="0.2">
      <c r="B201" s="132" t="s">
        <v>804</v>
      </c>
    </row>
    <row r="202" spans="2:2" x14ac:dyDescent="0.2">
      <c r="B202" s="127"/>
    </row>
    <row r="203" spans="2:2" x14ac:dyDescent="0.2">
      <c r="B203" s="132" t="s">
        <v>805</v>
      </c>
    </row>
    <row r="204" spans="2:2" x14ac:dyDescent="0.2">
      <c r="B204" s="127"/>
    </row>
    <row r="205" spans="2:2" x14ac:dyDescent="0.2">
      <c r="B205" s="132" t="s">
        <v>806</v>
      </c>
    </row>
    <row r="206" spans="2:2" x14ac:dyDescent="0.2">
      <c r="B206" s="127"/>
    </row>
    <row r="207" spans="2:2" x14ac:dyDescent="0.2">
      <c r="B207" s="129" t="s">
        <v>807</v>
      </c>
    </row>
    <row r="208" spans="2:2" x14ac:dyDescent="0.2">
      <c r="B208" s="127"/>
    </row>
    <row r="209" spans="2:4" ht="17.25" x14ac:dyDescent="0.2">
      <c r="B209" s="133" t="s">
        <v>440</v>
      </c>
    </row>
    <row r="210" spans="2:4" ht="15.75" thickBot="1" x14ac:dyDescent="0.25">
      <c r="B210" s="127"/>
    </row>
    <row r="211" spans="2:4" x14ac:dyDescent="0.2">
      <c r="B211" s="1128" t="s">
        <v>185</v>
      </c>
      <c r="C211" s="149" t="s">
        <v>441</v>
      </c>
      <c r="D211" s="149" t="s">
        <v>442</v>
      </c>
    </row>
    <row r="212" spans="2:4" ht="36.75" thickBot="1" x14ac:dyDescent="0.25">
      <c r="B212" s="1129"/>
      <c r="C212" s="150" t="s">
        <v>443</v>
      </c>
      <c r="D212" s="150" t="s">
        <v>444</v>
      </c>
    </row>
    <row r="213" spans="2:4" ht="15.75" thickBot="1" x14ac:dyDescent="0.25">
      <c r="B213" s="151" t="s">
        <v>290</v>
      </c>
      <c r="C213" s="152" t="s">
        <v>808</v>
      </c>
      <c r="D213" s="152" t="s">
        <v>809</v>
      </c>
    </row>
    <row r="214" spans="2:4" ht="15.75" thickBot="1" x14ac:dyDescent="0.25">
      <c r="B214" s="153" t="s">
        <v>291</v>
      </c>
      <c r="C214" s="154">
        <v>2</v>
      </c>
      <c r="D214" s="155" t="s">
        <v>810</v>
      </c>
    </row>
    <row r="215" spans="2:4" ht="15.75" thickBot="1" x14ac:dyDescent="0.25">
      <c r="B215" s="151" t="s">
        <v>352</v>
      </c>
      <c r="C215" s="152">
        <v>1</v>
      </c>
      <c r="D215" s="152">
        <v>0.8</v>
      </c>
    </row>
    <row r="216" spans="2:4" ht="15.75" thickBot="1" x14ac:dyDescent="0.25">
      <c r="B216" s="153" t="s">
        <v>292</v>
      </c>
      <c r="C216" s="154" t="s">
        <v>808</v>
      </c>
      <c r="D216" s="154">
        <v>3.5000000000000003E-2</v>
      </c>
    </row>
    <row r="217" spans="2:4" ht="15.75" thickBot="1" x14ac:dyDescent="0.25">
      <c r="B217" s="151" t="s">
        <v>293</v>
      </c>
      <c r="C217" s="152" t="s">
        <v>811</v>
      </c>
      <c r="D217" s="152">
        <v>0.02</v>
      </c>
    </row>
    <row r="218" spans="2:4" ht="15.75" thickBot="1" x14ac:dyDescent="0.25">
      <c r="B218" s="153" t="s">
        <v>355</v>
      </c>
      <c r="C218" s="154" t="s">
        <v>445</v>
      </c>
      <c r="D218" s="154" t="s">
        <v>446</v>
      </c>
    </row>
    <row r="219" spans="2:4" ht="15.75" thickBot="1" x14ac:dyDescent="0.25">
      <c r="B219" s="151" t="s">
        <v>356</v>
      </c>
      <c r="C219" s="152" t="s">
        <v>812</v>
      </c>
      <c r="D219" s="152" t="s">
        <v>813</v>
      </c>
    </row>
    <row r="220" spans="2:4" ht="15.75" thickBot="1" x14ac:dyDescent="0.25">
      <c r="B220" s="153" t="s">
        <v>354</v>
      </c>
      <c r="C220" s="154" t="s">
        <v>814</v>
      </c>
      <c r="D220" s="154" t="s">
        <v>815</v>
      </c>
    </row>
    <row r="221" spans="2:4" ht="15.75" thickBot="1" x14ac:dyDescent="0.25">
      <c r="B221" s="151" t="s">
        <v>297</v>
      </c>
      <c r="C221" s="152" t="s">
        <v>816</v>
      </c>
      <c r="D221" s="152" t="s">
        <v>817</v>
      </c>
    </row>
    <row r="222" spans="2:4" ht="15.75" thickBot="1" x14ac:dyDescent="0.25">
      <c r="B222" s="153" t="s">
        <v>353</v>
      </c>
      <c r="C222" s="154" t="s">
        <v>357</v>
      </c>
      <c r="D222" s="156" t="s">
        <v>818</v>
      </c>
    </row>
    <row r="223" spans="2:4" x14ac:dyDescent="0.2">
      <c r="B223" s="132" t="s">
        <v>819</v>
      </c>
    </row>
    <row r="224" spans="2:4" x14ac:dyDescent="0.2">
      <c r="B224" s="127"/>
    </row>
    <row r="225" spans="2:4" x14ac:dyDescent="0.2">
      <c r="B225" s="132" t="s">
        <v>820</v>
      </c>
    </row>
    <row r="226" spans="2:4" x14ac:dyDescent="0.2">
      <c r="B226" s="127"/>
    </row>
    <row r="227" spans="2:4" x14ac:dyDescent="0.2">
      <c r="B227" s="132" t="s">
        <v>821</v>
      </c>
    </row>
    <row r="228" spans="2:4" x14ac:dyDescent="0.2">
      <c r="B228" s="127"/>
    </row>
    <row r="229" spans="2:4" x14ac:dyDescent="0.2">
      <c r="B229" s="132" t="s">
        <v>822</v>
      </c>
    </row>
    <row r="230" spans="2:4" x14ac:dyDescent="0.2">
      <c r="B230" s="127"/>
    </row>
    <row r="231" spans="2:4" x14ac:dyDescent="0.2">
      <c r="B231" s="132" t="s">
        <v>823</v>
      </c>
    </row>
    <row r="232" spans="2:4" x14ac:dyDescent="0.2">
      <c r="B232" s="127"/>
    </row>
    <row r="233" spans="2:4" x14ac:dyDescent="0.2">
      <c r="B233" s="132" t="s">
        <v>824</v>
      </c>
    </row>
    <row r="234" spans="2:4" x14ac:dyDescent="0.2">
      <c r="B234" s="127"/>
    </row>
    <row r="235" spans="2:4" ht="17.25" x14ac:dyDescent="0.2">
      <c r="B235" s="133" t="s">
        <v>447</v>
      </c>
    </row>
    <row r="236" spans="2:4" ht="15.75" thickBot="1" x14ac:dyDescent="0.25">
      <c r="B236" s="127"/>
    </row>
    <row r="237" spans="2:4" x14ac:dyDescent="0.2">
      <c r="B237" s="1128" t="s">
        <v>448</v>
      </c>
      <c r="C237" s="149" t="s">
        <v>441</v>
      </c>
      <c r="D237" s="149" t="s">
        <v>442</v>
      </c>
    </row>
    <row r="238" spans="2:4" ht="36.75" thickBot="1" x14ac:dyDescent="0.25">
      <c r="B238" s="1129"/>
      <c r="C238" s="150" t="s">
        <v>443</v>
      </c>
      <c r="D238" s="150" t="s">
        <v>444</v>
      </c>
    </row>
    <row r="239" spans="2:4" ht="15.75" thickBot="1" x14ac:dyDescent="0.25">
      <c r="B239" s="152" t="s">
        <v>449</v>
      </c>
      <c r="C239" s="152">
        <v>620</v>
      </c>
      <c r="D239" s="152">
        <v>770</v>
      </c>
    </row>
    <row r="240" spans="2:4" ht="15.75" thickBot="1" x14ac:dyDescent="0.25">
      <c r="B240" s="154" t="s">
        <v>825</v>
      </c>
      <c r="C240" s="154">
        <v>450</v>
      </c>
      <c r="D240" s="154">
        <v>550</v>
      </c>
    </row>
    <row r="241" spans="2:4" ht="15.75" thickBot="1" x14ac:dyDescent="0.25">
      <c r="B241" s="152" t="s">
        <v>450</v>
      </c>
      <c r="C241" s="152">
        <v>25</v>
      </c>
      <c r="D241" s="152">
        <v>25</v>
      </c>
    </row>
    <row r="242" spans="2:4" ht="18" thickBot="1" x14ac:dyDescent="0.25">
      <c r="B242" s="133"/>
    </row>
    <row r="243" spans="2:4" x14ac:dyDescent="0.2">
      <c r="B243" s="1128" t="s">
        <v>451</v>
      </c>
      <c r="C243" s="149" t="s">
        <v>441</v>
      </c>
      <c r="D243" s="149" t="s">
        <v>442</v>
      </c>
    </row>
    <row r="244" spans="2:4" ht="36.75" thickBot="1" x14ac:dyDescent="0.25">
      <c r="B244" s="1129"/>
      <c r="C244" s="150" t="s">
        <v>443</v>
      </c>
      <c r="D244" s="150" t="s">
        <v>444</v>
      </c>
    </row>
    <row r="245" spans="2:4" ht="15.75" thickBot="1" x14ac:dyDescent="0.25">
      <c r="B245" s="151" t="s">
        <v>826</v>
      </c>
      <c r="C245" s="157">
        <v>7805</v>
      </c>
      <c r="D245" s="157">
        <v>7810</v>
      </c>
    </row>
    <row r="246" spans="2:4" ht="15.75" thickBot="1" x14ac:dyDescent="0.25">
      <c r="B246" s="153" t="s">
        <v>452</v>
      </c>
      <c r="C246" s="154">
        <v>200</v>
      </c>
      <c r="D246" s="154">
        <v>205</v>
      </c>
    </row>
    <row r="247" spans="2:4" ht="15.75" thickBot="1" x14ac:dyDescent="0.25">
      <c r="B247" s="151" t="s">
        <v>827</v>
      </c>
      <c r="C247" s="152" t="s">
        <v>828</v>
      </c>
      <c r="D247" s="152" t="s">
        <v>828</v>
      </c>
    </row>
    <row r="248" spans="2:4" ht="15.75" thickBot="1" x14ac:dyDescent="0.25">
      <c r="B248" s="153" t="s">
        <v>829</v>
      </c>
      <c r="C248" s="154" t="s">
        <v>453</v>
      </c>
      <c r="D248" s="154" t="s">
        <v>454</v>
      </c>
    </row>
    <row r="249" spans="2:4" ht="24.75" thickBot="1" x14ac:dyDescent="0.25">
      <c r="B249" s="151" t="s">
        <v>830</v>
      </c>
      <c r="C249" s="152" t="s">
        <v>831</v>
      </c>
      <c r="D249" s="152" t="s">
        <v>832</v>
      </c>
    </row>
    <row r="250" spans="2:4" x14ac:dyDescent="0.2">
      <c r="B250" s="132" t="s">
        <v>833</v>
      </c>
    </row>
    <row r="251" spans="2:4" x14ac:dyDescent="0.2">
      <c r="B251" s="127"/>
    </row>
    <row r="252" spans="2:4" ht="22.5" x14ac:dyDescent="0.2">
      <c r="B252" s="158" t="s">
        <v>342</v>
      </c>
    </row>
    <row r="253" spans="2:4" x14ac:dyDescent="0.2">
      <c r="B253" s="127"/>
    </row>
    <row r="254" spans="2:4" ht="17.25" x14ac:dyDescent="0.2">
      <c r="B254" s="133" t="s">
        <v>343</v>
      </c>
    </row>
    <row r="255" spans="2:4" ht="15.75" thickBot="1" x14ac:dyDescent="0.25">
      <c r="B255" s="127"/>
    </row>
    <row r="256" spans="2:4" ht="15.75" thickBot="1" x14ac:dyDescent="0.25">
      <c r="B256" s="159" t="s">
        <v>455</v>
      </c>
      <c r="C256" s="134" t="s">
        <v>456</v>
      </c>
    </row>
    <row r="257" spans="2:13" ht="15.75" thickBot="1" x14ac:dyDescent="0.25">
      <c r="B257" s="160" t="s">
        <v>457</v>
      </c>
      <c r="C257" s="142" t="s">
        <v>458</v>
      </c>
    </row>
    <row r="258" spans="2:13" ht="15.75" thickBot="1" x14ac:dyDescent="0.25">
      <c r="B258" s="159" t="s">
        <v>459</v>
      </c>
      <c r="C258" s="134" t="s">
        <v>460</v>
      </c>
    </row>
    <row r="259" spans="2:13" ht="15.75" thickBot="1" x14ac:dyDescent="0.25">
      <c r="B259" s="160" t="s">
        <v>461</v>
      </c>
      <c r="C259" s="142" t="s">
        <v>462</v>
      </c>
    </row>
    <row r="260" spans="2:13" ht="15.75" thickBot="1" x14ac:dyDescent="0.25">
      <c r="B260" s="134" t="s">
        <v>459</v>
      </c>
      <c r="C260" s="134" t="s">
        <v>463</v>
      </c>
    </row>
    <row r="261" spans="2:13" ht="15.75" thickBot="1" x14ac:dyDescent="0.25">
      <c r="B261" s="142" t="s">
        <v>459</v>
      </c>
      <c r="C261" s="142" t="s">
        <v>464</v>
      </c>
    </row>
    <row r="262" spans="2:13" ht="15.75" thickBot="1" x14ac:dyDescent="0.25">
      <c r="B262" s="134" t="s">
        <v>459</v>
      </c>
      <c r="C262" s="134" t="s">
        <v>465</v>
      </c>
    </row>
    <row r="263" spans="2:13" ht="17.25" x14ac:dyDescent="0.2">
      <c r="B263" s="133" t="s">
        <v>344</v>
      </c>
    </row>
    <row r="264" spans="2:13" ht="15.75" thickBot="1" x14ac:dyDescent="0.25">
      <c r="B264" s="127"/>
    </row>
    <row r="265" spans="2:13" ht="15.75" thickBot="1" x14ac:dyDescent="0.25">
      <c r="B265" s="138" t="s">
        <v>466</v>
      </c>
      <c r="C265" s="138" t="s">
        <v>467</v>
      </c>
      <c r="D265" s="1122" t="s">
        <v>468</v>
      </c>
      <c r="E265" s="1123"/>
      <c r="F265" s="1123"/>
      <c r="G265" s="1123"/>
      <c r="H265" s="1123"/>
      <c r="I265" s="1123"/>
      <c r="J265" s="1123"/>
      <c r="K265" s="1123"/>
      <c r="L265" s="1123"/>
      <c r="M265" s="1124"/>
    </row>
    <row r="266" spans="2:13" ht="15.75" thickBot="1" x14ac:dyDescent="0.25">
      <c r="B266" s="142"/>
      <c r="C266" s="142"/>
      <c r="D266" s="141" t="s">
        <v>290</v>
      </c>
      <c r="E266" s="141" t="s">
        <v>291</v>
      </c>
      <c r="F266" s="141" t="s">
        <v>293</v>
      </c>
      <c r="G266" s="141" t="s">
        <v>352</v>
      </c>
      <c r="H266" s="141" t="s">
        <v>355</v>
      </c>
      <c r="I266" s="141" t="s">
        <v>354</v>
      </c>
      <c r="J266" s="141" t="s">
        <v>356</v>
      </c>
      <c r="K266" s="141" t="s">
        <v>353</v>
      </c>
      <c r="L266" s="141" t="s">
        <v>296</v>
      </c>
      <c r="M266" s="141" t="s">
        <v>469</v>
      </c>
    </row>
    <row r="267" spans="2:13" ht="15.75" thickBot="1" x14ac:dyDescent="0.25">
      <c r="B267" s="134" t="s">
        <v>470</v>
      </c>
      <c r="C267" s="134" t="s">
        <v>471</v>
      </c>
      <c r="D267" s="137">
        <v>0.08</v>
      </c>
      <c r="E267" s="137">
        <v>0.18</v>
      </c>
      <c r="F267" s="137">
        <v>5.0000000000000001E-3</v>
      </c>
      <c r="G267" s="137">
        <v>0.18</v>
      </c>
      <c r="H267" s="137" t="s">
        <v>472</v>
      </c>
      <c r="I267" s="137" t="s">
        <v>834</v>
      </c>
      <c r="J267" s="137" t="s">
        <v>472</v>
      </c>
      <c r="K267" s="137">
        <v>0.13</v>
      </c>
      <c r="L267" s="137" t="s">
        <v>472</v>
      </c>
      <c r="M267" s="137">
        <v>0.2</v>
      </c>
    </row>
    <row r="268" spans="2:13" ht="15.75" thickBot="1" x14ac:dyDescent="0.25">
      <c r="B268" s="142" t="s">
        <v>473</v>
      </c>
      <c r="C268" s="142" t="s">
        <v>474</v>
      </c>
      <c r="D268" s="136">
        <v>0.01</v>
      </c>
      <c r="E268" s="136">
        <v>0.18</v>
      </c>
      <c r="F268" s="136">
        <v>5.0000000000000001E-3</v>
      </c>
      <c r="G268" s="136">
        <v>0.18</v>
      </c>
      <c r="H268" s="136" t="s">
        <v>472</v>
      </c>
      <c r="I268" s="136" t="s">
        <v>835</v>
      </c>
      <c r="J268" s="136" t="s">
        <v>472</v>
      </c>
      <c r="K268" s="136">
        <v>0.13</v>
      </c>
      <c r="L268" s="136" t="s">
        <v>472</v>
      </c>
      <c r="M268" s="136">
        <v>0.2</v>
      </c>
    </row>
    <row r="269" spans="2:13" ht="15.75" thickBot="1" x14ac:dyDescent="0.25">
      <c r="B269" s="134" t="s">
        <v>475</v>
      </c>
      <c r="C269" s="134" t="s">
        <v>476</v>
      </c>
      <c r="D269" s="137">
        <v>0.15</v>
      </c>
      <c r="E269" s="137">
        <v>1</v>
      </c>
      <c r="F269" s="137">
        <v>1.2E-2</v>
      </c>
      <c r="G269" s="137">
        <v>0.25</v>
      </c>
      <c r="H269" s="137" t="s">
        <v>472</v>
      </c>
      <c r="I269" s="137" t="s">
        <v>836</v>
      </c>
      <c r="J269" s="137" t="s">
        <v>472</v>
      </c>
      <c r="K269" s="161" t="s">
        <v>837</v>
      </c>
      <c r="L269" s="137" t="s">
        <v>472</v>
      </c>
      <c r="M269" s="162" t="s">
        <v>838</v>
      </c>
    </row>
    <row r="270" spans="2:13" ht="15.75" thickBot="1" x14ac:dyDescent="0.25">
      <c r="B270" s="142" t="s">
        <v>477</v>
      </c>
      <c r="C270" s="142" t="s">
        <v>478</v>
      </c>
      <c r="D270" s="136">
        <v>0.13</v>
      </c>
      <c r="E270" s="136">
        <v>0.75</v>
      </c>
      <c r="F270" s="136">
        <v>5.0000000000000001E-3</v>
      </c>
      <c r="G270" s="136">
        <v>0.25</v>
      </c>
      <c r="H270" s="136" t="s">
        <v>472</v>
      </c>
      <c r="I270" s="136" t="s">
        <v>836</v>
      </c>
      <c r="J270" s="136" t="s">
        <v>472</v>
      </c>
      <c r="K270" s="163" t="s">
        <v>839</v>
      </c>
      <c r="L270" s="136">
        <v>0.6</v>
      </c>
      <c r="M270" s="136">
        <v>1</v>
      </c>
    </row>
    <row r="271" spans="2:13" ht="15.75" thickBot="1" x14ac:dyDescent="0.25">
      <c r="B271" s="134" t="s">
        <v>479</v>
      </c>
      <c r="C271" s="134" t="s">
        <v>480</v>
      </c>
      <c r="D271" s="137" t="s">
        <v>840</v>
      </c>
      <c r="E271" s="137">
        <v>1</v>
      </c>
      <c r="F271" s="137" t="s">
        <v>472</v>
      </c>
      <c r="G271" s="137">
        <v>1</v>
      </c>
      <c r="H271" s="137">
        <v>1</v>
      </c>
      <c r="I271" s="137">
        <v>61</v>
      </c>
      <c r="J271" s="137">
        <v>28</v>
      </c>
      <c r="K271" s="137" t="s">
        <v>472</v>
      </c>
      <c r="L271" s="137" t="s">
        <v>472</v>
      </c>
      <c r="M271" s="137">
        <v>5</v>
      </c>
    </row>
    <row r="272" spans="2:13" ht="15.75" thickBot="1" x14ac:dyDescent="0.25">
      <c r="B272" s="142" t="s">
        <v>481</v>
      </c>
      <c r="C272" s="142" t="s">
        <v>357</v>
      </c>
      <c r="D272" s="136">
        <v>0.12</v>
      </c>
      <c r="E272" s="136">
        <v>0.9</v>
      </c>
      <c r="F272" s="136" t="s">
        <v>472</v>
      </c>
      <c r="G272" s="164" t="s">
        <v>841</v>
      </c>
      <c r="H272" s="136">
        <v>1</v>
      </c>
      <c r="I272" s="136">
        <v>82</v>
      </c>
      <c r="J272" s="136" t="s">
        <v>472</v>
      </c>
      <c r="K272" s="136">
        <v>3</v>
      </c>
      <c r="L272" s="136" t="s">
        <v>472</v>
      </c>
      <c r="M272" s="136">
        <v>2</v>
      </c>
    </row>
    <row r="273" spans="2:13" ht="15.75" thickBot="1" x14ac:dyDescent="0.25">
      <c r="B273" s="134" t="s">
        <v>482</v>
      </c>
      <c r="C273" s="134" t="s">
        <v>483</v>
      </c>
      <c r="D273" s="137">
        <v>0.08</v>
      </c>
      <c r="E273" s="137">
        <v>0.5</v>
      </c>
      <c r="F273" s="137">
        <v>8.0000000000000002E-3</v>
      </c>
      <c r="G273" s="137">
        <v>0.25</v>
      </c>
      <c r="H273" s="161" t="s">
        <v>842</v>
      </c>
      <c r="I273" s="137" t="s">
        <v>843</v>
      </c>
      <c r="J273" s="137" t="s">
        <v>472</v>
      </c>
      <c r="K273" s="137">
        <v>0.25</v>
      </c>
      <c r="L273" s="137" t="s">
        <v>472</v>
      </c>
      <c r="M273" s="137">
        <v>8</v>
      </c>
    </row>
    <row r="274" spans="2:13" ht="15.75" thickBot="1" x14ac:dyDescent="0.25">
      <c r="B274" s="142" t="s">
        <v>484</v>
      </c>
      <c r="C274" s="142" t="s">
        <v>485</v>
      </c>
      <c r="D274" s="136">
        <v>0.05</v>
      </c>
      <c r="E274" s="136">
        <v>0.75</v>
      </c>
      <c r="F274" s="136">
        <v>8.0000000000000002E-3</v>
      </c>
      <c r="G274" s="136">
        <v>0.5</v>
      </c>
      <c r="H274" s="136">
        <v>21</v>
      </c>
      <c r="I274" s="136">
        <v>32.5</v>
      </c>
      <c r="J274" s="136" t="s">
        <v>472</v>
      </c>
      <c r="K274" s="136">
        <v>0.38</v>
      </c>
      <c r="L274" s="136">
        <v>0.38</v>
      </c>
      <c r="M274" s="136">
        <v>46</v>
      </c>
    </row>
    <row r="275" spans="2:13" ht="15.75" thickBot="1" x14ac:dyDescent="0.25">
      <c r="B275" s="134" t="s">
        <v>486</v>
      </c>
      <c r="C275" s="134" t="s">
        <v>487</v>
      </c>
      <c r="D275" s="137">
        <v>0.01</v>
      </c>
      <c r="E275" s="137">
        <v>0.5</v>
      </c>
      <c r="F275" s="137">
        <v>0.02</v>
      </c>
      <c r="G275" s="137">
        <v>0.03</v>
      </c>
      <c r="H275" s="161" t="s">
        <v>842</v>
      </c>
      <c r="I275" s="137">
        <v>57</v>
      </c>
      <c r="J275" s="137">
        <v>16</v>
      </c>
      <c r="K275" s="137" t="s">
        <v>472</v>
      </c>
      <c r="L275" s="137" t="s">
        <v>472</v>
      </c>
      <c r="M275" s="161" t="s">
        <v>844</v>
      </c>
    </row>
    <row r="276" spans="2:13" ht="15.75" thickBot="1" x14ac:dyDescent="0.25">
      <c r="B276" s="142" t="s">
        <v>488</v>
      </c>
      <c r="C276" s="142" t="s">
        <v>489</v>
      </c>
      <c r="D276" s="136">
        <v>0.05</v>
      </c>
      <c r="E276" s="136">
        <v>0.25</v>
      </c>
      <c r="F276" s="136">
        <v>8.0000000000000002E-3</v>
      </c>
      <c r="G276" s="136">
        <v>0.25</v>
      </c>
      <c r="H276" s="163" t="s">
        <v>845</v>
      </c>
      <c r="I276" s="136" t="s">
        <v>846</v>
      </c>
      <c r="J276" s="136">
        <v>9</v>
      </c>
      <c r="K276" s="136" t="s">
        <v>472</v>
      </c>
      <c r="L276" s="136">
        <v>0.2</v>
      </c>
      <c r="M276" s="163" t="s">
        <v>847</v>
      </c>
    </row>
    <row r="277" spans="2:13" ht="15.75" thickBot="1" x14ac:dyDescent="0.25">
      <c r="B277" s="134" t="s">
        <v>490</v>
      </c>
      <c r="C277" s="134" t="s">
        <v>491</v>
      </c>
      <c r="D277" s="137">
        <v>0.03</v>
      </c>
      <c r="E277" s="137">
        <v>0.5</v>
      </c>
      <c r="F277" s="137">
        <v>1.4999999999999999E-2</v>
      </c>
      <c r="G277" s="137">
        <v>0.25</v>
      </c>
      <c r="H277" s="161" t="s">
        <v>845</v>
      </c>
      <c r="I277" s="137">
        <v>42</v>
      </c>
      <c r="J277" s="137">
        <v>3</v>
      </c>
      <c r="K277" s="162" t="s">
        <v>848</v>
      </c>
      <c r="L277" s="137">
        <v>0.9</v>
      </c>
      <c r="M277" s="137">
        <v>30</v>
      </c>
    </row>
    <row r="278" spans="2:13" ht="15.75" thickBot="1" x14ac:dyDescent="0.25">
      <c r="B278" s="142" t="s">
        <v>492</v>
      </c>
      <c r="C278" s="142" t="s">
        <v>493</v>
      </c>
      <c r="D278" s="136">
        <v>0.03</v>
      </c>
      <c r="E278" s="163" t="s">
        <v>810</v>
      </c>
      <c r="F278" s="136">
        <v>0.02</v>
      </c>
      <c r="G278" s="136">
        <v>0.5</v>
      </c>
      <c r="H278" s="136">
        <v>22.25</v>
      </c>
      <c r="I278" s="136">
        <v>44</v>
      </c>
      <c r="J278" s="163" t="s">
        <v>849</v>
      </c>
      <c r="K278" s="136">
        <v>2</v>
      </c>
      <c r="L278" s="136" t="s">
        <v>472</v>
      </c>
      <c r="M278" s="163" t="s">
        <v>850</v>
      </c>
    </row>
    <row r="279" spans="2:13" ht="15.75" thickBot="1" x14ac:dyDescent="0.25">
      <c r="B279" s="134" t="s">
        <v>494</v>
      </c>
      <c r="C279" s="134" t="s">
        <v>495</v>
      </c>
      <c r="D279" s="137">
        <v>0.04</v>
      </c>
      <c r="E279" s="137">
        <v>1</v>
      </c>
      <c r="F279" s="137">
        <v>0.02</v>
      </c>
      <c r="G279" s="137">
        <v>0.5</v>
      </c>
      <c r="H279" s="137">
        <v>20</v>
      </c>
      <c r="I279" s="137">
        <v>34</v>
      </c>
      <c r="J279" s="161" t="s">
        <v>847</v>
      </c>
      <c r="K279" s="161" t="s">
        <v>851</v>
      </c>
      <c r="L279" s="137" t="s">
        <v>472</v>
      </c>
      <c r="M279" s="137" t="s">
        <v>472</v>
      </c>
    </row>
    <row r="280" spans="2:13" ht="17.25" x14ac:dyDescent="0.2">
      <c r="B280" s="133" t="s">
        <v>345</v>
      </c>
    </row>
    <row r="281" spans="2:13" ht="15.75" thickBot="1" x14ac:dyDescent="0.25">
      <c r="B281" s="127"/>
    </row>
    <row r="282" spans="2:13" ht="24" x14ac:dyDescent="0.2">
      <c r="B282" s="1132" t="s">
        <v>496</v>
      </c>
      <c r="C282" s="1132" t="s">
        <v>467</v>
      </c>
      <c r="D282" s="145" t="s">
        <v>497</v>
      </c>
      <c r="E282" s="1130" t="s">
        <v>498</v>
      </c>
      <c r="F282" s="1130" t="s">
        <v>499</v>
      </c>
      <c r="G282" s="1130" t="s">
        <v>500</v>
      </c>
      <c r="H282" s="1130" t="s">
        <v>501</v>
      </c>
    </row>
    <row r="283" spans="2:13" ht="15.75" thickBot="1" x14ac:dyDescent="0.25">
      <c r="B283" s="1133"/>
      <c r="C283" s="1133"/>
      <c r="D283" s="146" t="s">
        <v>502</v>
      </c>
      <c r="E283" s="1131"/>
      <c r="F283" s="1131"/>
      <c r="G283" s="1131"/>
      <c r="H283" s="1131"/>
    </row>
    <row r="284" spans="2:13" ht="15.75" thickBot="1" x14ac:dyDescent="0.25">
      <c r="B284" s="142" t="s">
        <v>470</v>
      </c>
      <c r="C284" s="142" t="s">
        <v>471</v>
      </c>
      <c r="D284" s="136">
        <v>15</v>
      </c>
      <c r="E284" s="136">
        <v>55</v>
      </c>
      <c r="F284" s="136">
        <v>35</v>
      </c>
      <c r="G284" s="136" t="s">
        <v>357</v>
      </c>
      <c r="H284" s="136" t="s">
        <v>503</v>
      </c>
    </row>
    <row r="285" spans="2:13" ht="15.75" thickBot="1" x14ac:dyDescent="0.25">
      <c r="B285" s="134" t="s">
        <v>473</v>
      </c>
      <c r="C285" s="134" t="s">
        <v>474</v>
      </c>
      <c r="D285" s="137">
        <v>12</v>
      </c>
      <c r="E285" s="137">
        <v>50</v>
      </c>
      <c r="F285" s="137">
        <v>35</v>
      </c>
      <c r="G285" s="137" t="s">
        <v>357</v>
      </c>
      <c r="H285" s="137" t="s">
        <v>503</v>
      </c>
    </row>
    <row r="286" spans="2:13" ht="15.75" thickBot="1" x14ac:dyDescent="0.25">
      <c r="B286" s="142" t="s">
        <v>475</v>
      </c>
      <c r="C286" s="142" t="s">
        <v>476</v>
      </c>
      <c r="D286" s="136">
        <v>25</v>
      </c>
      <c r="E286" s="136">
        <v>70</v>
      </c>
      <c r="F286" s="136">
        <v>35</v>
      </c>
      <c r="G286" s="136" t="s">
        <v>357</v>
      </c>
      <c r="H286" s="136" t="s">
        <v>504</v>
      </c>
    </row>
    <row r="287" spans="2:13" ht="15.75" thickBot="1" x14ac:dyDescent="0.25">
      <c r="B287" s="134" t="s">
        <v>477</v>
      </c>
      <c r="C287" s="134" t="s">
        <v>478</v>
      </c>
      <c r="D287" s="137">
        <v>100</v>
      </c>
      <c r="E287" s="137">
        <v>140</v>
      </c>
      <c r="F287" s="137">
        <v>17</v>
      </c>
      <c r="G287" s="137" t="s">
        <v>357</v>
      </c>
      <c r="H287" s="137" t="s">
        <v>505</v>
      </c>
    </row>
    <row r="288" spans="2:13" ht="15.75" thickBot="1" x14ac:dyDescent="0.25">
      <c r="B288" s="142" t="s">
        <v>506</v>
      </c>
      <c r="C288" s="142" t="s">
        <v>480</v>
      </c>
      <c r="D288" s="136">
        <v>51</v>
      </c>
      <c r="E288" s="136">
        <v>110</v>
      </c>
      <c r="F288" s="136">
        <v>40</v>
      </c>
      <c r="G288" s="136" t="s">
        <v>507</v>
      </c>
      <c r="H288" s="136" t="s">
        <v>357</v>
      </c>
    </row>
    <row r="289" spans="2:8" ht="15.75" thickBot="1" x14ac:dyDescent="0.25">
      <c r="B289" s="134" t="s">
        <v>508</v>
      </c>
      <c r="C289" s="134" t="s">
        <v>357</v>
      </c>
      <c r="D289" s="137">
        <v>49</v>
      </c>
      <c r="E289" s="137">
        <v>114</v>
      </c>
      <c r="F289" s="137">
        <v>57</v>
      </c>
      <c r="G289" s="137" t="s">
        <v>509</v>
      </c>
      <c r="H289" s="137" t="s">
        <v>357</v>
      </c>
    </row>
    <row r="290" spans="2:8" ht="15.75" thickBot="1" x14ac:dyDescent="0.25">
      <c r="B290" s="142" t="s">
        <v>482</v>
      </c>
      <c r="C290" s="142" t="s">
        <v>483</v>
      </c>
      <c r="D290" s="136">
        <v>30</v>
      </c>
      <c r="E290" s="136">
        <v>80</v>
      </c>
      <c r="F290" s="136">
        <v>35</v>
      </c>
      <c r="G290" s="136" t="s">
        <v>357</v>
      </c>
      <c r="H290" s="136" t="s">
        <v>510</v>
      </c>
    </row>
    <row r="291" spans="2:8" ht="15.75" thickBot="1" x14ac:dyDescent="0.25">
      <c r="B291" s="134" t="s">
        <v>484</v>
      </c>
      <c r="C291" s="134" t="s">
        <v>485</v>
      </c>
      <c r="D291" s="137">
        <v>30</v>
      </c>
      <c r="E291" s="137">
        <v>75</v>
      </c>
      <c r="F291" s="137">
        <v>30</v>
      </c>
      <c r="G291" s="137" t="s">
        <v>357</v>
      </c>
      <c r="H291" s="137" t="s">
        <v>511</v>
      </c>
    </row>
    <row r="292" spans="2:8" ht="15.75" thickBot="1" x14ac:dyDescent="0.25">
      <c r="B292" s="142" t="s">
        <v>486</v>
      </c>
      <c r="C292" s="142" t="s">
        <v>487</v>
      </c>
      <c r="D292" s="136">
        <v>60</v>
      </c>
      <c r="E292" s="136">
        <v>115</v>
      </c>
      <c r="F292" s="136">
        <v>50</v>
      </c>
      <c r="G292" s="136">
        <v>184</v>
      </c>
      <c r="H292" s="136"/>
    </row>
    <row r="293" spans="2:8" ht="15.75" thickBot="1" x14ac:dyDescent="0.25">
      <c r="B293" s="165" t="s">
        <v>488</v>
      </c>
      <c r="C293" s="165" t="s">
        <v>489</v>
      </c>
      <c r="D293" s="166">
        <v>39</v>
      </c>
      <c r="E293" s="166">
        <v>98</v>
      </c>
      <c r="F293" s="166">
        <v>30</v>
      </c>
      <c r="G293" s="166" t="s">
        <v>357</v>
      </c>
      <c r="H293" s="166">
        <v>180</v>
      </c>
    </row>
    <row r="294" spans="2:8" ht="15.75" thickBot="1" x14ac:dyDescent="0.25">
      <c r="B294" s="142" t="s">
        <v>490</v>
      </c>
      <c r="C294" s="142" t="s">
        <v>491</v>
      </c>
      <c r="D294" s="136">
        <v>35</v>
      </c>
      <c r="E294" s="136">
        <v>85</v>
      </c>
      <c r="F294" s="136">
        <v>30</v>
      </c>
      <c r="G294" s="136" t="s">
        <v>357</v>
      </c>
      <c r="H294" s="136" t="s">
        <v>512</v>
      </c>
    </row>
    <row r="295" spans="2:8" ht="15.75" thickBot="1" x14ac:dyDescent="0.25">
      <c r="B295" s="134" t="s">
        <v>513</v>
      </c>
      <c r="C295" s="134" t="s">
        <v>493</v>
      </c>
      <c r="D295" s="137">
        <v>51</v>
      </c>
      <c r="E295" s="137">
        <v>100</v>
      </c>
      <c r="F295" s="137">
        <v>56</v>
      </c>
      <c r="G295" s="137" t="s">
        <v>357</v>
      </c>
      <c r="H295" s="137" t="s">
        <v>357</v>
      </c>
    </row>
    <row r="296" spans="2:8" ht="15.75" thickBot="1" x14ac:dyDescent="0.25">
      <c r="B296" s="142" t="s">
        <v>494</v>
      </c>
      <c r="C296" s="142" t="s">
        <v>495</v>
      </c>
      <c r="D296" s="136">
        <v>35</v>
      </c>
      <c r="E296" s="136">
        <v>80</v>
      </c>
      <c r="F296" s="136">
        <v>30</v>
      </c>
      <c r="G296" s="136" t="s">
        <v>514</v>
      </c>
      <c r="H296" s="136">
        <v>160</v>
      </c>
    </row>
  </sheetData>
  <mergeCells count="15">
    <mergeCell ref="H282:H283"/>
    <mergeCell ref="B282:B283"/>
    <mergeCell ref="C282:C283"/>
    <mergeCell ref="E282:E283"/>
    <mergeCell ref="F282:F283"/>
    <mergeCell ref="G282:G283"/>
    <mergeCell ref="L117:L118"/>
    <mergeCell ref="L119:L120"/>
    <mergeCell ref="D265:M265"/>
    <mergeCell ref="B129:M129"/>
    <mergeCell ref="B243:B244"/>
    <mergeCell ref="B172:D172"/>
    <mergeCell ref="B174:D174"/>
    <mergeCell ref="B211:B212"/>
    <mergeCell ref="B237:B238"/>
  </mergeCells>
  <hyperlinks>
    <hyperlink ref="B1" r:id="rId1" location="elementor-toc__heading-anchor-18" display="https://blog.projectmaterials.com/flanges/flange-materials-carbon-alloy-stainless-duplex/ - elementor-toc__heading-anchor-18" xr:uid="{00000000-0004-0000-0900-000000000000}"/>
    <hyperlink ref="B2" r:id="rId2" location="reply-title" display="https://blog.projectmaterials.com/flanges/flange-materials-carbon-alloy-stainless-duplex/ - reply-title" xr:uid="{00000000-0004-0000-0900-000001000000}"/>
    <hyperlink ref="B7" r:id="rId3" display="https://blog.projectmaterials.com/flanges/flange-meaning/" xr:uid="{00000000-0004-0000-0900-000002000000}"/>
    <hyperlink ref="B9" r:id="rId4" display="https://www.astm.org/Standards/A105.htm" xr:uid="{00000000-0004-0000-0900-000003000000}"/>
    <hyperlink ref="B10" r:id="rId5" display="https://www.astm.org/Standards/A350.htm" xr:uid="{00000000-0004-0000-0900-000004000000}"/>
    <hyperlink ref="B207" r:id="rId6" display="https://blog.projectmaterials.com/pipes/stainless-pipes-a312-a790/" xr:uid="{00000000-0004-0000-0900-000005000000}"/>
    <hyperlink ref="B256" r:id="rId7" display="https://www.astm.org/Standards/B160.htm" xr:uid="{00000000-0004-0000-0900-000006000000}"/>
    <hyperlink ref="B257" r:id="rId8" display="https://www.astm.org/Standards/B166.htm" xr:uid="{00000000-0004-0000-0900-000007000000}"/>
    <hyperlink ref="B258" r:id="rId9" display="https://www.astm.org/Standards/B564.htm" xr:uid="{00000000-0004-0000-0900-000008000000}"/>
    <hyperlink ref="B259" r:id="rId10" display="https://www.astm.org/Standards/B425.htm" xr:uid="{00000000-0004-0000-0900-000009000000}"/>
  </hyperlinks>
  <pageMargins left="0.7" right="0.7" top="0.75" bottom="0.75" header="0.3" footer="0.3"/>
  <tableParts count="4">
    <tablePart r:id="rId11"/>
    <tablePart r:id="rId12"/>
    <tablePart r:id="rId13"/>
    <tablePart r:id="rId1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ublished="0" codeName="Sayfa11"/>
  <dimension ref="A1:AK59"/>
  <sheetViews>
    <sheetView zoomScaleNormal="100" workbookViewId="0">
      <selection activeCell="S39" sqref="S39"/>
    </sheetView>
  </sheetViews>
  <sheetFormatPr defaultRowHeight="15" x14ac:dyDescent="0.2"/>
  <cols>
    <col min="1" max="1" width="40.48828125" customWidth="1"/>
    <col min="2" max="2" width="12.375" customWidth="1"/>
    <col min="3" max="3" width="12.9140625" customWidth="1"/>
    <col min="5" max="5" width="12.375" customWidth="1"/>
    <col min="7" max="7" width="11.56640625" customWidth="1"/>
    <col min="8" max="8" width="13.046875" customWidth="1"/>
    <col min="9" max="9" width="14.390625" bestFit="1" customWidth="1"/>
    <col min="10" max="10" width="11.97265625" customWidth="1"/>
    <col min="11" max="11" width="11.1640625" customWidth="1"/>
    <col min="12" max="12" width="13.31640625" customWidth="1"/>
    <col min="13" max="13" width="18.6953125" customWidth="1"/>
    <col min="14" max="14" width="30.53515625" customWidth="1"/>
    <col min="16" max="16" width="24.48046875" customWidth="1"/>
    <col min="17" max="17" width="18.16015625" customWidth="1"/>
    <col min="18" max="18" width="26.90234375" customWidth="1"/>
    <col min="19" max="19" width="25.01953125" customWidth="1"/>
    <col min="20" max="20" width="28.921875" customWidth="1"/>
    <col min="21" max="21" width="26.36328125" customWidth="1"/>
    <col min="22" max="22" width="22.46484375" customWidth="1"/>
    <col min="23" max="23" width="25.828125" customWidth="1"/>
    <col min="24" max="24" width="14.52734375" customWidth="1"/>
    <col min="25" max="25" width="10.89453125" customWidth="1"/>
    <col min="26" max="26" width="13.98828125" customWidth="1"/>
  </cols>
  <sheetData>
    <row r="1" spans="1:37" ht="15.75" thickBot="1" x14ac:dyDescent="0.25">
      <c r="A1" s="90"/>
      <c r="B1" s="90"/>
      <c r="C1" s="90"/>
      <c r="D1" s="90"/>
      <c r="E1" s="90"/>
      <c r="F1" s="90"/>
      <c r="G1" s="90"/>
      <c r="H1" s="90"/>
      <c r="I1" s="90"/>
      <c r="J1" s="90"/>
      <c r="K1" s="90"/>
      <c r="L1" s="90"/>
      <c r="M1" s="90"/>
      <c r="N1" s="90"/>
      <c r="O1" s="90"/>
      <c r="P1" s="90"/>
      <c r="Q1" s="90"/>
      <c r="S1" s="79"/>
      <c r="T1" s="79"/>
      <c r="U1" s="79"/>
      <c r="V1" s="79"/>
      <c r="W1" s="79"/>
      <c r="X1" s="79"/>
      <c r="Y1" s="79"/>
      <c r="Z1" s="79"/>
      <c r="AA1" s="79"/>
      <c r="AB1" s="79"/>
      <c r="AC1" s="79"/>
      <c r="AD1" s="79"/>
      <c r="AE1" s="79"/>
      <c r="AF1" s="91"/>
      <c r="AG1" s="91"/>
      <c r="AH1" s="91"/>
      <c r="AI1" s="91"/>
      <c r="AJ1" s="91"/>
      <c r="AK1" s="91"/>
    </row>
    <row r="2" spans="1:37" ht="36.75" customHeight="1" x14ac:dyDescent="0.2">
      <c r="A2" s="90"/>
      <c r="B2" s="90"/>
      <c r="C2" s="90"/>
      <c r="D2" s="90"/>
      <c r="E2" s="90"/>
      <c r="F2" s="90"/>
      <c r="G2" s="90"/>
      <c r="H2" s="90"/>
      <c r="I2" s="90"/>
      <c r="J2" s="90"/>
      <c r="K2" s="90"/>
      <c r="L2" s="90"/>
      <c r="M2" s="90"/>
      <c r="N2" s="90"/>
      <c r="O2" s="90"/>
      <c r="P2" s="90"/>
      <c r="Q2" s="90"/>
      <c r="S2" s="433" t="s">
        <v>161</v>
      </c>
      <c r="T2" s="1136" t="s">
        <v>162</v>
      </c>
      <c r="U2" s="1137"/>
      <c r="V2" s="79"/>
      <c r="W2" s="79"/>
      <c r="X2" s="79"/>
      <c r="Y2" s="92"/>
      <c r="Z2" s="79"/>
      <c r="AA2" s="79"/>
      <c r="AB2" s="79"/>
      <c r="AC2" s="79"/>
      <c r="AD2" s="79"/>
      <c r="AE2" s="79"/>
      <c r="AF2" s="91"/>
      <c r="AG2" s="91"/>
      <c r="AH2" s="91"/>
      <c r="AI2" s="91"/>
      <c r="AJ2" s="91"/>
      <c r="AK2" s="91"/>
    </row>
    <row r="3" spans="1:37" x14ac:dyDescent="0.2">
      <c r="A3" s="90"/>
      <c r="B3" s="90"/>
      <c r="C3" s="90"/>
      <c r="D3" s="90"/>
      <c r="E3" s="90"/>
      <c r="F3" s="90"/>
      <c r="G3" s="90"/>
      <c r="H3" s="90"/>
      <c r="I3" s="90"/>
      <c r="J3" s="90"/>
      <c r="K3" s="90"/>
      <c r="L3" s="90"/>
      <c r="M3" s="90"/>
      <c r="N3" s="90"/>
      <c r="O3" s="90"/>
      <c r="P3" s="90"/>
      <c r="Q3" s="90"/>
      <c r="S3" s="429" t="s">
        <v>1189</v>
      </c>
      <c r="T3" s="93" t="s">
        <v>1182</v>
      </c>
      <c r="U3" s="431" t="s">
        <v>1183</v>
      </c>
      <c r="V3" s="79"/>
      <c r="W3" s="79"/>
      <c r="X3" s="79"/>
      <c r="Y3" s="92"/>
      <c r="Z3" s="79"/>
      <c r="AA3" s="79"/>
      <c r="AB3" s="79"/>
      <c r="AC3" s="79"/>
      <c r="AD3" s="79"/>
      <c r="AE3" s="79"/>
      <c r="AF3" s="91"/>
      <c r="AG3" s="91"/>
      <c r="AH3" s="91"/>
      <c r="AI3" s="91"/>
      <c r="AJ3" s="91"/>
      <c r="AK3" s="91"/>
    </row>
    <row r="4" spans="1:37" x14ac:dyDescent="0.2">
      <c r="A4" s="90"/>
      <c r="B4" s="90"/>
      <c r="C4" s="90"/>
      <c r="D4" s="90"/>
      <c r="E4" s="90"/>
      <c r="F4" s="90"/>
      <c r="G4" s="90"/>
      <c r="H4" s="90"/>
      <c r="I4" s="90"/>
      <c r="J4" s="90"/>
      <c r="K4" s="90"/>
      <c r="L4" s="90"/>
      <c r="M4" s="90"/>
      <c r="N4" s="90"/>
      <c r="O4" s="90"/>
      <c r="P4" s="90"/>
      <c r="Q4" s="90"/>
      <c r="S4" s="430" t="s">
        <v>164</v>
      </c>
      <c r="T4" s="83">
        <v>35000</v>
      </c>
      <c r="U4" s="432">
        <f>T4/145.0377</f>
        <v>241.31656803713793</v>
      </c>
      <c r="V4" s="79"/>
      <c r="W4" s="79"/>
      <c r="X4" s="79"/>
      <c r="Y4" s="92"/>
      <c r="Z4" s="79"/>
      <c r="AA4" s="79"/>
      <c r="AB4" s="79"/>
      <c r="AC4" s="79"/>
      <c r="AD4" s="79"/>
      <c r="AE4" s="79"/>
      <c r="AF4" s="91"/>
      <c r="AG4" s="91"/>
      <c r="AH4" s="91"/>
      <c r="AI4" s="91"/>
      <c r="AJ4" s="91"/>
      <c r="AK4" s="91"/>
    </row>
    <row r="5" spans="1:37" x14ac:dyDescent="0.2">
      <c r="A5" s="90"/>
      <c r="B5" s="90"/>
      <c r="C5" s="90"/>
      <c r="D5" s="90"/>
      <c r="E5" s="90"/>
      <c r="F5" s="90"/>
      <c r="G5" s="90"/>
      <c r="H5" s="90"/>
      <c r="I5" s="90"/>
      <c r="J5" s="90"/>
      <c r="K5" s="90"/>
      <c r="L5" s="90"/>
      <c r="M5" s="90"/>
      <c r="N5" s="90"/>
      <c r="O5" s="90"/>
      <c r="P5" s="90"/>
      <c r="Q5" s="90"/>
      <c r="S5" s="430" t="s">
        <v>165</v>
      </c>
      <c r="T5" s="83">
        <v>40000</v>
      </c>
      <c r="U5" s="432">
        <f>T5/145.0377</f>
        <v>275.79036347101476</v>
      </c>
      <c r="V5" s="79"/>
      <c r="W5" s="79"/>
      <c r="X5" s="79"/>
      <c r="Y5" s="92"/>
      <c r="Z5" s="79"/>
      <c r="AA5" s="79"/>
      <c r="AB5" s="79"/>
      <c r="AC5" s="79"/>
      <c r="AD5" s="79"/>
      <c r="AE5" s="79"/>
      <c r="AF5" s="91"/>
      <c r="AG5" s="91"/>
      <c r="AH5" s="91"/>
      <c r="AI5" s="91"/>
      <c r="AJ5" s="91"/>
      <c r="AK5" s="91"/>
    </row>
    <row r="6" spans="1:37" x14ac:dyDescent="0.2">
      <c r="A6" s="90"/>
      <c r="B6" s="90"/>
      <c r="C6" s="90"/>
      <c r="D6" s="90"/>
      <c r="E6" s="90"/>
      <c r="F6" s="90"/>
      <c r="G6" s="90"/>
      <c r="H6" s="90"/>
      <c r="I6" s="90"/>
      <c r="J6" s="90"/>
      <c r="K6" s="90"/>
      <c r="L6" s="90"/>
      <c r="M6" s="90"/>
      <c r="N6" s="90"/>
      <c r="O6" s="90"/>
      <c r="P6" s="90"/>
      <c r="Q6" s="90"/>
      <c r="S6" s="430" t="s">
        <v>166</v>
      </c>
      <c r="T6" s="83">
        <v>30000</v>
      </c>
      <c r="U6" s="432">
        <f>T6/145.0377</f>
        <v>206.84277260326107</v>
      </c>
      <c r="V6" s="79"/>
      <c r="W6" s="79"/>
      <c r="X6" s="79"/>
      <c r="Y6" s="92"/>
      <c r="Z6" s="79"/>
      <c r="AA6" s="79"/>
      <c r="AB6" s="79"/>
      <c r="AC6" s="79"/>
      <c r="AD6" s="79"/>
      <c r="AE6" s="79"/>
      <c r="AF6" s="91"/>
      <c r="AG6" s="91"/>
      <c r="AH6" s="91"/>
      <c r="AI6" s="91"/>
      <c r="AJ6" s="91"/>
      <c r="AK6" s="91"/>
    </row>
    <row r="7" spans="1:37" x14ac:dyDescent="0.2">
      <c r="A7" s="90"/>
      <c r="B7" s="90"/>
      <c r="C7" s="90"/>
      <c r="D7" s="90"/>
      <c r="E7" s="90"/>
      <c r="F7" s="90"/>
      <c r="G7" s="90"/>
      <c r="H7" s="90"/>
      <c r="I7" s="90"/>
      <c r="J7" s="90"/>
      <c r="K7" s="90"/>
      <c r="L7" s="90"/>
      <c r="M7" s="90"/>
      <c r="N7" s="90"/>
      <c r="O7" s="90"/>
      <c r="P7" s="90"/>
      <c r="Q7" s="90"/>
      <c r="S7" s="430" t="s">
        <v>167</v>
      </c>
      <c r="T7" s="83">
        <v>30000</v>
      </c>
      <c r="U7" s="432">
        <f>T7/145.0377</f>
        <v>206.84277260326107</v>
      </c>
      <c r="V7" s="79"/>
      <c r="W7" s="79"/>
      <c r="X7" s="79"/>
      <c r="Y7" s="92"/>
      <c r="Z7" s="79"/>
      <c r="AA7" s="79"/>
      <c r="AB7" s="79"/>
      <c r="AC7" s="79"/>
      <c r="AD7" s="79"/>
      <c r="AE7" s="79"/>
      <c r="AF7" s="91"/>
      <c r="AG7" s="91"/>
      <c r="AH7" s="91"/>
      <c r="AI7" s="91"/>
      <c r="AJ7" s="91"/>
      <c r="AK7" s="91"/>
    </row>
    <row r="8" spans="1:37" x14ac:dyDescent="0.2">
      <c r="A8" s="90"/>
      <c r="B8" s="90"/>
      <c r="C8" s="90"/>
      <c r="D8" s="90"/>
      <c r="E8" s="90"/>
      <c r="F8" s="90"/>
      <c r="G8" s="90"/>
      <c r="H8" s="90"/>
      <c r="I8" s="90"/>
      <c r="J8" s="90"/>
      <c r="K8" s="90"/>
      <c r="L8" s="90"/>
      <c r="M8" s="90"/>
      <c r="N8" s="90"/>
      <c r="O8" s="90"/>
      <c r="P8" s="90"/>
      <c r="Q8" s="90"/>
      <c r="S8" s="529" t="s">
        <v>171</v>
      </c>
      <c r="T8" s="517">
        <v>40000</v>
      </c>
      <c r="U8" s="530">
        <v>275.79036347101476</v>
      </c>
      <c r="V8" s="79"/>
      <c r="W8" s="79"/>
      <c r="X8" s="79"/>
      <c r="Y8" s="92"/>
      <c r="Z8" s="79"/>
      <c r="AA8" s="79"/>
      <c r="AB8" s="79"/>
      <c r="AC8" s="79"/>
      <c r="AD8" s="79"/>
      <c r="AE8" s="79"/>
      <c r="AF8" s="91"/>
      <c r="AG8" s="91"/>
      <c r="AH8" s="91"/>
      <c r="AI8" s="91"/>
      <c r="AJ8" s="91"/>
      <c r="AK8" s="91"/>
    </row>
    <row r="9" spans="1:37" x14ac:dyDescent="0.2">
      <c r="A9" s="90"/>
      <c r="B9" s="90"/>
      <c r="C9" s="90"/>
      <c r="D9" s="90"/>
      <c r="E9" s="90"/>
      <c r="F9" s="90"/>
      <c r="G9" s="90"/>
      <c r="H9" s="90"/>
      <c r="I9" s="90"/>
      <c r="J9" s="90"/>
      <c r="K9" s="90"/>
      <c r="L9" s="90"/>
      <c r="M9" s="90"/>
      <c r="N9" s="90"/>
      <c r="O9" s="90"/>
      <c r="P9" s="90"/>
      <c r="Q9" s="90"/>
      <c r="S9" s="529" t="s">
        <v>168</v>
      </c>
      <c r="T9" s="517">
        <v>30000</v>
      </c>
      <c r="U9" s="530">
        <f t="shared" ref="U9:U19" si="0">T9/145.0377</f>
        <v>206.84277260326107</v>
      </c>
      <c r="V9" s="79"/>
      <c r="W9" s="79"/>
      <c r="X9" s="79"/>
      <c r="Y9" s="92"/>
      <c r="Z9" s="79"/>
      <c r="AA9" s="79"/>
      <c r="AB9" s="79"/>
      <c r="AC9" s="79"/>
      <c r="AD9" s="79"/>
      <c r="AE9" s="79"/>
      <c r="AF9" s="91"/>
      <c r="AG9" s="91"/>
      <c r="AH9" s="91"/>
      <c r="AI9" s="91"/>
      <c r="AJ9" s="91"/>
      <c r="AK9" s="91"/>
    </row>
    <row r="10" spans="1:37" x14ac:dyDescent="0.2">
      <c r="A10" s="90"/>
      <c r="B10" s="90"/>
      <c r="C10" s="90"/>
      <c r="D10" s="90"/>
      <c r="E10" s="90"/>
      <c r="F10" s="90"/>
      <c r="G10" s="90"/>
      <c r="H10" s="90"/>
      <c r="I10" s="90"/>
      <c r="J10" s="90"/>
      <c r="K10" s="90"/>
      <c r="L10" s="90"/>
      <c r="M10" s="90"/>
      <c r="N10" s="90"/>
      <c r="O10" s="90"/>
      <c r="P10" s="90"/>
      <c r="Q10" s="90"/>
      <c r="S10" s="529" t="s">
        <v>169</v>
      </c>
      <c r="T10" s="517">
        <v>30000</v>
      </c>
      <c r="U10" s="530">
        <f t="shared" si="0"/>
        <v>206.84277260326107</v>
      </c>
      <c r="V10" s="79"/>
      <c r="W10" s="79"/>
      <c r="X10" s="79"/>
      <c r="Y10" s="92"/>
      <c r="Z10" s="79"/>
      <c r="AA10" s="79"/>
      <c r="AB10" s="79"/>
      <c r="AC10" s="79"/>
      <c r="AD10" s="79"/>
      <c r="AE10" s="79"/>
      <c r="AF10" s="91"/>
      <c r="AG10" s="91"/>
      <c r="AH10" s="91"/>
      <c r="AI10" s="91"/>
      <c r="AJ10" s="91"/>
      <c r="AK10" s="91"/>
    </row>
    <row r="11" spans="1:37" x14ac:dyDescent="0.2">
      <c r="A11" s="90"/>
      <c r="B11" s="90"/>
      <c r="C11" s="90"/>
      <c r="D11" s="90"/>
      <c r="E11" s="90"/>
      <c r="F11" s="90"/>
      <c r="G11" s="90"/>
      <c r="H11" s="90"/>
      <c r="I11" s="90"/>
      <c r="J11" s="90"/>
      <c r="K11" s="90"/>
      <c r="L11" s="90"/>
      <c r="M11" s="90"/>
      <c r="N11" s="90"/>
      <c r="O11" s="90"/>
      <c r="P11" s="90"/>
      <c r="Q11" s="90"/>
      <c r="S11" s="529" t="s">
        <v>170</v>
      </c>
      <c r="T11" s="517">
        <v>30000</v>
      </c>
      <c r="U11" s="530">
        <f t="shared" si="0"/>
        <v>206.84277260326107</v>
      </c>
      <c r="V11" s="79"/>
      <c r="W11" s="79"/>
      <c r="X11" s="79"/>
      <c r="Y11" s="92"/>
      <c r="Z11" s="79"/>
      <c r="AA11" s="79"/>
      <c r="AB11" s="79"/>
      <c r="AC11" s="79"/>
      <c r="AD11" s="79"/>
      <c r="AE11" s="79"/>
      <c r="AF11" s="91"/>
      <c r="AG11" s="91"/>
      <c r="AH11" s="91"/>
      <c r="AI11" s="91"/>
      <c r="AJ11" s="91"/>
      <c r="AK11" s="91"/>
    </row>
    <row r="12" spans="1:37" x14ac:dyDescent="0.2">
      <c r="A12" s="90"/>
      <c r="B12" s="90"/>
      <c r="C12" s="90"/>
      <c r="D12" s="90"/>
      <c r="E12" s="90"/>
      <c r="F12" s="90"/>
      <c r="G12" s="90"/>
      <c r="H12" s="90"/>
      <c r="I12" s="90"/>
      <c r="J12" s="90"/>
      <c r="K12" s="90"/>
      <c r="L12" s="90"/>
      <c r="M12" s="90"/>
      <c r="N12" s="90"/>
      <c r="O12" s="90"/>
      <c r="P12" s="90"/>
      <c r="Q12" s="90"/>
      <c r="S12" s="529" t="s">
        <v>171</v>
      </c>
      <c r="T12" s="517">
        <v>40000</v>
      </c>
      <c r="U12" s="530">
        <f t="shared" si="0"/>
        <v>275.79036347101476</v>
      </c>
      <c r="V12" s="79"/>
      <c r="W12" s="79"/>
      <c r="X12" s="79"/>
      <c r="Y12" s="92"/>
      <c r="Z12" s="79"/>
      <c r="AA12" s="79"/>
      <c r="AB12" s="79"/>
      <c r="AC12" s="79"/>
      <c r="AD12" s="79"/>
      <c r="AE12" s="79"/>
      <c r="AF12" s="91"/>
      <c r="AG12" s="91"/>
      <c r="AH12" s="91"/>
      <c r="AI12" s="91"/>
      <c r="AJ12" s="91"/>
      <c r="AK12" s="91"/>
    </row>
    <row r="13" spans="1:37" x14ac:dyDescent="0.2">
      <c r="A13" s="90"/>
      <c r="B13" s="90"/>
      <c r="C13" s="90"/>
      <c r="D13" s="90"/>
      <c r="E13" s="90"/>
      <c r="F13" s="90"/>
      <c r="G13" s="90"/>
      <c r="H13" s="90"/>
      <c r="I13" s="90"/>
      <c r="J13" s="90"/>
      <c r="K13" s="90"/>
      <c r="L13" s="90"/>
      <c r="M13" s="90"/>
      <c r="N13" s="90"/>
      <c r="O13" s="90"/>
      <c r="P13" s="90"/>
      <c r="Q13" s="90"/>
      <c r="S13" s="529" t="s">
        <v>172</v>
      </c>
      <c r="T13" s="517">
        <v>40000</v>
      </c>
      <c r="U13" s="530">
        <f t="shared" si="0"/>
        <v>275.79036347101476</v>
      </c>
      <c r="V13" s="79"/>
      <c r="W13" s="79"/>
      <c r="X13" s="79"/>
      <c r="Y13" s="92"/>
      <c r="Z13" s="79"/>
      <c r="AA13" s="79"/>
      <c r="AB13" s="79"/>
      <c r="AC13" s="79"/>
      <c r="AD13" s="79"/>
      <c r="AE13" s="79"/>
      <c r="AF13" s="91"/>
      <c r="AG13" s="91"/>
      <c r="AH13" s="91"/>
      <c r="AI13" s="91"/>
      <c r="AJ13" s="91"/>
      <c r="AK13" s="91"/>
    </row>
    <row r="14" spans="1:37" x14ac:dyDescent="0.2">
      <c r="A14" s="90"/>
      <c r="B14" s="90"/>
      <c r="C14" s="90"/>
      <c r="D14" s="90"/>
      <c r="E14" s="90"/>
      <c r="F14" s="90"/>
      <c r="G14" s="90"/>
      <c r="H14" s="90"/>
      <c r="I14" s="90"/>
      <c r="J14" s="90"/>
      <c r="K14" s="90"/>
      <c r="L14" s="90"/>
      <c r="M14" s="90"/>
      <c r="N14" s="90"/>
      <c r="O14" s="90"/>
      <c r="P14" s="90"/>
      <c r="Q14" s="90"/>
      <c r="S14" s="529" t="s">
        <v>173</v>
      </c>
      <c r="T14" s="517">
        <v>46000</v>
      </c>
      <c r="U14" s="530">
        <f t="shared" si="0"/>
        <v>317.15891799166701</v>
      </c>
      <c r="V14" s="79"/>
      <c r="W14" s="79"/>
      <c r="X14" s="79"/>
      <c r="Y14" s="92"/>
      <c r="Z14" s="79"/>
      <c r="AA14" s="79"/>
      <c r="AB14" s="79"/>
      <c r="AC14" s="79"/>
      <c r="AD14" s="79"/>
      <c r="AE14" s="79"/>
      <c r="AF14" s="91"/>
      <c r="AG14" s="91"/>
      <c r="AH14" s="91"/>
      <c r="AI14" s="91"/>
      <c r="AJ14" s="91"/>
      <c r="AK14" s="91"/>
    </row>
    <row r="15" spans="1:37" x14ac:dyDescent="0.2">
      <c r="A15" s="90"/>
      <c r="B15" s="90"/>
      <c r="C15" s="90"/>
      <c r="D15" s="90"/>
      <c r="E15" s="90"/>
      <c r="F15" s="90"/>
      <c r="G15" s="90"/>
      <c r="H15" s="90"/>
      <c r="I15" s="90"/>
      <c r="J15" s="90"/>
      <c r="K15" s="90"/>
      <c r="L15" s="90"/>
      <c r="M15" s="90"/>
      <c r="N15" s="90"/>
      <c r="O15" s="90"/>
      <c r="P15" s="90"/>
      <c r="Q15" s="90"/>
      <c r="S15" s="529" t="s">
        <v>174</v>
      </c>
      <c r="T15" s="517">
        <v>45000</v>
      </c>
      <c r="U15" s="530">
        <f t="shared" si="0"/>
        <v>310.26415890489164</v>
      </c>
      <c r="V15" s="79"/>
      <c r="W15" s="79"/>
      <c r="X15" s="79"/>
      <c r="Y15" s="92"/>
      <c r="Z15" s="79"/>
      <c r="AA15" s="79"/>
      <c r="AB15" s="79"/>
      <c r="AC15" s="79"/>
      <c r="AD15" s="79"/>
      <c r="AE15" s="79"/>
      <c r="AF15" s="91"/>
      <c r="AG15" s="91"/>
      <c r="AH15" s="91"/>
      <c r="AI15" s="91"/>
      <c r="AJ15" s="91"/>
      <c r="AK15" s="91"/>
    </row>
    <row r="16" spans="1:37" x14ac:dyDescent="0.2">
      <c r="A16" s="90"/>
      <c r="B16" s="90"/>
      <c r="C16" s="90"/>
      <c r="D16" s="90"/>
      <c r="E16" s="90"/>
      <c r="F16" s="90"/>
      <c r="G16" s="90"/>
      <c r="H16" s="90"/>
      <c r="I16" s="90"/>
      <c r="J16" s="90"/>
      <c r="K16" s="90"/>
      <c r="L16" s="90"/>
      <c r="M16" s="90"/>
      <c r="N16" s="90"/>
      <c r="O16" s="90"/>
      <c r="P16" s="90"/>
      <c r="Q16" s="90"/>
      <c r="S16" s="529" t="s">
        <v>175</v>
      </c>
      <c r="T16" s="517">
        <v>45000</v>
      </c>
      <c r="U16" s="530">
        <f t="shared" si="0"/>
        <v>310.26415890489164</v>
      </c>
      <c r="V16" s="79"/>
      <c r="W16" s="79"/>
      <c r="X16" s="79"/>
      <c r="Y16" s="92"/>
      <c r="Z16" s="79"/>
      <c r="AA16" s="79"/>
      <c r="AB16" s="79"/>
      <c r="AC16" s="79"/>
      <c r="AD16" s="79"/>
      <c r="AE16" s="79"/>
      <c r="AF16" s="91"/>
      <c r="AG16" s="91"/>
      <c r="AH16" s="91"/>
      <c r="AI16" s="91"/>
      <c r="AJ16" s="91"/>
      <c r="AK16" s="91"/>
    </row>
    <row r="17" spans="1:37" x14ac:dyDescent="0.2">
      <c r="A17" s="90"/>
      <c r="B17" s="90"/>
      <c r="C17" s="90"/>
      <c r="D17" s="90"/>
      <c r="E17" s="90"/>
      <c r="F17" s="90"/>
      <c r="G17" s="90"/>
      <c r="H17" s="90"/>
      <c r="I17" s="90"/>
      <c r="J17" s="90"/>
      <c r="K17" s="90"/>
      <c r="L17" s="90"/>
      <c r="M17" s="90"/>
      <c r="N17" s="90"/>
      <c r="O17" s="90"/>
      <c r="P17" s="90"/>
      <c r="Q17" s="90"/>
      <c r="S17" s="529" t="s">
        <v>176</v>
      </c>
      <c r="T17" s="517">
        <v>60000</v>
      </c>
      <c r="U17" s="530">
        <f t="shared" si="0"/>
        <v>413.68554520652214</v>
      </c>
      <c r="V17" s="79"/>
      <c r="W17" s="79"/>
      <c r="X17" s="79"/>
      <c r="Y17" s="92"/>
      <c r="Z17" s="79"/>
      <c r="AA17" s="79"/>
      <c r="AB17" s="79"/>
      <c r="AC17" s="79"/>
      <c r="AD17" s="79"/>
      <c r="AE17" s="79"/>
      <c r="AF17" s="91"/>
      <c r="AG17" s="91"/>
      <c r="AH17" s="91"/>
      <c r="AI17" s="91"/>
      <c r="AJ17" s="91"/>
      <c r="AK17" s="91"/>
    </row>
    <row r="18" spans="1:37" x14ac:dyDescent="0.2">
      <c r="A18" s="90"/>
      <c r="B18" s="90"/>
      <c r="C18" s="90"/>
      <c r="D18" s="90"/>
      <c r="E18" s="90"/>
      <c r="F18" s="90"/>
      <c r="G18" s="90"/>
      <c r="H18" s="90"/>
      <c r="I18" s="90"/>
      <c r="J18" s="90"/>
      <c r="K18" s="90"/>
      <c r="L18" s="90"/>
      <c r="M18" s="90"/>
      <c r="N18" s="90"/>
      <c r="O18" s="90"/>
      <c r="P18" s="90"/>
      <c r="Q18" s="94"/>
      <c r="R18" s="14"/>
      <c r="S18" s="531" t="s">
        <v>177</v>
      </c>
      <c r="T18" s="532">
        <v>64000</v>
      </c>
      <c r="U18" s="533">
        <f t="shared" si="0"/>
        <v>441.26458155362366</v>
      </c>
      <c r="V18" s="92"/>
      <c r="W18" s="92"/>
      <c r="X18" s="92"/>
      <c r="Y18" s="92"/>
      <c r="Z18" s="79"/>
      <c r="AA18" s="79"/>
      <c r="AB18" s="79"/>
      <c r="AC18" s="79"/>
      <c r="AD18" s="79"/>
      <c r="AE18" s="79"/>
      <c r="AF18" s="91"/>
      <c r="AG18" s="91"/>
      <c r="AH18" s="91"/>
      <c r="AI18" s="91"/>
      <c r="AJ18" s="91"/>
      <c r="AK18" s="91"/>
    </row>
    <row r="19" spans="1:37" ht="15.75" thickBot="1" x14ac:dyDescent="0.25">
      <c r="A19" s="94"/>
      <c r="B19" s="94"/>
      <c r="C19" s="94"/>
      <c r="D19" s="94"/>
      <c r="E19" s="94"/>
      <c r="F19" s="94"/>
      <c r="G19" s="94"/>
      <c r="H19" s="94"/>
      <c r="I19" s="94"/>
      <c r="J19" s="94"/>
      <c r="K19" s="94"/>
      <c r="L19" s="90"/>
      <c r="M19" s="90"/>
      <c r="N19" s="90"/>
      <c r="O19" s="90"/>
      <c r="P19" s="90"/>
      <c r="Q19" s="94"/>
      <c r="R19" s="14"/>
      <c r="S19" s="434" t="s">
        <v>178</v>
      </c>
      <c r="T19" s="435">
        <v>32000</v>
      </c>
      <c r="U19" s="436">
        <f t="shared" si="0"/>
        <v>220.63229077681183</v>
      </c>
      <c r="V19" s="92"/>
      <c r="W19" s="92"/>
      <c r="X19" s="92"/>
      <c r="Y19" s="92"/>
      <c r="Z19" s="79"/>
      <c r="AA19" s="79"/>
      <c r="AB19" s="79"/>
      <c r="AC19" s="79"/>
      <c r="AD19" s="79"/>
      <c r="AE19" s="79"/>
      <c r="AF19" s="91"/>
      <c r="AG19" s="91"/>
      <c r="AH19" s="91"/>
      <c r="AI19" s="91"/>
      <c r="AJ19" s="91"/>
      <c r="AK19" s="91"/>
    </row>
    <row r="20" spans="1:37" ht="22.5" x14ac:dyDescent="0.2">
      <c r="A20" s="425" t="s">
        <v>137</v>
      </c>
      <c r="B20" s="1138" t="s">
        <v>162</v>
      </c>
      <c r="C20" s="1139"/>
      <c r="D20" s="1138" t="s">
        <v>179</v>
      </c>
      <c r="E20" s="1139"/>
      <c r="F20" s="426" t="s">
        <v>180</v>
      </c>
      <c r="G20" s="1138" t="s">
        <v>181</v>
      </c>
      <c r="H20" s="1139"/>
      <c r="I20" s="94"/>
      <c r="J20" s="90"/>
      <c r="K20" s="90"/>
      <c r="L20" s="90"/>
      <c r="M20" s="90"/>
      <c r="N20" s="90"/>
      <c r="O20" s="90"/>
      <c r="P20" s="90"/>
      <c r="Q20" s="94"/>
      <c r="R20" s="14"/>
      <c r="S20" s="79"/>
      <c r="T20" s="79"/>
      <c r="U20" s="79"/>
      <c r="V20" s="92"/>
      <c r="W20" s="92"/>
      <c r="X20" s="92"/>
      <c r="Y20" s="92"/>
      <c r="Z20" s="79"/>
      <c r="AA20" s="79"/>
      <c r="AB20" s="79"/>
      <c r="AC20" s="79"/>
      <c r="AD20" s="79"/>
      <c r="AE20" s="79"/>
      <c r="AF20" s="91"/>
      <c r="AG20" s="91"/>
      <c r="AH20" s="91"/>
      <c r="AI20" s="91"/>
      <c r="AJ20" s="91"/>
      <c r="AK20" s="91"/>
    </row>
    <row r="21" spans="1:37" ht="33" thickBot="1" x14ac:dyDescent="0.25">
      <c r="A21" s="422" t="s">
        <v>141</v>
      </c>
      <c r="B21" s="95" t="s">
        <v>1182</v>
      </c>
      <c r="C21" s="95" t="s">
        <v>1183</v>
      </c>
      <c r="D21" s="95" t="s">
        <v>1184</v>
      </c>
      <c r="E21" s="95" t="s">
        <v>1185</v>
      </c>
      <c r="F21" s="95" t="s">
        <v>1186</v>
      </c>
      <c r="G21" s="95" t="s">
        <v>1187</v>
      </c>
      <c r="H21" s="424" t="s">
        <v>1188</v>
      </c>
      <c r="I21" s="518" t="s">
        <v>1291</v>
      </c>
      <c r="J21" s="90"/>
      <c r="K21" s="90"/>
      <c r="L21" s="90"/>
      <c r="M21" s="90"/>
      <c r="N21" s="90"/>
      <c r="O21" s="90"/>
      <c r="P21" s="90"/>
      <c r="Q21" s="94"/>
      <c r="R21" s="14"/>
      <c r="S21" s="79"/>
      <c r="T21" s="79"/>
      <c r="U21" s="79"/>
      <c r="V21" s="92"/>
      <c r="W21" s="92"/>
      <c r="X21" s="92"/>
      <c r="Y21" s="92"/>
      <c r="Z21" s="79"/>
      <c r="AA21" s="79"/>
      <c r="AB21" s="79"/>
      <c r="AC21" s="79"/>
      <c r="AD21" s="79"/>
      <c r="AE21" s="79"/>
      <c r="AF21" s="91"/>
      <c r="AG21" s="91"/>
      <c r="AH21" s="91"/>
      <c r="AI21" s="91"/>
      <c r="AJ21" s="91"/>
      <c r="AK21" s="91"/>
    </row>
    <row r="22" spans="1:37" ht="15.75" thickBot="1" x14ac:dyDescent="0.25">
      <c r="A22" s="423" t="s">
        <v>188</v>
      </c>
      <c r="B22" s="96">
        <v>42000</v>
      </c>
      <c r="C22" s="96">
        <v>290</v>
      </c>
      <c r="D22" s="96" t="s">
        <v>189</v>
      </c>
      <c r="E22" s="96" t="s">
        <v>190</v>
      </c>
      <c r="F22" s="96">
        <v>32</v>
      </c>
      <c r="G22" s="96" t="s">
        <v>191</v>
      </c>
      <c r="H22" s="418" t="s">
        <v>192</v>
      </c>
      <c r="I22" s="547">
        <v>-46</v>
      </c>
      <c r="J22" s="90"/>
      <c r="K22" s="90"/>
      <c r="L22" s="90"/>
      <c r="M22" s="90"/>
      <c r="N22" s="90"/>
      <c r="O22" s="90"/>
      <c r="P22" s="90"/>
      <c r="Q22" s="94"/>
      <c r="R22" s="14"/>
      <c r="S22" s="79"/>
      <c r="T22" s="79"/>
      <c r="U22" s="79"/>
      <c r="V22" s="92"/>
      <c r="W22" s="92"/>
      <c r="X22" s="92"/>
      <c r="Y22" s="92"/>
      <c r="Z22" s="79"/>
      <c r="AA22" s="79"/>
      <c r="AB22" s="79"/>
      <c r="AC22" s="79"/>
      <c r="AD22" s="79"/>
      <c r="AE22" s="79"/>
      <c r="AF22" s="91"/>
      <c r="AG22" s="91"/>
      <c r="AH22" s="91"/>
      <c r="AI22" s="91"/>
      <c r="AJ22" s="91"/>
      <c r="AK22" s="91"/>
    </row>
    <row r="23" spans="1:37" ht="15.75" thickBot="1" x14ac:dyDescent="0.25">
      <c r="A23" s="423" t="s">
        <v>195</v>
      </c>
      <c r="B23" s="96">
        <v>46000</v>
      </c>
      <c r="C23" s="96">
        <v>315</v>
      </c>
      <c r="D23" s="96" t="s">
        <v>196</v>
      </c>
      <c r="E23" s="96" t="s">
        <v>197</v>
      </c>
      <c r="F23" s="96">
        <v>32</v>
      </c>
      <c r="G23" s="96" t="s">
        <v>191</v>
      </c>
      <c r="H23" s="418" t="s">
        <v>192</v>
      </c>
      <c r="I23" s="547">
        <v>-46</v>
      </c>
      <c r="J23" s="90"/>
      <c r="K23" s="90"/>
      <c r="L23" s="90"/>
      <c r="M23" s="90"/>
      <c r="N23" s="90"/>
      <c r="O23" s="90"/>
      <c r="P23" s="90"/>
      <c r="Q23" s="94"/>
      <c r="R23" s="14"/>
      <c r="S23" s="79"/>
      <c r="T23" s="79"/>
      <c r="U23" s="79"/>
      <c r="V23" s="92"/>
      <c r="W23" s="92"/>
      <c r="X23" s="92"/>
      <c r="Y23" s="92"/>
      <c r="Z23" s="79"/>
      <c r="AA23" s="79"/>
      <c r="AB23" s="79"/>
      <c r="AC23" s="79"/>
      <c r="AD23" s="79"/>
      <c r="AE23" s="79"/>
      <c r="AF23" s="91"/>
      <c r="AG23" s="91"/>
      <c r="AH23" s="91"/>
      <c r="AI23" s="91"/>
      <c r="AJ23" s="91"/>
      <c r="AK23" s="91"/>
    </row>
    <row r="24" spans="1:37" ht="15.75" thickBot="1" x14ac:dyDescent="0.25">
      <c r="A24" s="423" t="s">
        <v>200</v>
      </c>
      <c r="B24" s="96">
        <v>52000</v>
      </c>
      <c r="C24" s="96">
        <v>360</v>
      </c>
      <c r="D24" s="96" t="s">
        <v>201</v>
      </c>
      <c r="E24" s="96" t="s">
        <v>202</v>
      </c>
      <c r="F24" s="96">
        <v>32</v>
      </c>
      <c r="G24" s="96" t="s">
        <v>191</v>
      </c>
      <c r="H24" s="418" t="s">
        <v>192</v>
      </c>
      <c r="I24" s="547">
        <v>-46</v>
      </c>
      <c r="J24" s="90"/>
      <c r="K24" s="90"/>
      <c r="L24" s="90"/>
      <c r="M24" s="90"/>
      <c r="N24" s="90"/>
      <c r="O24" s="90"/>
      <c r="P24" s="90"/>
      <c r="Q24" s="94"/>
      <c r="R24" s="14"/>
      <c r="S24" s="79"/>
      <c r="T24" s="79"/>
      <c r="U24" s="79"/>
      <c r="V24" s="92"/>
      <c r="W24" s="92"/>
      <c r="X24" s="92"/>
      <c r="Y24" s="92"/>
      <c r="Z24" s="79"/>
      <c r="AA24" s="79"/>
      <c r="AB24" s="79"/>
      <c r="AC24" s="79"/>
      <c r="AD24" s="79"/>
      <c r="AE24" s="79"/>
      <c r="AF24" s="91"/>
      <c r="AG24" s="91"/>
      <c r="AH24" s="91"/>
      <c r="AI24" s="91"/>
      <c r="AJ24" s="91"/>
      <c r="AK24" s="91"/>
    </row>
    <row r="25" spans="1:37" ht="15.75" thickBot="1" x14ac:dyDescent="0.25">
      <c r="A25" s="423" t="s">
        <v>205</v>
      </c>
      <c r="B25" s="96">
        <v>60000</v>
      </c>
      <c r="C25" s="96">
        <v>415</v>
      </c>
      <c r="D25" s="96" t="s">
        <v>206</v>
      </c>
      <c r="E25" s="96" t="s">
        <v>207</v>
      </c>
      <c r="F25" s="96">
        <v>28</v>
      </c>
      <c r="G25" s="96" t="s">
        <v>191</v>
      </c>
      <c r="H25" s="418" t="s">
        <v>192</v>
      </c>
      <c r="I25" s="547">
        <v>-46</v>
      </c>
      <c r="J25" s="90"/>
      <c r="K25" s="90"/>
      <c r="L25" s="90"/>
      <c r="M25" s="90"/>
      <c r="N25" s="90"/>
      <c r="O25" s="90"/>
      <c r="P25" s="90"/>
      <c r="Q25" s="94"/>
      <c r="R25" s="14"/>
      <c r="S25" s="79"/>
      <c r="T25" s="79"/>
      <c r="U25" s="79"/>
      <c r="V25" s="92"/>
      <c r="W25" s="92"/>
      <c r="X25" s="92"/>
      <c r="Y25" s="92"/>
      <c r="Z25" s="79"/>
      <c r="AA25" s="79"/>
      <c r="AB25" s="79"/>
      <c r="AC25" s="79"/>
      <c r="AD25" s="79"/>
      <c r="AE25" s="79"/>
      <c r="AF25" s="91"/>
      <c r="AG25" s="91"/>
      <c r="AH25" s="91"/>
      <c r="AI25" s="91"/>
      <c r="AJ25" s="91"/>
      <c r="AK25" s="91"/>
    </row>
    <row r="26" spans="1:37" ht="15.75" thickBot="1" x14ac:dyDescent="0.25">
      <c r="A26" s="423" t="s">
        <v>210</v>
      </c>
      <c r="B26" s="96">
        <v>65000</v>
      </c>
      <c r="C26" s="96">
        <v>450</v>
      </c>
      <c r="D26" s="96" t="s">
        <v>211</v>
      </c>
      <c r="E26" s="96" t="s">
        <v>212</v>
      </c>
      <c r="F26" s="96">
        <v>28</v>
      </c>
      <c r="G26" s="96" t="s">
        <v>191</v>
      </c>
      <c r="H26" s="418" t="s">
        <v>192</v>
      </c>
      <c r="I26" s="547">
        <v>-46</v>
      </c>
      <c r="J26" s="90"/>
      <c r="K26" s="90"/>
      <c r="L26" s="90"/>
      <c r="M26" s="90"/>
      <c r="N26" s="90"/>
      <c r="O26" s="90"/>
      <c r="P26" s="90"/>
      <c r="Q26" s="94"/>
      <c r="R26" s="14"/>
      <c r="S26" s="79"/>
      <c r="T26" s="79"/>
      <c r="U26" s="79"/>
      <c r="V26" s="92"/>
      <c r="W26" s="92"/>
      <c r="X26" s="92"/>
      <c r="Y26" s="92"/>
      <c r="Z26" s="79"/>
      <c r="AA26" s="79"/>
      <c r="AB26" s="79"/>
      <c r="AC26" s="79"/>
      <c r="AD26" s="79"/>
      <c r="AE26" s="79"/>
      <c r="AF26" s="91"/>
      <c r="AG26" s="91"/>
      <c r="AH26" s="91"/>
      <c r="AI26" s="91"/>
      <c r="AJ26" s="91"/>
      <c r="AK26" s="91"/>
    </row>
    <row r="27" spans="1:37" x14ac:dyDescent="0.2">
      <c r="A27" s="427" t="s">
        <v>215</v>
      </c>
      <c r="B27" s="428">
        <v>70000</v>
      </c>
      <c r="C27" s="428">
        <v>485</v>
      </c>
      <c r="D27" s="428" t="s">
        <v>216</v>
      </c>
      <c r="E27" s="428" t="s">
        <v>217</v>
      </c>
      <c r="F27" s="428">
        <v>28</v>
      </c>
      <c r="G27" s="428" t="s">
        <v>191</v>
      </c>
      <c r="H27" s="421" t="s">
        <v>192</v>
      </c>
      <c r="I27" s="547">
        <v>-46</v>
      </c>
      <c r="J27" s="90"/>
      <c r="K27" s="90"/>
      <c r="L27" s="90"/>
      <c r="M27" s="90"/>
      <c r="N27" s="90"/>
      <c r="O27" s="90"/>
      <c r="P27" s="90"/>
      <c r="Q27" s="94"/>
      <c r="R27" s="14"/>
      <c r="S27" s="79"/>
      <c r="T27" s="79"/>
      <c r="U27" s="79"/>
      <c r="V27" s="92"/>
      <c r="W27" s="92"/>
      <c r="X27" s="92"/>
      <c r="Y27" s="92"/>
      <c r="Z27" s="79"/>
      <c r="AA27" s="79"/>
      <c r="AB27" s="79"/>
      <c r="AC27" s="79"/>
      <c r="AD27" s="79"/>
      <c r="AE27" s="79"/>
      <c r="AF27" s="91"/>
      <c r="AG27" s="91"/>
      <c r="AH27" s="91"/>
      <c r="AI27" s="91"/>
      <c r="AJ27" s="91"/>
      <c r="AK27" s="91"/>
    </row>
    <row r="28" spans="1:37" ht="15.75" thickBot="1" x14ac:dyDescent="0.25">
      <c r="A28" s="94"/>
      <c r="B28" s="94"/>
      <c r="C28" s="94"/>
      <c r="D28" s="94"/>
      <c r="E28" s="94"/>
      <c r="F28" s="94"/>
      <c r="G28" s="94"/>
      <c r="H28" s="94"/>
      <c r="I28" s="94"/>
      <c r="J28" s="90"/>
      <c r="K28" s="90"/>
      <c r="L28" s="90"/>
      <c r="M28" s="90"/>
      <c r="N28" s="90"/>
      <c r="O28" s="90"/>
      <c r="P28" s="90"/>
      <c r="Q28" s="94"/>
      <c r="R28" s="14"/>
      <c r="S28" s="79"/>
      <c r="T28" s="79"/>
      <c r="U28" s="79"/>
      <c r="V28" s="92"/>
      <c r="W28" s="92"/>
      <c r="X28" s="92"/>
      <c r="Y28" s="92"/>
      <c r="Z28" s="79"/>
      <c r="AA28" s="79"/>
      <c r="AB28" s="79"/>
      <c r="AC28" s="79"/>
      <c r="AD28" s="79"/>
      <c r="AE28" s="79"/>
      <c r="AF28" s="91"/>
      <c r="AG28" s="91"/>
      <c r="AH28" s="91"/>
      <c r="AI28" s="91"/>
      <c r="AJ28" s="91"/>
      <c r="AK28" s="91"/>
    </row>
    <row r="29" spans="1:37" ht="48" customHeight="1" thickBot="1" x14ac:dyDescent="0.25">
      <c r="A29" s="1134" t="s">
        <v>182</v>
      </c>
      <c r="B29" s="1135"/>
      <c r="C29" s="94"/>
      <c r="D29" s="94"/>
      <c r="E29" s="94"/>
      <c r="F29" s="94"/>
      <c r="G29" s="94"/>
      <c r="H29" s="94"/>
      <c r="I29" s="94"/>
      <c r="J29" s="90"/>
      <c r="K29" s="90"/>
      <c r="L29" s="90"/>
      <c r="M29" s="90"/>
      <c r="N29" s="90"/>
      <c r="O29" s="90"/>
      <c r="P29" s="90"/>
      <c r="Q29" s="94"/>
      <c r="R29" s="14"/>
      <c r="S29" s="79"/>
      <c r="T29" s="79"/>
      <c r="U29" s="79"/>
      <c r="V29" s="92"/>
      <c r="W29" s="92"/>
      <c r="X29" s="92"/>
      <c r="Y29" s="92"/>
      <c r="Z29" s="79"/>
      <c r="AA29" s="79"/>
      <c r="AB29" s="79"/>
      <c r="AC29" s="79"/>
      <c r="AD29" s="79"/>
      <c r="AE29" s="79"/>
      <c r="AF29" s="91"/>
      <c r="AG29" s="91"/>
      <c r="AH29" s="91"/>
      <c r="AI29" s="91"/>
      <c r="AJ29" s="91"/>
      <c r="AK29" s="91"/>
    </row>
    <row r="30" spans="1:37" ht="15.75" thickBot="1" x14ac:dyDescent="0.25">
      <c r="A30" s="417" t="s">
        <v>186</v>
      </c>
      <c r="B30" s="97" t="s">
        <v>193</v>
      </c>
      <c r="C30" s="97" t="s">
        <v>208</v>
      </c>
      <c r="D30" s="97" t="s">
        <v>203</v>
      </c>
      <c r="E30" s="97" t="s">
        <v>198</v>
      </c>
      <c r="F30" s="97" t="s">
        <v>218</v>
      </c>
      <c r="G30" s="97" t="s">
        <v>213</v>
      </c>
      <c r="H30" s="97" t="s">
        <v>220</v>
      </c>
      <c r="I30" s="97" t="s">
        <v>226</v>
      </c>
      <c r="J30" s="97" t="s">
        <v>222</v>
      </c>
      <c r="K30" s="97" t="s">
        <v>224</v>
      </c>
      <c r="L30" s="97" t="s">
        <v>228</v>
      </c>
      <c r="M30" s="97" t="s">
        <v>230</v>
      </c>
      <c r="N30" s="418" t="s">
        <v>232</v>
      </c>
      <c r="O30" s="90"/>
      <c r="P30" s="90"/>
      <c r="Q30" s="94"/>
      <c r="R30" s="14"/>
      <c r="S30" s="79"/>
      <c r="T30" s="79"/>
      <c r="U30" s="79"/>
      <c r="V30" s="92"/>
      <c r="W30" s="92"/>
      <c r="X30" s="92"/>
      <c r="Y30" s="92"/>
      <c r="Z30" s="79"/>
      <c r="AA30" s="79"/>
      <c r="AB30" s="79"/>
      <c r="AC30" s="79"/>
      <c r="AD30" s="79"/>
      <c r="AE30" s="79"/>
      <c r="AF30" s="91"/>
      <c r="AG30" s="91"/>
      <c r="AH30" s="91"/>
      <c r="AI30" s="91"/>
      <c r="AJ30" s="91"/>
      <c r="AK30" s="91"/>
    </row>
    <row r="31" spans="1:37" x14ac:dyDescent="0.2">
      <c r="A31" s="419" t="s">
        <v>187</v>
      </c>
      <c r="B31" s="420" t="s">
        <v>194</v>
      </c>
      <c r="C31" s="420" t="s">
        <v>209</v>
      </c>
      <c r="D31" s="420" t="s">
        <v>204</v>
      </c>
      <c r="E31" s="420" t="s">
        <v>199</v>
      </c>
      <c r="F31" s="420" t="s">
        <v>219</v>
      </c>
      <c r="G31" s="420" t="s">
        <v>214</v>
      </c>
      <c r="H31" s="420" t="s">
        <v>221</v>
      </c>
      <c r="I31" s="420" t="s">
        <v>227</v>
      </c>
      <c r="J31" s="420" t="s">
        <v>223</v>
      </c>
      <c r="K31" s="420" t="s">
        <v>225</v>
      </c>
      <c r="L31" s="420" t="s">
        <v>229</v>
      </c>
      <c r="M31" s="420" t="s">
        <v>231</v>
      </c>
      <c r="N31" s="421" t="s">
        <v>233</v>
      </c>
      <c r="O31" s="90"/>
      <c r="P31" s="90"/>
      <c r="Q31" s="94"/>
      <c r="R31" s="14"/>
      <c r="S31" s="92"/>
      <c r="T31" s="92"/>
      <c r="U31" s="92"/>
      <c r="V31" s="92"/>
      <c r="W31" s="92"/>
      <c r="X31" s="92"/>
      <c r="Y31" s="92"/>
      <c r="Z31" s="79"/>
      <c r="AA31" s="79"/>
      <c r="AB31" s="79"/>
      <c r="AC31" s="79"/>
      <c r="AD31" s="79"/>
      <c r="AE31" s="79"/>
      <c r="AF31" s="91"/>
      <c r="AG31" s="91"/>
      <c r="AH31" s="91"/>
      <c r="AI31" s="91"/>
      <c r="AJ31" s="91"/>
      <c r="AK31" s="91"/>
    </row>
    <row r="32" spans="1:37" x14ac:dyDescent="0.2">
      <c r="A32" s="94"/>
      <c r="B32" s="94"/>
      <c r="C32" s="94"/>
      <c r="D32" s="94"/>
      <c r="E32" s="94"/>
      <c r="F32" s="94"/>
      <c r="G32" s="94"/>
      <c r="H32" s="94"/>
      <c r="I32" s="94"/>
      <c r="J32" s="94"/>
      <c r="K32" s="94"/>
      <c r="L32" s="94"/>
      <c r="M32" s="90"/>
      <c r="N32" s="90"/>
      <c r="O32" s="90"/>
      <c r="P32" s="90"/>
      <c r="Q32" s="94"/>
      <c r="R32" s="14"/>
      <c r="S32" s="92"/>
      <c r="T32" s="92"/>
      <c r="U32" s="92"/>
      <c r="V32" s="92"/>
      <c r="W32" s="92"/>
      <c r="X32" s="92"/>
      <c r="Y32" s="92"/>
      <c r="Z32" s="79"/>
      <c r="AA32" s="79"/>
      <c r="AB32" s="79"/>
      <c r="AC32" s="79"/>
      <c r="AD32" s="79"/>
      <c r="AE32" s="79"/>
      <c r="AF32" s="91"/>
      <c r="AG32" s="91"/>
      <c r="AH32" s="91"/>
      <c r="AI32" s="91"/>
      <c r="AJ32" s="91"/>
      <c r="AK32" s="91"/>
    </row>
    <row r="33" spans="1:31" x14ac:dyDescent="0.2">
      <c r="A33" s="94"/>
      <c r="B33" s="94"/>
      <c r="C33" s="94"/>
      <c r="D33" s="94"/>
      <c r="E33" s="94"/>
      <c r="F33" s="94"/>
      <c r="G33" s="94"/>
      <c r="H33" s="94"/>
      <c r="I33" s="94"/>
      <c r="J33" s="94"/>
      <c r="K33" s="94"/>
      <c r="L33" s="94"/>
      <c r="M33" s="90"/>
      <c r="N33" s="90"/>
      <c r="O33" s="90"/>
      <c r="P33" s="90"/>
      <c r="Q33" s="94"/>
      <c r="R33" s="14"/>
      <c r="S33" s="92"/>
      <c r="T33" s="92"/>
      <c r="U33" s="92"/>
      <c r="V33" s="92"/>
      <c r="W33" s="92"/>
      <c r="X33" s="92"/>
      <c r="Y33" s="92"/>
      <c r="Z33" s="79"/>
      <c r="AA33" s="79"/>
      <c r="AB33" s="79"/>
      <c r="AC33" s="79"/>
      <c r="AD33" s="79"/>
      <c r="AE33" s="79"/>
    </row>
    <row r="34" spans="1:31" x14ac:dyDescent="0.2">
      <c r="A34" s="94"/>
      <c r="B34" s="94"/>
      <c r="C34" s="94"/>
      <c r="D34" s="94"/>
      <c r="E34" s="94"/>
      <c r="F34" s="94"/>
      <c r="G34" s="94"/>
      <c r="H34" s="94"/>
      <c r="I34" s="94"/>
      <c r="J34" s="94"/>
      <c r="K34" s="94"/>
      <c r="L34" s="94"/>
      <c r="M34" s="90"/>
      <c r="N34" s="90"/>
      <c r="O34" s="90"/>
      <c r="P34" s="90"/>
      <c r="Q34" s="94"/>
      <c r="R34" s="14"/>
      <c r="S34" s="14"/>
      <c r="T34" s="14"/>
      <c r="U34" s="14"/>
      <c r="V34" s="14"/>
      <c r="W34" s="14"/>
      <c r="X34" s="14"/>
      <c r="Y34" s="14"/>
    </row>
    <row r="35" spans="1:31" x14ac:dyDescent="0.2">
      <c r="I35" s="94"/>
      <c r="J35" s="94"/>
      <c r="K35" s="94"/>
      <c r="L35" s="94"/>
      <c r="N35" s="14"/>
      <c r="O35" s="14"/>
      <c r="P35" s="14"/>
      <c r="Q35" s="14"/>
      <c r="R35" s="14"/>
      <c r="S35" s="14"/>
      <c r="T35" s="14"/>
      <c r="U35" s="14"/>
      <c r="V35" s="14"/>
      <c r="W35" s="14"/>
      <c r="X35" s="14"/>
      <c r="Y35" s="14"/>
    </row>
    <row r="37" spans="1:31" ht="28.5" thickBot="1" x14ac:dyDescent="0.25">
      <c r="A37" s="561" t="s">
        <v>1337</v>
      </c>
      <c r="B37" s="560" t="s">
        <v>358</v>
      </c>
      <c r="C37" s="560" t="s">
        <v>359</v>
      </c>
      <c r="D37" s="560" t="s">
        <v>360</v>
      </c>
      <c r="E37" s="560" t="s">
        <v>361</v>
      </c>
      <c r="F37" s="560" t="s">
        <v>362</v>
      </c>
      <c r="G37" s="560" t="s">
        <v>363</v>
      </c>
      <c r="H37" s="560" t="s">
        <v>364</v>
      </c>
      <c r="I37" s="560" t="s">
        <v>1163</v>
      </c>
      <c r="J37" s="560" t="s">
        <v>1164</v>
      </c>
      <c r="K37" s="560" t="s">
        <v>1165</v>
      </c>
      <c r="L37" s="560" t="s">
        <v>1342</v>
      </c>
      <c r="M37" s="560" t="s">
        <v>1343</v>
      </c>
      <c r="N37" s="562" t="s">
        <v>1198</v>
      </c>
      <c r="O37" s="509"/>
      <c r="P37" s="540" t="s">
        <v>1338</v>
      </c>
      <c r="Q37" s="540" t="s">
        <v>372</v>
      </c>
      <c r="R37" s="540" t="s">
        <v>373</v>
      </c>
      <c r="S37" s="540" t="s">
        <v>369</v>
      </c>
      <c r="T37" s="540" t="s">
        <v>370</v>
      </c>
      <c r="U37" s="540" t="s">
        <v>374</v>
      </c>
      <c r="V37" s="540" t="s">
        <v>375</v>
      </c>
      <c r="W37" s="540" t="s">
        <v>1321</v>
      </c>
      <c r="X37" s="540" t="s">
        <v>1288</v>
      </c>
      <c r="Y37" s="544" t="s">
        <v>1287</v>
      </c>
      <c r="Z37" s="544" t="s">
        <v>1286</v>
      </c>
    </row>
    <row r="38" spans="1:31" x14ac:dyDescent="0.2">
      <c r="A38" s="510" t="s">
        <v>687</v>
      </c>
      <c r="B38" s="540">
        <v>0.3</v>
      </c>
      <c r="C38" s="540" t="s">
        <v>1339</v>
      </c>
      <c r="D38" s="540" t="s">
        <v>1340</v>
      </c>
      <c r="E38" s="540">
        <v>5.8000000000000003E-2</v>
      </c>
      <c r="F38" s="540">
        <v>0.05</v>
      </c>
      <c r="G38" s="540">
        <v>0.4</v>
      </c>
      <c r="H38" s="540">
        <v>0.4</v>
      </c>
      <c r="I38" s="540">
        <v>0.15</v>
      </c>
      <c r="J38" s="540">
        <v>0.08</v>
      </c>
      <c r="K38" s="540">
        <v>0.4</v>
      </c>
      <c r="L38" s="540">
        <v>0.02</v>
      </c>
      <c r="M38" s="540"/>
      <c r="N38" s="540"/>
      <c r="P38" s="513" t="s">
        <v>687</v>
      </c>
      <c r="Q38" s="513">
        <v>35000</v>
      </c>
      <c r="R38" s="513">
        <v>240</v>
      </c>
      <c r="S38" s="513">
        <v>60000</v>
      </c>
      <c r="T38" s="513">
        <v>415</v>
      </c>
      <c r="U38" s="513" t="s">
        <v>1461</v>
      </c>
      <c r="V38" s="513"/>
      <c r="W38" s="513">
        <v>197</v>
      </c>
      <c r="X38" s="513" t="s">
        <v>1433</v>
      </c>
      <c r="Y38" s="513" t="s">
        <v>1433</v>
      </c>
      <c r="Z38" s="513" t="s">
        <v>1433</v>
      </c>
    </row>
    <row r="39" spans="1:31" x14ac:dyDescent="0.2">
      <c r="A39" s="510" t="s">
        <v>1354</v>
      </c>
      <c r="B39" s="540">
        <v>0.35</v>
      </c>
      <c r="C39" s="540" t="s">
        <v>1341</v>
      </c>
      <c r="D39" s="540" t="s">
        <v>1340</v>
      </c>
      <c r="E39" s="540">
        <v>5.8000000000000003E-2</v>
      </c>
      <c r="F39" s="540">
        <v>0.05</v>
      </c>
      <c r="G39" s="540">
        <v>0.4</v>
      </c>
      <c r="H39" s="540">
        <v>0.4</v>
      </c>
      <c r="I39" s="540">
        <v>0.15</v>
      </c>
      <c r="J39" s="540">
        <v>0.08</v>
      </c>
      <c r="K39" s="540">
        <v>0.4</v>
      </c>
      <c r="L39" s="540">
        <v>0.02</v>
      </c>
      <c r="M39" s="540"/>
      <c r="N39" s="540"/>
      <c r="P39" s="513" t="s">
        <v>1354</v>
      </c>
      <c r="Q39" s="513">
        <v>40000</v>
      </c>
      <c r="R39" s="513">
        <v>275</v>
      </c>
      <c r="S39" s="513">
        <v>70000</v>
      </c>
      <c r="T39" s="513">
        <v>485</v>
      </c>
      <c r="U39" s="513">
        <v>30</v>
      </c>
      <c r="V39" s="513"/>
      <c r="W39" s="513">
        <v>197</v>
      </c>
      <c r="X39" s="513" t="s">
        <v>1433</v>
      </c>
      <c r="Y39" s="513" t="s">
        <v>1433</v>
      </c>
      <c r="Z39" s="513" t="s">
        <v>1433</v>
      </c>
    </row>
    <row r="40" spans="1:31" x14ac:dyDescent="0.2">
      <c r="A40" s="510" t="s">
        <v>1355</v>
      </c>
      <c r="B40" s="540">
        <v>0.28000000000000003</v>
      </c>
      <c r="C40" s="564" t="s">
        <v>1344</v>
      </c>
      <c r="D40" s="564" t="s">
        <v>1345</v>
      </c>
      <c r="E40" s="540">
        <v>0.45</v>
      </c>
      <c r="F40" s="540">
        <v>4.4999999999999998E-2</v>
      </c>
      <c r="G40" s="540"/>
      <c r="H40" s="540"/>
      <c r="I40" s="540" t="s">
        <v>746</v>
      </c>
      <c r="J40" s="540"/>
      <c r="K40" s="540"/>
      <c r="L40" s="540"/>
      <c r="M40" s="540"/>
      <c r="N40" s="540"/>
      <c r="P40" s="513" t="s">
        <v>1355</v>
      </c>
      <c r="Q40" s="513">
        <v>30000</v>
      </c>
      <c r="R40" s="513">
        <v>205</v>
      </c>
      <c r="S40" s="513" t="s">
        <v>1379</v>
      </c>
      <c r="T40" s="513" t="s">
        <v>1380</v>
      </c>
      <c r="U40" s="513">
        <v>30</v>
      </c>
      <c r="V40" s="513"/>
      <c r="W40" s="513">
        <v>197</v>
      </c>
      <c r="X40" s="513" t="s">
        <v>1433</v>
      </c>
      <c r="Y40" s="513" t="s">
        <v>1433</v>
      </c>
      <c r="Z40" s="513" t="s">
        <v>1433</v>
      </c>
    </row>
    <row r="41" spans="1:31" x14ac:dyDescent="0.2">
      <c r="A41" s="510" t="s">
        <v>1356</v>
      </c>
      <c r="B41" s="540" t="s">
        <v>747</v>
      </c>
      <c r="C41" s="564" t="s">
        <v>749</v>
      </c>
      <c r="D41" s="564" t="s">
        <v>744</v>
      </c>
      <c r="E41" s="540">
        <v>0.03</v>
      </c>
      <c r="F41" s="540">
        <v>0.03</v>
      </c>
      <c r="G41" s="540" t="s">
        <v>745</v>
      </c>
      <c r="H41" s="540"/>
      <c r="I41" s="540" t="s">
        <v>746</v>
      </c>
      <c r="J41" s="540"/>
      <c r="K41" s="540"/>
      <c r="L41" s="540"/>
      <c r="M41" s="540"/>
      <c r="N41" s="540"/>
      <c r="P41" s="513" t="s">
        <v>1356</v>
      </c>
      <c r="Q41" s="513">
        <v>30000</v>
      </c>
      <c r="R41" s="513">
        <v>205</v>
      </c>
      <c r="S41" s="513">
        <v>60000</v>
      </c>
      <c r="T41" s="513">
        <v>415</v>
      </c>
      <c r="U41" s="513">
        <v>30</v>
      </c>
      <c r="V41" s="513"/>
      <c r="W41" s="513">
        <v>197</v>
      </c>
      <c r="X41" s="513" t="s">
        <v>1433</v>
      </c>
      <c r="Y41" s="513" t="s">
        <v>1433</v>
      </c>
      <c r="Z41" s="513" t="s">
        <v>1433</v>
      </c>
    </row>
    <row r="42" spans="1:31" x14ac:dyDescent="0.2">
      <c r="A42" s="510" t="s">
        <v>1347</v>
      </c>
      <c r="B42" s="540" t="s">
        <v>1346</v>
      </c>
      <c r="C42" s="540" t="s">
        <v>743</v>
      </c>
      <c r="D42" s="540" t="s">
        <v>744</v>
      </c>
      <c r="E42" s="540">
        <v>0.04</v>
      </c>
      <c r="F42" s="540">
        <v>0.04</v>
      </c>
      <c r="G42" s="540" t="s">
        <v>745</v>
      </c>
      <c r="H42" s="540"/>
      <c r="I42" s="540" t="s">
        <v>746</v>
      </c>
      <c r="J42" s="540"/>
      <c r="K42" s="540"/>
      <c r="L42" s="540"/>
      <c r="M42" s="540"/>
      <c r="N42" s="540"/>
      <c r="P42" s="513" t="s">
        <v>1347</v>
      </c>
      <c r="Q42" s="513">
        <v>40000</v>
      </c>
      <c r="R42" s="513">
        <v>275</v>
      </c>
      <c r="S42" s="513">
        <v>70000</v>
      </c>
      <c r="T42" s="513">
        <v>485</v>
      </c>
      <c r="U42" s="513">
        <v>30</v>
      </c>
      <c r="V42" s="513"/>
      <c r="W42" s="513">
        <v>197</v>
      </c>
      <c r="X42" s="513" t="s">
        <v>1433</v>
      </c>
      <c r="Y42" s="513" t="s">
        <v>1433</v>
      </c>
      <c r="Z42" s="513" t="s">
        <v>1433</v>
      </c>
    </row>
    <row r="43" spans="1:31" x14ac:dyDescent="0.2">
      <c r="A43" s="510" t="s">
        <v>1348</v>
      </c>
      <c r="B43" s="540" t="s">
        <v>747</v>
      </c>
      <c r="C43" s="540" t="s">
        <v>749</v>
      </c>
      <c r="D43" s="540">
        <v>0.5</v>
      </c>
      <c r="E43" s="540">
        <v>0.04</v>
      </c>
      <c r="F43" s="540">
        <v>0.04</v>
      </c>
      <c r="G43" s="540" t="s">
        <v>1357</v>
      </c>
      <c r="H43" s="540"/>
      <c r="I43" s="540" t="s">
        <v>752</v>
      </c>
      <c r="J43" s="540"/>
      <c r="K43" s="540"/>
      <c r="L43" s="540"/>
      <c r="M43" s="540"/>
      <c r="N43" s="540"/>
      <c r="P43" s="513" t="s">
        <v>1348</v>
      </c>
      <c r="Q43" s="513">
        <v>30000</v>
      </c>
      <c r="R43" s="513">
        <v>205</v>
      </c>
      <c r="S43" s="513">
        <v>60000</v>
      </c>
      <c r="T43" s="513">
        <v>415</v>
      </c>
      <c r="U43" s="513">
        <v>30</v>
      </c>
      <c r="V43" s="513"/>
      <c r="W43" s="513">
        <v>197</v>
      </c>
      <c r="X43" s="513" t="s">
        <v>1433</v>
      </c>
      <c r="Y43" s="513" t="s">
        <v>1433</v>
      </c>
      <c r="Z43" s="513" t="s">
        <v>1433</v>
      </c>
    </row>
    <row r="44" spans="1:31" x14ac:dyDescent="0.2">
      <c r="A44" s="510" t="s">
        <v>1382</v>
      </c>
      <c r="B44" s="540">
        <v>0.15</v>
      </c>
      <c r="C44" s="540" t="s">
        <v>749</v>
      </c>
      <c r="D44" s="540">
        <v>0.5</v>
      </c>
      <c r="E44" s="540">
        <v>0.03</v>
      </c>
      <c r="F44" s="540">
        <v>0.04</v>
      </c>
      <c r="G44" s="540" t="s">
        <v>753</v>
      </c>
      <c r="H44" s="540"/>
      <c r="I44" s="540" t="s">
        <v>746</v>
      </c>
      <c r="J44" s="540"/>
      <c r="K44" s="540"/>
      <c r="L44" s="540"/>
      <c r="M44" s="540"/>
      <c r="N44" s="540"/>
      <c r="P44" s="513" t="s">
        <v>1382</v>
      </c>
      <c r="Q44" s="513">
        <v>30000</v>
      </c>
      <c r="R44" s="513">
        <v>205</v>
      </c>
      <c r="S44" s="513">
        <v>60000</v>
      </c>
      <c r="T44" s="513">
        <v>415</v>
      </c>
      <c r="U44" s="513">
        <v>30</v>
      </c>
      <c r="V44" s="513"/>
      <c r="W44" s="513">
        <v>217</v>
      </c>
      <c r="X44" s="513" t="s">
        <v>1433</v>
      </c>
      <c r="Y44" s="513" t="s">
        <v>1433</v>
      </c>
      <c r="Z44" s="513" t="s">
        <v>1433</v>
      </c>
    </row>
    <row r="45" spans="1:31" x14ac:dyDescent="0.2">
      <c r="A45" s="510" t="s">
        <v>1381</v>
      </c>
      <c r="B45" s="540">
        <v>0.15</v>
      </c>
      <c r="C45" s="540" t="s">
        <v>749</v>
      </c>
      <c r="D45" s="540" t="s">
        <v>1360</v>
      </c>
      <c r="E45" s="540">
        <v>0.03</v>
      </c>
      <c r="F45" s="540">
        <v>0.03</v>
      </c>
      <c r="G45" s="540" t="s">
        <v>1361</v>
      </c>
      <c r="H45" s="540"/>
      <c r="I45" s="540" t="s">
        <v>755</v>
      </c>
      <c r="J45" s="540"/>
      <c r="K45" s="540"/>
      <c r="L45" s="540"/>
      <c r="M45" s="540"/>
      <c r="N45" s="540"/>
      <c r="P45" s="513" t="s">
        <v>1381</v>
      </c>
      <c r="Q45" s="513">
        <v>30000</v>
      </c>
      <c r="R45" s="513">
        <v>205</v>
      </c>
      <c r="S45" s="513">
        <v>60000</v>
      </c>
      <c r="T45" s="513">
        <v>415</v>
      </c>
      <c r="U45" s="513">
        <v>30</v>
      </c>
      <c r="V45" s="513"/>
      <c r="W45" s="513">
        <v>217</v>
      </c>
      <c r="X45" s="513" t="s">
        <v>1433</v>
      </c>
      <c r="Y45" s="513" t="s">
        <v>1433</v>
      </c>
      <c r="Z45" s="513" t="s">
        <v>1433</v>
      </c>
    </row>
    <row r="46" spans="1:31" x14ac:dyDescent="0.2">
      <c r="A46" s="510" t="s">
        <v>1358</v>
      </c>
      <c r="B46" s="540" t="s">
        <v>1346</v>
      </c>
      <c r="C46" s="540" t="s">
        <v>743</v>
      </c>
      <c r="D46" s="540">
        <v>0.6</v>
      </c>
      <c r="E46" s="540">
        <v>0.45</v>
      </c>
      <c r="F46" s="540">
        <v>0.45</v>
      </c>
      <c r="G46" s="540" t="s">
        <v>1359</v>
      </c>
      <c r="H46" s="540"/>
      <c r="I46" s="540" t="s">
        <v>746</v>
      </c>
      <c r="J46" s="540"/>
      <c r="K46" s="540"/>
      <c r="L46" s="540"/>
      <c r="M46" s="540"/>
      <c r="N46" s="540"/>
      <c r="P46" s="513" t="s">
        <v>1358</v>
      </c>
      <c r="Q46" s="513">
        <v>40000</v>
      </c>
      <c r="R46" s="513">
        <v>275</v>
      </c>
      <c r="S46" s="513">
        <v>70000</v>
      </c>
      <c r="T46" s="513">
        <v>485</v>
      </c>
      <c r="U46" s="513">
        <v>30</v>
      </c>
      <c r="V46" s="513"/>
      <c r="W46" s="513">
        <v>197</v>
      </c>
      <c r="X46" s="513" t="s">
        <v>1433</v>
      </c>
      <c r="Y46" s="513" t="s">
        <v>1433</v>
      </c>
      <c r="Z46" s="513" t="s">
        <v>1433</v>
      </c>
    </row>
    <row r="47" spans="1:31" x14ac:dyDescent="0.2">
      <c r="A47" s="510" t="s">
        <v>1349</v>
      </c>
      <c r="B47" s="540">
        <v>0.2</v>
      </c>
      <c r="C47" s="540" t="s">
        <v>1362</v>
      </c>
      <c r="D47" s="540"/>
      <c r="E47" s="540">
        <v>0.5</v>
      </c>
      <c r="F47" s="540">
        <v>4.4999999999999998E-2</v>
      </c>
      <c r="G47" s="540"/>
      <c r="H47" s="540" t="s">
        <v>1363</v>
      </c>
      <c r="I47" s="540"/>
      <c r="J47" s="540"/>
      <c r="K47" s="540" t="s">
        <v>1364</v>
      </c>
      <c r="L47" s="540"/>
      <c r="M47" s="540"/>
      <c r="N47" s="540"/>
      <c r="P47" s="513" t="s">
        <v>1349</v>
      </c>
      <c r="Q47" s="513">
        <v>46000</v>
      </c>
      <c r="R47" s="513">
        <v>310</v>
      </c>
      <c r="S47" s="513" t="s">
        <v>1275</v>
      </c>
      <c r="T47" s="513" t="s">
        <v>197</v>
      </c>
      <c r="U47" s="513">
        <v>28</v>
      </c>
      <c r="V47" s="513"/>
      <c r="W47" s="513">
        <v>217</v>
      </c>
      <c r="X47" s="513" t="s">
        <v>1433</v>
      </c>
      <c r="Y47" s="513" t="s">
        <v>1433</v>
      </c>
      <c r="Z47" s="513" t="s">
        <v>1433</v>
      </c>
    </row>
    <row r="48" spans="1:31" x14ac:dyDescent="0.2">
      <c r="A48" s="510" t="s">
        <v>1350</v>
      </c>
      <c r="B48" s="540" t="s">
        <v>1346</v>
      </c>
      <c r="C48" s="540" t="s">
        <v>743</v>
      </c>
      <c r="D48" s="540" t="s">
        <v>744</v>
      </c>
      <c r="E48" s="540">
        <v>0.04</v>
      </c>
      <c r="F48" s="540">
        <v>0.04</v>
      </c>
      <c r="G48" s="540" t="s">
        <v>745</v>
      </c>
      <c r="H48" s="540"/>
      <c r="I48" s="540" t="s">
        <v>746</v>
      </c>
      <c r="J48" s="540"/>
      <c r="K48" s="540"/>
      <c r="L48" s="540"/>
      <c r="M48" s="540"/>
      <c r="N48" s="540"/>
      <c r="P48" s="513" t="s">
        <v>1350</v>
      </c>
      <c r="Q48" s="513">
        <v>45000</v>
      </c>
      <c r="R48" s="513">
        <v>310</v>
      </c>
      <c r="S48" s="513">
        <v>75000</v>
      </c>
      <c r="T48" s="513">
        <v>520</v>
      </c>
      <c r="U48" s="513">
        <v>30</v>
      </c>
      <c r="V48" s="513"/>
      <c r="W48" s="513">
        <v>197</v>
      </c>
      <c r="X48" s="513" t="s">
        <v>1433</v>
      </c>
      <c r="Y48" s="513" t="s">
        <v>1433</v>
      </c>
      <c r="Z48" s="513" t="s">
        <v>1433</v>
      </c>
    </row>
    <row r="49" spans="1:26" x14ac:dyDescent="0.2">
      <c r="A49" s="510" t="s">
        <v>1351</v>
      </c>
      <c r="B49" s="540" t="s">
        <v>747</v>
      </c>
      <c r="C49" s="540" t="s">
        <v>749</v>
      </c>
      <c r="D49" s="540">
        <v>0.5</v>
      </c>
      <c r="E49" s="540">
        <v>0.04</v>
      </c>
      <c r="F49" s="540">
        <v>0.04</v>
      </c>
      <c r="G49" s="540" t="s">
        <v>1357</v>
      </c>
      <c r="H49" s="540"/>
      <c r="I49" s="540" t="s">
        <v>752</v>
      </c>
      <c r="J49" s="540"/>
      <c r="K49" s="540"/>
      <c r="L49" s="540"/>
      <c r="M49" s="540"/>
      <c r="N49" s="540"/>
      <c r="P49" s="513" t="s">
        <v>1351</v>
      </c>
      <c r="Q49" s="513">
        <v>45000</v>
      </c>
      <c r="R49" s="513">
        <v>310</v>
      </c>
      <c r="S49" s="513">
        <v>75000</v>
      </c>
      <c r="T49" s="513">
        <v>520</v>
      </c>
      <c r="U49" s="513">
        <v>30</v>
      </c>
      <c r="V49" s="513"/>
      <c r="W49" s="513">
        <v>197</v>
      </c>
      <c r="X49" s="513" t="s">
        <v>1433</v>
      </c>
      <c r="Y49" s="513" t="s">
        <v>1433</v>
      </c>
      <c r="Z49" s="513" t="s">
        <v>1433</v>
      </c>
    </row>
    <row r="50" spans="1:26" x14ac:dyDescent="0.2">
      <c r="A50" s="510" t="s">
        <v>1383</v>
      </c>
      <c r="B50" s="540" t="s">
        <v>1365</v>
      </c>
      <c r="C50" s="540" t="s">
        <v>749</v>
      </c>
      <c r="D50" s="540" t="s">
        <v>1366</v>
      </c>
      <c r="E50" s="540">
        <v>0.01</v>
      </c>
      <c r="F50" s="540">
        <v>0.02</v>
      </c>
      <c r="G50" s="540" t="s">
        <v>1367</v>
      </c>
      <c r="H50" s="540">
        <v>0.4</v>
      </c>
      <c r="I50" s="540" t="s">
        <v>1368</v>
      </c>
      <c r="J50" s="540" t="s">
        <v>1369</v>
      </c>
      <c r="K50" s="540"/>
      <c r="L50" s="540" t="s">
        <v>1370</v>
      </c>
      <c r="M50" s="540">
        <v>0.04</v>
      </c>
      <c r="N50" s="540" t="s">
        <v>1371</v>
      </c>
      <c r="P50" s="513" t="s">
        <v>1383</v>
      </c>
      <c r="Q50" s="513">
        <v>60000</v>
      </c>
      <c r="R50" s="513">
        <v>415</v>
      </c>
      <c r="S50" s="513">
        <v>90000</v>
      </c>
      <c r="T50" s="513">
        <v>620</v>
      </c>
      <c r="U50" s="513">
        <v>20</v>
      </c>
      <c r="V50" s="513"/>
      <c r="W50" s="513">
        <v>190</v>
      </c>
      <c r="X50" s="513" t="s">
        <v>1433</v>
      </c>
      <c r="Y50" s="513" t="s">
        <v>1433</v>
      </c>
      <c r="Z50" s="513" t="s">
        <v>1433</v>
      </c>
    </row>
    <row r="51" spans="1:26" x14ac:dyDescent="0.2">
      <c r="A51" s="510" t="s">
        <v>1384</v>
      </c>
      <c r="B51" s="540"/>
      <c r="C51" s="540"/>
      <c r="D51" s="540"/>
      <c r="E51" s="540"/>
      <c r="F51" s="540"/>
      <c r="G51" s="540"/>
      <c r="H51" s="540"/>
      <c r="I51" s="540"/>
      <c r="J51" s="540"/>
      <c r="K51" s="540"/>
      <c r="L51" s="540"/>
      <c r="M51" s="540"/>
      <c r="N51" s="540"/>
      <c r="P51" s="513" t="s">
        <v>1384</v>
      </c>
      <c r="Q51" s="513">
        <v>60000</v>
      </c>
      <c r="R51" s="513">
        <v>415</v>
      </c>
      <c r="S51" s="513">
        <v>90000</v>
      </c>
      <c r="T51" s="513">
        <v>620</v>
      </c>
      <c r="U51" s="513">
        <v>20</v>
      </c>
      <c r="V51" s="513"/>
      <c r="W51" s="513">
        <v>190</v>
      </c>
      <c r="X51" s="513" t="s">
        <v>1433</v>
      </c>
      <c r="Y51" s="513" t="s">
        <v>1433</v>
      </c>
      <c r="Z51" s="513" t="s">
        <v>1433</v>
      </c>
    </row>
    <row r="52" spans="1:26" s="510" customFormat="1" ht="27.75" x14ac:dyDescent="0.2">
      <c r="A52" s="510" t="s">
        <v>1352</v>
      </c>
      <c r="B52" s="540" t="s">
        <v>1372</v>
      </c>
      <c r="C52" s="540" t="s">
        <v>749</v>
      </c>
      <c r="D52" s="540" t="s">
        <v>1345</v>
      </c>
      <c r="E52" s="540">
        <v>0.01</v>
      </c>
      <c r="F52" s="540">
        <v>0.02</v>
      </c>
      <c r="G52" s="540" t="s">
        <v>1373</v>
      </c>
      <c r="H52" s="540">
        <v>0.4</v>
      </c>
      <c r="I52" s="540" t="s">
        <v>755</v>
      </c>
      <c r="J52" s="540" t="s">
        <v>1369</v>
      </c>
      <c r="K52" s="540"/>
      <c r="L52" s="540" t="s">
        <v>1370</v>
      </c>
      <c r="M52" s="540">
        <v>0.04</v>
      </c>
      <c r="N52" s="540" t="s">
        <v>1374</v>
      </c>
      <c r="P52" s="513" t="s">
        <v>1352</v>
      </c>
      <c r="Q52" s="513">
        <v>64000</v>
      </c>
      <c r="R52" s="513">
        <v>440</v>
      </c>
      <c r="S52" s="513" t="s">
        <v>1385</v>
      </c>
      <c r="T52" s="513" t="s">
        <v>1386</v>
      </c>
      <c r="U52" s="513">
        <v>20</v>
      </c>
      <c r="V52" s="513"/>
      <c r="W52" s="513">
        <v>248</v>
      </c>
      <c r="X52" s="513" t="s">
        <v>1433</v>
      </c>
      <c r="Y52" s="513" t="s">
        <v>1433</v>
      </c>
      <c r="Z52" s="513" t="s">
        <v>1433</v>
      </c>
    </row>
    <row r="53" spans="1:26" x14ac:dyDescent="0.2">
      <c r="A53" s="510" t="s">
        <v>1353</v>
      </c>
      <c r="B53" s="540" t="s">
        <v>1346</v>
      </c>
      <c r="C53" s="540" t="s">
        <v>743</v>
      </c>
      <c r="D53" s="540">
        <v>0.6</v>
      </c>
      <c r="E53" s="540">
        <v>0.45</v>
      </c>
      <c r="F53" s="540">
        <v>0.45</v>
      </c>
      <c r="G53" s="540" t="s">
        <v>1359</v>
      </c>
      <c r="H53" s="540"/>
      <c r="I53" s="540" t="s">
        <v>746</v>
      </c>
      <c r="J53" s="540"/>
      <c r="K53" s="540"/>
      <c r="L53" s="540"/>
      <c r="M53" s="540"/>
      <c r="N53" s="540"/>
      <c r="P53" s="513" t="s">
        <v>1353</v>
      </c>
      <c r="Q53" s="513">
        <v>32000</v>
      </c>
      <c r="R53" s="513">
        <v>220</v>
      </c>
      <c r="S53" s="513">
        <v>60000</v>
      </c>
      <c r="T53" s="513">
        <v>415</v>
      </c>
      <c r="U53" s="513">
        <v>30</v>
      </c>
      <c r="V53" s="513"/>
      <c r="W53" s="513">
        <v>197</v>
      </c>
      <c r="X53" s="513" t="s">
        <v>1433</v>
      </c>
      <c r="Y53" s="513" t="s">
        <v>1433</v>
      </c>
      <c r="Z53" s="513" t="s">
        <v>1433</v>
      </c>
    </row>
    <row r="54" spans="1:26" ht="27.75" x14ac:dyDescent="0.2">
      <c r="A54" t="s">
        <v>680</v>
      </c>
      <c r="B54" s="540" t="s">
        <v>187</v>
      </c>
      <c r="C54" s="540" t="s">
        <v>194</v>
      </c>
      <c r="D54" s="540" t="s">
        <v>209</v>
      </c>
      <c r="E54" s="540" t="s">
        <v>204</v>
      </c>
      <c r="F54" s="540" t="s">
        <v>199</v>
      </c>
      <c r="G54" s="540" t="s">
        <v>219</v>
      </c>
      <c r="H54" s="540" t="s">
        <v>214</v>
      </c>
      <c r="I54" s="540" t="s">
        <v>221</v>
      </c>
      <c r="J54" s="540" t="s">
        <v>227</v>
      </c>
      <c r="K54" s="540" t="s">
        <v>223</v>
      </c>
      <c r="L54" s="540" t="s">
        <v>229</v>
      </c>
      <c r="M54" s="540" t="s">
        <v>233</v>
      </c>
      <c r="N54" s="540"/>
      <c r="P54" s="513" t="s">
        <v>680</v>
      </c>
      <c r="Q54" s="513">
        <v>42000</v>
      </c>
      <c r="R54" s="513">
        <v>290</v>
      </c>
      <c r="S54" s="513" t="s">
        <v>1270</v>
      </c>
      <c r="T54" s="513" t="s">
        <v>190</v>
      </c>
      <c r="U54" s="513">
        <v>32</v>
      </c>
      <c r="V54" s="513"/>
      <c r="W54" s="513">
        <v>235</v>
      </c>
      <c r="X54" s="513">
        <v>40</v>
      </c>
      <c r="Y54" s="513">
        <v>34</v>
      </c>
      <c r="Z54" s="513">
        <v>-46</v>
      </c>
    </row>
    <row r="55" spans="1:26" ht="27.75" x14ac:dyDescent="0.2">
      <c r="A55" t="s">
        <v>677</v>
      </c>
      <c r="B55" s="540" t="s">
        <v>187</v>
      </c>
      <c r="C55" s="540" t="s">
        <v>194</v>
      </c>
      <c r="D55" s="540" t="s">
        <v>209</v>
      </c>
      <c r="E55" s="540" t="s">
        <v>204</v>
      </c>
      <c r="F55" s="540" t="s">
        <v>199</v>
      </c>
      <c r="G55" s="540" t="s">
        <v>219</v>
      </c>
      <c r="H55" s="540" t="s">
        <v>214</v>
      </c>
      <c r="I55" s="540" t="s">
        <v>221</v>
      </c>
      <c r="J55" s="540" t="s">
        <v>227</v>
      </c>
      <c r="K55" s="540" t="s">
        <v>223</v>
      </c>
      <c r="L55" s="540" t="s">
        <v>229</v>
      </c>
      <c r="M55" s="540" t="s">
        <v>233</v>
      </c>
      <c r="N55" s="540"/>
      <c r="P55" s="513" t="s">
        <v>677</v>
      </c>
      <c r="Q55" s="513">
        <v>46000</v>
      </c>
      <c r="R55" s="513">
        <v>315</v>
      </c>
      <c r="S55" s="513" t="s">
        <v>1275</v>
      </c>
      <c r="T55" s="513" t="s">
        <v>197</v>
      </c>
      <c r="U55" s="513">
        <v>32</v>
      </c>
      <c r="V55" s="513"/>
      <c r="W55" s="513">
        <v>235</v>
      </c>
      <c r="X55" s="513">
        <v>40</v>
      </c>
      <c r="Y55" s="513">
        <v>34</v>
      </c>
      <c r="Z55" s="513">
        <v>-46</v>
      </c>
    </row>
    <row r="56" spans="1:26" ht="27.75" x14ac:dyDescent="0.2">
      <c r="A56" t="s">
        <v>672</v>
      </c>
      <c r="B56" s="540" t="s">
        <v>187</v>
      </c>
      <c r="C56" s="540" t="s">
        <v>194</v>
      </c>
      <c r="D56" s="540" t="s">
        <v>209</v>
      </c>
      <c r="E56" s="540" t="s">
        <v>204</v>
      </c>
      <c r="F56" s="540" t="s">
        <v>199</v>
      </c>
      <c r="G56" s="540" t="s">
        <v>219</v>
      </c>
      <c r="H56" s="540" t="s">
        <v>214</v>
      </c>
      <c r="I56" s="540" t="s">
        <v>221</v>
      </c>
      <c r="J56" s="540" t="s">
        <v>227</v>
      </c>
      <c r="K56" s="540" t="s">
        <v>223</v>
      </c>
      <c r="L56" s="540" t="s">
        <v>229</v>
      </c>
      <c r="M56" s="540" t="s">
        <v>233</v>
      </c>
      <c r="N56" s="540"/>
      <c r="P56" s="513" t="s">
        <v>672</v>
      </c>
      <c r="Q56" s="513">
        <v>52000</v>
      </c>
      <c r="R56" s="513">
        <v>360</v>
      </c>
      <c r="S56" s="513" t="s">
        <v>1271</v>
      </c>
      <c r="T56" s="513" t="s">
        <v>202</v>
      </c>
      <c r="U56" s="513">
        <v>32</v>
      </c>
      <c r="V56" s="513"/>
      <c r="W56" s="513">
        <v>235</v>
      </c>
      <c r="X56" s="513">
        <v>40</v>
      </c>
      <c r="Y56" s="513">
        <v>34</v>
      </c>
      <c r="Z56" s="513">
        <v>-46</v>
      </c>
    </row>
    <row r="57" spans="1:26" ht="27.75" x14ac:dyDescent="0.2">
      <c r="A57" t="s">
        <v>670</v>
      </c>
      <c r="B57" s="540" t="s">
        <v>187</v>
      </c>
      <c r="C57" s="540" t="s">
        <v>194</v>
      </c>
      <c r="D57" s="540" t="s">
        <v>209</v>
      </c>
      <c r="E57" s="540" t="s">
        <v>204</v>
      </c>
      <c r="F57" s="540" t="s">
        <v>199</v>
      </c>
      <c r="G57" s="540" t="s">
        <v>219</v>
      </c>
      <c r="H57" s="540" t="s">
        <v>214</v>
      </c>
      <c r="I57" s="540" t="s">
        <v>221</v>
      </c>
      <c r="J57" s="540" t="s">
        <v>227</v>
      </c>
      <c r="K57" s="540" t="s">
        <v>223</v>
      </c>
      <c r="L57" s="540" t="s">
        <v>229</v>
      </c>
      <c r="M57" s="540" t="s">
        <v>233</v>
      </c>
      <c r="N57" s="540"/>
      <c r="P57" s="513" t="s">
        <v>670</v>
      </c>
      <c r="Q57" s="513">
        <v>60000</v>
      </c>
      <c r="R57" s="513">
        <v>415</v>
      </c>
      <c r="S57" s="513" t="s">
        <v>1272</v>
      </c>
      <c r="T57" s="513" t="s">
        <v>207</v>
      </c>
      <c r="U57" s="513">
        <v>28</v>
      </c>
      <c r="V57" s="513"/>
      <c r="W57" s="513">
        <v>235</v>
      </c>
      <c r="X57" s="513">
        <v>40</v>
      </c>
      <c r="Y57" s="513">
        <v>34</v>
      </c>
      <c r="Z57" s="513">
        <v>-46</v>
      </c>
    </row>
    <row r="58" spans="1:26" ht="27.75" x14ac:dyDescent="0.2">
      <c r="A58" t="s">
        <v>650</v>
      </c>
      <c r="B58" s="540" t="s">
        <v>187</v>
      </c>
      <c r="C58" s="540" t="s">
        <v>194</v>
      </c>
      <c r="D58" s="540" t="s">
        <v>209</v>
      </c>
      <c r="E58" s="540" t="s">
        <v>204</v>
      </c>
      <c r="F58" s="540" t="s">
        <v>199</v>
      </c>
      <c r="G58" s="540" t="s">
        <v>219</v>
      </c>
      <c r="H58" s="540" t="s">
        <v>214</v>
      </c>
      <c r="I58" s="540" t="s">
        <v>221</v>
      </c>
      <c r="J58" s="540" t="s">
        <v>227</v>
      </c>
      <c r="K58" s="540" t="s">
        <v>223</v>
      </c>
      <c r="L58" s="540" t="s">
        <v>229</v>
      </c>
      <c r="M58" s="540" t="s">
        <v>233</v>
      </c>
      <c r="N58" s="540"/>
      <c r="P58" s="513" t="s">
        <v>650</v>
      </c>
      <c r="Q58" s="513">
        <v>65000</v>
      </c>
      <c r="R58" s="513">
        <v>450</v>
      </c>
      <c r="S58" s="513" t="s">
        <v>1387</v>
      </c>
      <c r="T58" s="513" t="s">
        <v>212</v>
      </c>
      <c r="U58" s="513">
        <v>28</v>
      </c>
      <c r="V58" s="513"/>
      <c r="W58" s="513">
        <v>235</v>
      </c>
      <c r="X58" s="513">
        <v>40</v>
      </c>
      <c r="Y58" s="513">
        <v>34</v>
      </c>
      <c r="Z58" s="513">
        <v>-46</v>
      </c>
    </row>
    <row r="59" spans="1:26" ht="27.75" x14ac:dyDescent="0.2">
      <c r="A59" t="s">
        <v>698</v>
      </c>
      <c r="B59" s="540" t="s">
        <v>187</v>
      </c>
      <c r="C59" s="540" t="s">
        <v>194</v>
      </c>
      <c r="D59" s="540" t="s">
        <v>209</v>
      </c>
      <c r="E59" s="540" t="s">
        <v>204</v>
      </c>
      <c r="F59" s="540" t="s">
        <v>199</v>
      </c>
      <c r="G59" s="540" t="s">
        <v>219</v>
      </c>
      <c r="H59" s="540" t="s">
        <v>214</v>
      </c>
      <c r="I59" s="540" t="s">
        <v>221</v>
      </c>
      <c r="J59" s="540" t="s">
        <v>227</v>
      </c>
      <c r="K59" s="540" t="s">
        <v>223</v>
      </c>
      <c r="L59" s="540" t="s">
        <v>229</v>
      </c>
      <c r="M59" s="540" t="s">
        <v>233</v>
      </c>
      <c r="N59" s="540"/>
      <c r="P59" s="513" t="s">
        <v>698</v>
      </c>
      <c r="Q59" s="513">
        <v>70000</v>
      </c>
      <c r="R59" s="513">
        <v>485</v>
      </c>
      <c r="S59" s="513" t="s">
        <v>1388</v>
      </c>
      <c r="T59" s="513" t="s">
        <v>217</v>
      </c>
      <c r="U59" s="513">
        <v>28</v>
      </c>
      <c r="V59" s="513"/>
      <c r="W59" s="513">
        <v>235</v>
      </c>
      <c r="X59" s="513">
        <v>40</v>
      </c>
      <c r="Y59" s="513">
        <v>34</v>
      </c>
      <c r="Z59" s="513">
        <v>-46</v>
      </c>
    </row>
  </sheetData>
  <mergeCells count="5">
    <mergeCell ref="A29:B29"/>
    <mergeCell ref="T2:U2"/>
    <mergeCell ref="B20:C20"/>
    <mergeCell ref="D20:E20"/>
    <mergeCell ref="G20:H20"/>
  </mergeCells>
  <pageMargins left="0.7" right="0.7" top="0.75" bottom="0.75" header="0.3" footer="0.3"/>
  <drawing r:id="rId1"/>
  <tableParts count="5">
    <tablePart r:id="rId2"/>
    <tablePart r:id="rId3"/>
    <tablePart r:id="rId4"/>
    <tablePart r:id="rId5"/>
    <tablePart r:id="rId6"/>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ublished="0" codeName="Sayfa10"/>
  <dimension ref="A1:AS113"/>
  <sheetViews>
    <sheetView topLeftCell="A16" zoomScaleNormal="100" workbookViewId="0">
      <selection activeCell="H150" sqref="H150"/>
    </sheetView>
  </sheetViews>
  <sheetFormatPr defaultRowHeight="15" x14ac:dyDescent="0.2"/>
  <cols>
    <col min="16" max="16" width="18.4296875" customWidth="1"/>
    <col min="19" max="23" width="9.14453125" style="286"/>
    <col min="24" max="24" width="12.375" bestFit="1" customWidth="1"/>
    <col min="43" max="43" width="10.625" customWidth="1"/>
  </cols>
  <sheetData>
    <row r="1" spans="1:45" x14ac:dyDescent="0.2">
      <c r="A1" s="32"/>
      <c r="B1" s="32"/>
      <c r="C1" s="32"/>
      <c r="D1" s="32"/>
      <c r="E1" s="32"/>
      <c r="F1" s="32"/>
      <c r="G1" s="32"/>
      <c r="H1" s="32"/>
      <c r="I1" s="32"/>
      <c r="J1" s="32"/>
      <c r="K1" s="32"/>
      <c r="L1" s="32"/>
      <c r="M1" s="32"/>
      <c r="N1" s="32"/>
      <c r="O1" s="32"/>
      <c r="P1" s="32"/>
      <c r="Q1" s="32"/>
      <c r="R1" s="32"/>
      <c r="S1" s="32"/>
      <c r="T1" s="32"/>
      <c r="U1" s="32"/>
      <c r="V1" s="32"/>
      <c r="W1" s="32"/>
      <c r="Y1" s="98"/>
      <c r="Z1" s="98"/>
      <c r="AA1" s="98"/>
      <c r="AB1" s="98"/>
      <c r="AC1" s="98"/>
      <c r="AD1" s="98"/>
      <c r="AE1" s="98"/>
      <c r="AF1" s="98"/>
      <c r="AG1" s="98"/>
      <c r="AH1" s="98"/>
      <c r="AI1" s="98"/>
      <c r="AJ1" s="98"/>
      <c r="AK1" s="98"/>
      <c r="AL1" s="98"/>
      <c r="AM1" s="98"/>
      <c r="AN1" s="98"/>
      <c r="AO1" s="98"/>
      <c r="AP1" s="98"/>
      <c r="AQ1" s="98"/>
      <c r="AR1" s="98"/>
      <c r="AS1" s="98"/>
    </row>
    <row r="2" spans="1:45" ht="15.75" thickBot="1" x14ac:dyDescent="0.25">
      <c r="A2" s="32"/>
      <c r="B2" s="32"/>
      <c r="C2" s="32"/>
      <c r="D2" s="32"/>
      <c r="E2" s="32"/>
      <c r="F2" s="32"/>
      <c r="G2" s="32"/>
      <c r="H2" s="32"/>
      <c r="I2" s="32"/>
      <c r="J2" s="32"/>
      <c r="K2" s="32"/>
      <c r="L2" s="32"/>
      <c r="M2" s="32"/>
      <c r="N2" s="32"/>
      <c r="O2" s="32"/>
      <c r="P2" s="32"/>
      <c r="Q2" s="32"/>
      <c r="R2" s="32"/>
      <c r="S2" s="32"/>
      <c r="T2" s="32"/>
      <c r="U2" s="32"/>
      <c r="V2" s="32"/>
      <c r="W2" s="32"/>
      <c r="Y2" s="98"/>
      <c r="Z2" s="98"/>
      <c r="AA2" s="98"/>
      <c r="AB2" s="98"/>
      <c r="AC2" s="98"/>
      <c r="AD2" s="98"/>
      <c r="AE2" s="98"/>
      <c r="AF2" s="98"/>
      <c r="AG2" s="98"/>
      <c r="AH2" s="98"/>
      <c r="AI2" s="98"/>
      <c r="AJ2" s="98"/>
      <c r="AK2" s="98"/>
      <c r="AL2" s="98"/>
      <c r="AM2" s="98"/>
      <c r="AN2" s="98"/>
      <c r="AO2" s="98"/>
      <c r="AP2" s="98"/>
      <c r="AQ2" s="98"/>
      <c r="AR2" s="98"/>
      <c r="AS2" s="98"/>
    </row>
    <row r="3" spans="1:45" ht="15.75" thickBot="1" x14ac:dyDescent="0.25">
      <c r="A3" s="32"/>
      <c r="B3" s="32"/>
      <c r="C3" s="32"/>
      <c r="D3" s="32"/>
      <c r="E3" s="32"/>
      <c r="F3" s="32"/>
      <c r="G3" s="32"/>
      <c r="H3" s="32"/>
      <c r="I3" s="32"/>
      <c r="J3" s="32"/>
      <c r="K3" s="32"/>
      <c r="L3" s="32"/>
      <c r="M3" s="32"/>
      <c r="N3" s="32"/>
      <c r="O3" s="32"/>
      <c r="P3" s="32"/>
      <c r="Q3" s="32"/>
      <c r="R3" s="32"/>
      <c r="S3" s="32"/>
      <c r="T3" s="32"/>
      <c r="U3" s="32"/>
      <c r="V3" s="32"/>
      <c r="W3" s="32"/>
      <c r="Y3" s="98"/>
      <c r="Z3" s="98"/>
      <c r="AA3" s="98"/>
      <c r="AB3" s="98"/>
      <c r="AC3" s="98"/>
      <c r="AD3" s="98"/>
      <c r="AE3" s="98"/>
      <c r="AF3" s="98"/>
      <c r="AG3" s="98"/>
      <c r="AH3" s="98"/>
      <c r="AI3" s="98"/>
      <c r="AJ3" s="98"/>
      <c r="AK3" s="98"/>
      <c r="AL3" s="98"/>
      <c r="AM3" s="98"/>
      <c r="AN3" s="98"/>
      <c r="AO3" s="98"/>
      <c r="AP3" s="98"/>
      <c r="AQ3" s="99" t="s">
        <v>234</v>
      </c>
      <c r="AR3" s="98"/>
      <c r="AS3" s="98"/>
    </row>
    <row r="4" spans="1:45" ht="15.75" thickBot="1" x14ac:dyDescent="0.25">
      <c r="A4" s="32"/>
      <c r="B4" s="32"/>
      <c r="C4" s="32"/>
      <c r="D4" s="32"/>
      <c r="E4" s="32"/>
      <c r="F4" s="32"/>
      <c r="G4" s="32"/>
      <c r="H4" s="32"/>
      <c r="I4" s="32"/>
      <c r="J4" s="32"/>
      <c r="K4" s="32"/>
      <c r="L4" s="32"/>
      <c r="M4" s="32"/>
      <c r="N4" s="32"/>
      <c r="O4" s="32"/>
      <c r="P4" s="100" t="s">
        <v>235</v>
      </c>
      <c r="Q4" s="32"/>
      <c r="R4" s="32"/>
      <c r="S4" s="32"/>
      <c r="T4" s="32"/>
      <c r="U4" s="32"/>
      <c r="V4" s="32"/>
      <c r="W4" s="32"/>
      <c r="Y4" s="98"/>
      <c r="Z4" s="98"/>
      <c r="AA4" s="98"/>
      <c r="AB4" s="98"/>
      <c r="AC4" s="98"/>
      <c r="AD4" s="98"/>
      <c r="AE4" s="98"/>
      <c r="AF4" s="98"/>
      <c r="AG4" s="98"/>
      <c r="AH4" s="98"/>
      <c r="AI4" s="98"/>
      <c r="AJ4" s="98"/>
      <c r="AK4" s="98"/>
      <c r="AL4" s="98"/>
      <c r="AM4" s="98"/>
      <c r="AN4" s="98"/>
      <c r="AO4" s="98"/>
      <c r="AP4" s="98"/>
      <c r="AQ4" s="101" t="s">
        <v>141</v>
      </c>
      <c r="AR4" s="102" t="s">
        <v>163</v>
      </c>
      <c r="AS4" s="103" t="s">
        <v>157</v>
      </c>
    </row>
    <row r="5" spans="1:45" x14ac:dyDescent="0.2">
      <c r="A5" s="32"/>
      <c r="B5" s="32"/>
      <c r="C5" s="32"/>
      <c r="D5" s="32"/>
      <c r="E5" s="32"/>
      <c r="F5" s="32"/>
      <c r="G5" s="32"/>
      <c r="H5" s="32"/>
      <c r="I5" s="32"/>
      <c r="J5" s="32"/>
      <c r="K5" s="32"/>
      <c r="L5" s="32"/>
      <c r="M5" s="32"/>
      <c r="N5" s="32"/>
      <c r="O5" s="32"/>
      <c r="P5" s="439" t="s">
        <v>1190</v>
      </c>
      <c r="Q5" s="440" t="s">
        <v>163</v>
      </c>
      <c r="R5" s="441" t="s">
        <v>157</v>
      </c>
      <c r="S5" s="349"/>
      <c r="T5" s="349"/>
      <c r="U5" s="349"/>
      <c r="V5" s="349"/>
      <c r="W5" s="349"/>
      <c r="Y5" s="98"/>
      <c r="Z5" s="98"/>
      <c r="AA5" s="98"/>
      <c r="AB5" s="98"/>
      <c r="AC5" s="98"/>
      <c r="AD5" s="98"/>
      <c r="AE5" s="98"/>
      <c r="AF5" s="98"/>
      <c r="AG5" s="98"/>
      <c r="AH5" s="98"/>
      <c r="AI5" s="98"/>
      <c r="AJ5" s="98"/>
      <c r="AK5" s="98"/>
      <c r="AL5" s="98"/>
      <c r="AM5" s="98"/>
      <c r="AN5" s="98"/>
      <c r="AO5" s="98"/>
      <c r="AP5" s="98"/>
      <c r="AQ5" s="104" t="s">
        <v>236</v>
      </c>
      <c r="AR5" s="105">
        <v>30000</v>
      </c>
      <c r="AS5" s="106">
        <v>205</v>
      </c>
    </row>
    <row r="6" spans="1:45" x14ac:dyDescent="0.2">
      <c r="A6" s="32"/>
      <c r="B6" s="32"/>
      <c r="C6" s="32"/>
      <c r="D6" s="32"/>
      <c r="E6" s="32"/>
      <c r="F6" s="32"/>
      <c r="G6" s="32"/>
      <c r="H6" s="32"/>
      <c r="I6" s="32"/>
      <c r="J6" s="32"/>
      <c r="K6" s="32"/>
      <c r="L6" s="32"/>
      <c r="M6" s="32"/>
      <c r="N6" s="32"/>
      <c r="O6" s="32"/>
      <c r="P6" s="437" t="s">
        <v>237</v>
      </c>
      <c r="Q6" s="107">
        <v>30000</v>
      </c>
      <c r="R6" s="438">
        <f>Q6/145.0377</f>
        <v>206.84277260326107</v>
      </c>
      <c r="S6" s="350"/>
      <c r="T6" s="350"/>
      <c r="U6" s="350"/>
      <c r="V6" s="350"/>
      <c r="W6" s="350"/>
      <c r="Y6" s="98"/>
      <c r="Z6" s="98"/>
      <c r="AA6" s="98"/>
      <c r="AB6" s="98"/>
      <c r="AC6" s="98"/>
      <c r="AD6" s="98"/>
      <c r="AE6" s="98"/>
      <c r="AF6" s="98"/>
      <c r="AG6" s="98"/>
      <c r="AH6" s="98"/>
      <c r="AI6" s="98"/>
      <c r="AJ6" s="98"/>
      <c r="AK6" s="98"/>
      <c r="AL6" s="98"/>
      <c r="AM6" s="98"/>
      <c r="AN6" s="98"/>
      <c r="AO6" s="98"/>
      <c r="AP6" s="98"/>
      <c r="AQ6" s="104" t="s">
        <v>238</v>
      </c>
      <c r="AR6" s="105">
        <v>35000</v>
      </c>
      <c r="AS6" s="106">
        <v>250</v>
      </c>
    </row>
    <row r="7" spans="1:45" ht="15.75" thickBot="1" x14ac:dyDescent="0.25">
      <c r="A7" s="32"/>
      <c r="B7" s="32"/>
      <c r="C7" s="32"/>
      <c r="D7" s="32"/>
      <c r="E7" s="32"/>
      <c r="F7" s="32"/>
      <c r="G7" s="32"/>
      <c r="H7" s="32"/>
      <c r="I7" s="32"/>
      <c r="J7" s="32"/>
      <c r="K7" s="32"/>
      <c r="L7" s="32"/>
      <c r="M7" s="32"/>
      <c r="N7" s="32"/>
      <c r="O7" s="32"/>
      <c r="P7" s="437" t="s">
        <v>239</v>
      </c>
      <c r="Q7" s="107">
        <v>35000</v>
      </c>
      <c r="R7" s="438">
        <f>Q7/145.0377</f>
        <v>241.31656803713793</v>
      </c>
      <c r="S7" s="350"/>
      <c r="T7" s="350"/>
      <c r="U7" s="350"/>
      <c r="V7" s="350"/>
      <c r="W7" s="350"/>
      <c r="Y7" s="98"/>
      <c r="Z7" s="98"/>
      <c r="AA7" s="98"/>
      <c r="AB7" s="98"/>
      <c r="AC7" s="98"/>
      <c r="AD7" s="98"/>
      <c r="AE7" s="98"/>
      <c r="AF7" s="98"/>
      <c r="AG7" s="98"/>
      <c r="AH7" s="98"/>
      <c r="AI7" s="98"/>
      <c r="AJ7" s="98"/>
      <c r="AK7" s="98"/>
      <c r="AL7" s="98"/>
      <c r="AM7" s="98"/>
      <c r="AN7" s="98"/>
      <c r="AO7" s="98"/>
      <c r="AP7" s="98"/>
      <c r="AQ7" s="108" t="s">
        <v>240</v>
      </c>
      <c r="AR7" s="109">
        <v>40000</v>
      </c>
      <c r="AS7" s="110">
        <v>275</v>
      </c>
    </row>
    <row r="8" spans="1:45" x14ac:dyDescent="0.2">
      <c r="A8" s="32"/>
      <c r="B8" s="32"/>
      <c r="C8" s="32"/>
      <c r="D8" s="32"/>
      <c r="E8" s="32"/>
      <c r="F8" s="32"/>
      <c r="G8" s="32"/>
      <c r="H8" s="32"/>
      <c r="I8" s="32"/>
      <c r="J8" s="32"/>
      <c r="K8" s="32"/>
      <c r="L8" s="32"/>
      <c r="M8" s="32"/>
      <c r="N8" s="32"/>
      <c r="O8" s="32"/>
      <c r="P8" s="437" t="s">
        <v>241</v>
      </c>
      <c r="Q8" s="107">
        <v>35000</v>
      </c>
      <c r="R8" s="438">
        <f t="shared" ref="R8:R15" si="0">Q8/145.0377</f>
        <v>241.31656803713793</v>
      </c>
      <c r="S8" s="350"/>
      <c r="T8" s="350"/>
      <c r="U8" s="350"/>
      <c r="V8" s="350"/>
      <c r="W8" s="350"/>
      <c r="Y8" s="98"/>
      <c r="Z8" s="98"/>
      <c r="AA8" s="98"/>
      <c r="AB8" s="98"/>
      <c r="AC8" s="98"/>
      <c r="AD8" s="98"/>
      <c r="AE8" s="98"/>
      <c r="AF8" s="98"/>
      <c r="AG8" s="98"/>
      <c r="AH8" s="98"/>
      <c r="AI8" s="98"/>
      <c r="AJ8" s="98"/>
      <c r="AK8" s="98"/>
      <c r="AL8" s="98"/>
      <c r="AM8" s="98"/>
      <c r="AN8" s="98"/>
      <c r="AO8" s="98"/>
      <c r="AP8" s="98"/>
      <c r="AQ8" s="98"/>
      <c r="AR8" s="98"/>
      <c r="AS8" s="98"/>
    </row>
    <row r="9" spans="1:45" x14ac:dyDescent="0.2">
      <c r="A9" s="32"/>
      <c r="B9" s="32"/>
      <c r="C9" s="32"/>
      <c r="D9" s="32"/>
      <c r="E9" s="32"/>
      <c r="F9" s="32"/>
      <c r="G9" s="32"/>
      <c r="H9" s="32"/>
      <c r="I9" s="32"/>
      <c r="J9" s="32"/>
      <c r="K9" s="32"/>
      <c r="L9" s="32"/>
      <c r="M9" s="32"/>
      <c r="N9" s="32"/>
      <c r="O9" s="32"/>
      <c r="P9" s="437" t="s">
        <v>242</v>
      </c>
      <c r="Q9" s="107">
        <v>40000</v>
      </c>
      <c r="R9" s="438">
        <f t="shared" si="0"/>
        <v>275.79036347101476</v>
      </c>
      <c r="S9" s="350"/>
      <c r="T9" s="350"/>
      <c r="U9" s="350"/>
      <c r="V9" s="350"/>
      <c r="W9" s="350"/>
      <c r="Y9" s="98"/>
      <c r="Z9" s="98"/>
      <c r="AA9" s="98"/>
      <c r="AB9" s="98"/>
      <c r="AC9" s="98"/>
      <c r="AD9" s="98"/>
      <c r="AE9" s="98"/>
      <c r="AF9" s="98"/>
      <c r="AG9" s="98"/>
      <c r="AH9" s="98"/>
      <c r="AI9" s="98"/>
      <c r="AJ9" s="98"/>
      <c r="AK9" s="98"/>
      <c r="AL9" s="98"/>
      <c r="AM9" s="98"/>
      <c r="AN9" s="98"/>
      <c r="AO9" s="98"/>
      <c r="AP9" s="98"/>
      <c r="AQ9" s="98"/>
      <c r="AR9" s="98"/>
      <c r="AS9" s="98"/>
    </row>
    <row r="10" spans="1:45" x14ac:dyDescent="0.2">
      <c r="A10" s="32"/>
      <c r="B10" s="32"/>
      <c r="C10" s="32"/>
      <c r="D10" s="32"/>
      <c r="E10" s="32"/>
      <c r="F10" s="32"/>
      <c r="G10" s="32"/>
      <c r="H10" s="32"/>
      <c r="I10" s="32"/>
      <c r="J10" s="32"/>
      <c r="K10" s="32"/>
      <c r="L10" s="32"/>
      <c r="M10" s="32"/>
      <c r="N10" s="32"/>
      <c r="O10" s="32"/>
      <c r="P10" s="437" t="s">
        <v>243</v>
      </c>
      <c r="Q10" s="107">
        <v>40000</v>
      </c>
      <c r="R10" s="438">
        <f t="shared" si="0"/>
        <v>275.79036347101476</v>
      </c>
      <c r="S10" s="350"/>
      <c r="T10" s="350"/>
      <c r="U10" s="350"/>
      <c r="V10" s="350"/>
      <c r="W10" s="350"/>
      <c r="Y10" s="98"/>
      <c r="Z10" s="98"/>
      <c r="AA10" s="98"/>
      <c r="AB10" s="98"/>
      <c r="AC10" s="98"/>
      <c r="AD10" s="98"/>
      <c r="AE10" s="98"/>
      <c r="AF10" s="98"/>
      <c r="AG10" s="98"/>
      <c r="AH10" s="98"/>
      <c r="AI10" s="98"/>
      <c r="AJ10" s="98"/>
      <c r="AK10" s="98"/>
      <c r="AL10" s="98"/>
      <c r="AM10" s="98"/>
      <c r="AN10" s="98"/>
      <c r="AO10" s="98"/>
      <c r="AP10" s="98"/>
      <c r="AQ10" s="98"/>
      <c r="AR10" s="98"/>
      <c r="AS10" s="98"/>
    </row>
    <row r="11" spans="1:45" x14ac:dyDescent="0.2">
      <c r="A11" s="32"/>
      <c r="B11" s="32"/>
      <c r="C11" s="32"/>
      <c r="D11" s="32"/>
      <c r="E11" s="32"/>
      <c r="F11" s="32"/>
      <c r="G11" s="32"/>
      <c r="H11" s="32"/>
      <c r="I11" s="32"/>
      <c r="J11" s="32"/>
      <c r="K11" s="32"/>
      <c r="L11" s="32"/>
      <c r="M11" s="32"/>
      <c r="N11" s="32"/>
      <c r="O11" s="32"/>
      <c r="P11" s="437" t="s">
        <v>244</v>
      </c>
      <c r="Q11" s="107">
        <v>80000</v>
      </c>
      <c r="R11" s="438">
        <f t="shared" si="0"/>
        <v>551.58072694202951</v>
      </c>
      <c r="S11" s="350"/>
      <c r="T11" s="350"/>
      <c r="U11" s="350"/>
      <c r="V11" s="350"/>
      <c r="W11" s="350"/>
      <c r="Y11" s="98"/>
      <c r="Z11" s="98"/>
      <c r="AA11" s="98"/>
      <c r="AB11" s="98"/>
      <c r="AC11" s="98"/>
      <c r="AD11" s="98"/>
      <c r="AE11" s="98"/>
      <c r="AF11" s="98"/>
      <c r="AG11" s="98"/>
      <c r="AH11" s="98"/>
      <c r="AI11" s="98"/>
      <c r="AJ11" s="98"/>
      <c r="AK11" s="98"/>
      <c r="AL11" s="98"/>
      <c r="AM11" s="98"/>
      <c r="AN11" s="98"/>
      <c r="AO11" s="98"/>
      <c r="AP11" s="98"/>
      <c r="AQ11" s="98"/>
      <c r="AR11" s="98"/>
      <c r="AS11" s="98"/>
    </row>
    <row r="12" spans="1:45" x14ac:dyDescent="0.2">
      <c r="A12" s="32"/>
      <c r="B12" s="32"/>
      <c r="C12" s="32"/>
      <c r="D12" s="32"/>
      <c r="E12" s="32"/>
      <c r="F12" s="32"/>
      <c r="G12" s="32"/>
      <c r="H12" s="32"/>
      <c r="I12" s="32"/>
      <c r="J12" s="32"/>
      <c r="K12" s="32"/>
      <c r="L12" s="32"/>
      <c r="M12" s="32"/>
      <c r="N12" s="32"/>
      <c r="O12" s="32"/>
      <c r="P12" s="437" t="s">
        <v>245</v>
      </c>
      <c r="Q12" s="107">
        <v>40000</v>
      </c>
      <c r="R12" s="438">
        <f t="shared" si="0"/>
        <v>275.79036347101476</v>
      </c>
      <c r="S12" s="350"/>
      <c r="T12" s="350"/>
      <c r="U12" s="350"/>
      <c r="V12" s="350"/>
      <c r="W12" s="350"/>
      <c r="Y12" s="98"/>
      <c r="Z12" s="98"/>
      <c r="AA12" s="98"/>
      <c r="AB12" s="98"/>
      <c r="AC12" s="98"/>
      <c r="AD12" s="98"/>
      <c r="AE12" s="98"/>
      <c r="AF12" s="98"/>
      <c r="AG12" s="98"/>
      <c r="AH12" s="98"/>
      <c r="AI12" s="98"/>
      <c r="AJ12" s="98"/>
      <c r="AK12" s="98"/>
      <c r="AL12" s="98"/>
      <c r="AM12" s="98"/>
      <c r="AN12" s="98"/>
      <c r="AO12" s="98"/>
      <c r="AP12" s="98"/>
      <c r="AQ12" s="98"/>
      <c r="AR12" s="98"/>
      <c r="AS12" s="98"/>
    </row>
    <row r="13" spans="1:45" x14ac:dyDescent="0.2">
      <c r="A13" s="32"/>
      <c r="B13" s="32"/>
      <c r="C13" s="32"/>
      <c r="D13" s="32"/>
      <c r="E13" s="32"/>
      <c r="F13" s="32"/>
      <c r="G13" s="32"/>
      <c r="H13" s="32"/>
      <c r="I13" s="32"/>
      <c r="J13" s="32"/>
      <c r="K13" s="32"/>
      <c r="L13" s="32"/>
      <c r="M13" s="32"/>
      <c r="N13" s="32"/>
      <c r="O13" s="32"/>
      <c r="P13" s="437" t="s">
        <v>246</v>
      </c>
      <c r="Q13" s="107">
        <v>40000</v>
      </c>
      <c r="R13" s="438">
        <f t="shared" si="0"/>
        <v>275.79036347101476</v>
      </c>
      <c r="S13" s="350"/>
      <c r="T13" s="350"/>
      <c r="U13" s="350"/>
      <c r="V13" s="350"/>
      <c r="W13" s="350"/>
      <c r="Y13" s="98"/>
      <c r="Z13" s="98"/>
      <c r="AA13" s="98"/>
      <c r="AB13" s="98"/>
      <c r="AC13" s="98"/>
      <c r="AD13" s="98"/>
      <c r="AE13" s="98"/>
      <c r="AF13" s="98"/>
      <c r="AG13" s="98"/>
      <c r="AH13" s="98"/>
      <c r="AI13" s="98"/>
      <c r="AJ13" s="98"/>
      <c r="AK13" s="98"/>
      <c r="AL13" s="98"/>
      <c r="AM13" s="98"/>
      <c r="AN13" s="98"/>
      <c r="AO13" s="98"/>
      <c r="AP13" s="98"/>
      <c r="AQ13" s="98"/>
      <c r="AR13" s="98"/>
      <c r="AS13" s="98"/>
    </row>
    <row r="14" spans="1:45" x14ac:dyDescent="0.2">
      <c r="A14" s="32"/>
      <c r="B14" s="32"/>
      <c r="C14" s="32"/>
      <c r="D14" s="32"/>
      <c r="E14" s="32"/>
      <c r="F14" s="32"/>
      <c r="G14" s="32"/>
      <c r="H14" s="32"/>
      <c r="I14" s="32"/>
      <c r="J14" s="32"/>
      <c r="K14" s="32"/>
      <c r="L14" s="32"/>
      <c r="M14" s="32"/>
      <c r="N14" s="32"/>
      <c r="O14" s="32"/>
      <c r="P14" s="437" t="s">
        <v>247</v>
      </c>
      <c r="Q14" s="107">
        <v>75000</v>
      </c>
      <c r="R14" s="438">
        <f t="shared" si="0"/>
        <v>517.10693150815268</v>
      </c>
      <c r="S14" s="350"/>
      <c r="T14" s="350"/>
      <c r="U14" s="350"/>
      <c r="V14" s="350"/>
      <c r="W14" s="350"/>
      <c r="Y14" s="98"/>
      <c r="Z14" s="98"/>
      <c r="AA14" s="98"/>
      <c r="AB14" s="98"/>
      <c r="AC14" s="98"/>
      <c r="AD14" s="98"/>
      <c r="AE14" s="98"/>
      <c r="AF14" s="98"/>
      <c r="AG14" s="98"/>
      <c r="AH14" s="98"/>
      <c r="AI14" s="98"/>
      <c r="AJ14" s="98"/>
      <c r="AK14" s="98"/>
      <c r="AL14" s="98"/>
      <c r="AM14" s="98"/>
      <c r="AN14" s="98"/>
      <c r="AO14" s="98"/>
      <c r="AP14" s="98"/>
      <c r="AQ14" s="98"/>
      <c r="AR14" s="98"/>
      <c r="AS14" s="98"/>
    </row>
    <row r="15" spans="1:45" x14ac:dyDescent="0.2">
      <c r="A15" s="32"/>
      <c r="B15" s="32"/>
      <c r="C15" s="32"/>
      <c r="D15" s="32"/>
      <c r="E15" s="32"/>
      <c r="F15" s="32"/>
      <c r="G15" s="32"/>
      <c r="H15" s="32"/>
      <c r="I15" s="32"/>
      <c r="J15" s="32"/>
      <c r="K15" s="32"/>
      <c r="L15" s="32"/>
      <c r="M15" s="32"/>
      <c r="N15" s="32"/>
      <c r="O15" s="32"/>
      <c r="P15" s="442" t="s">
        <v>248</v>
      </c>
      <c r="Q15" s="443">
        <v>80000</v>
      </c>
      <c r="R15" s="444">
        <f t="shared" si="0"/>
        <v>551.58072694202951</v>
      </c>
      <c r="S15" s="350"/>
      <c r="T15" s="350"/>
      <c r="U15" s="350"/>
      <c r="V15" s="350"/>
      <c r="W15" s="350"/>
      <c r="Y15" s="98"/>
      <c r="Z15" s="98"/>
      <c r="AA15" s="98"/>
      <c r="AB15" s="98"/>
      <c r="AC15" s="98"/>
      <c r="AD15" s="98"/>
      <c r="AE15" s="98"/>
      <c r="AF15" s="98"/>
      <c r="AG15" s="98"/>
      <c r="AH15" s="98"/>
      <c r="AI15" s="98"/>
      <c r="AJ15" s="98"/>
      <c r="AK15" s="98"/>
      <c r="AL15" s="98"/>
      <c r="AM15" s="98"/>
      <c r="AN15" s="98"/>
      <c r="AO15" s="98"/>
      <c r="AP15" s="98"/>
      <c r="AQ15" s="98"/>
      <c r="AR15" s="98"/>
      <c r="AS15" s="98"/>
    </row>
    <row r="16" spans="1:45" x14ac:dyDescent="0.2">
      <c r="A16" s="32"/>
      <c r="B16" s="32"/>
      <c r="C16" s="32"/>
      <c r="D16" s="32"/>
      <c r="E16" s="32"/>
      <c r="F16" s="32"/>
      <c r="G16" s="32"/>
      <c r="H16" s="32"/>
      <c r="I16" s="32"/>
      <c r="J16" s="32"/>
      <c r="K16" s="32"/>
      <c r="L16" s="32"/>
      <c r="M16" s="32"/>
      <c r="N16" s="32"/>
      <c r="O16" s="32"/>
      <c r="P16" s="32"/>
      <c r="Q16" s="32"/>
      <c r="R16" s="32"/>
      <c r="S16" s="32"/>
      <c r="T16" s="32"/>
      <c r="U16" s="32"/>
      <c r="V16" s="32"/>
      <c r="W16" s="32"/>
      <c r="Y16" s="98"/>
      <c r="Z16" s="98"/>
      <c r="AA16" s="98"/>
      <c r="AB16" s="98"/>
      <c r="AC16" s="98"/>
      <c r="AD16" s="98"/>
      <c r="AE16" s="98"/>
      <c r="AF16" s="98"/>
      <c r="AG16" s="98"/>
      <c r="AH16" s="98"/>
      <c r="AI16" s="98"/>
      <c r="AJ16" s="98"/>
      <c r="AK16" s="98"/>
      <c r="AL16" s="98"/>
      <c r="AM16" s="98"/>
      <c r="AN16" s="98"/>
      <c r="AO16" s="98"/>
      <c r="AP16" s="98"/>
      <c r="AQ16" s="98"/>
      <c r="AR16" s="98"/>
      <c r="AS16" s="98"/>
    </row>
    <row r="17" spans="1:45" x14ac:dyDescent="0.2">
      <c r="A17" s="32"/>
      <c r="B17" s="32"/>
      <c r="C17" s="32"/>
      <c r="D17" s="32"/>
      <c r="E17" s="32"/>
      <c r="F17" s="32"/>
      <c r="G17" s="32"/>
      <c r="H17" s="32"/>
      <c r="I17" s="32"/>
      <c r="J17" s="32"/>
      <c r="K17" s="32"/>
      <c r="L17" s="32"/>
      <c r="M17" s="32"/>
      <c r="N17" s="32"/>
      <c r="O17" s="32"/>
      <c r="P17" s="32"/>
      <c r="Q17" s="32"/>
      <c r="R17" s="32"/>
      <c r="S17" s="32"/>
      <c r="T17" s="32"/>
      <c r="U17" s="32"/>
      <c r="V17" s="32"/>
      <c r="W17" s="32"/>
      <c r="Y17" s="98"/>
      <c r="Z17" s="98"/>
      <c r="AA17" s="98"/>
      <c r="AB17" s="98"/>
      <c r="AC17" s="98"/>
      <c r="AD17" s="98"/>
      <c r="AE17" s="98"/>
      <c r="AF17" s="98"/>
      <c r="AG17" s="98"/>
      <c r="AH17" s="98"/>
      <c r="AI17" s="98"/>
      <c r="AJ17" s="98"/>
      <c r="AK17" s="98"/>
      <c r="AL17" s="98"/>
      <c r="AM17" s="98"/>
      <c r="AN17" s="98"/>
      <c r="AO17" s="98"/>
      <c r="AP17" s="98"/>
      <c r="AQ17" s="98"/>
      <c r="AR17" s="98"/>
      <c r="AS17" s="98"/>
    </row>
    <row r="18" spans="1:45" x14ac:dyDescent="0.2">
      <c r="A18" s="32"/>
      <c r="B18" s="32"/>
      <c r="C18" s="32"/>
      <c r="D18" s="32"/>
      <c r="E18" s="32"/>
      <c r="F18" s="32"/>
      <c r="G18" s="32"/>
      <c r="H18" s="32"/>
      <c r="I18" s="32"/>
      <c r="J18" s="32"/>
      <c r="K18" s="32"/>
      <c r="L18" s="32"/>
      <c r="M18" s="32"/>
      <c r="N18" s="32"/>
      <c r="O18" s="32"/>
      <c r="P18" s="32"/>
      <c r="Q18" s="32"/>
      <c r="R18" s="32"/>
      <c r="S18" s="32"/>
      <c r="T18" s="32"/>
      <c r="U18" s="32"/>
      <c r="V18" s="32"/>
      <c r="W18" s="32"/>
      <c r="Y18" s="98"/>
      <c r="Z18" s="98"/>
      <c r="AA18" s="98"/>
      <c r="AB18" s="98"/>
      <c r="AC18" s="98"/>
      <c r="AD18" s="98"/>
      <c r="AE18" s="98"/>
      <c r="AF18" s="98"/>
      <c r="AG18" s="98"/>
      <c r="AH18" s="98"/>
      <c r="AI18" s="98"/>
      <c r="AJ18" s="98"/>
      <c r="AK18" s="98"/>
      <c r="AL18" s="98"/>
      <c r="AM18" s="98"/>
      <c r="AN18" s="98"/>
      <c r="AO18" s="98"/>
      <c r="AP18" s="98"/>
      <c r="AQ18" s="98"/>
      <c r="AR18" s="98"/>
      <c r="AS18" s="98"/>
    </row>
    <row r="19" spans="1:45" x14ac:dyDescent="0.2">
      <c r="A19" s="32"/>
      <c r="B19" s="32"/>
      <c r="C19" s="32"/>
      <c r="D19" s="32"/>
      <c r="E19" s="32"/>
      <c r="F19" s="32"/>
      <c r="G19" s="32"/>
      <c r="H19" s="32"/>
      <c r="I19" s="32"/>
      <c r="J19" s="32"/>
      <c r="K19" s="32"/>
      <c r="L19" s="32"/>
      <c r="M19" s="32"/>
      <c r="N19" s="32"/>
      <c r="O19" s="32"/>
      <c r="P19" s="32"/>
      <c r="Q19" s="32"/>
      <c r="R19" s="32"/>
      <c r="S19" s="32"/>
      <c r="T19" s="32"/>
      <c r="U19" s="32"/>
      <c r="V19" s="32"/>
      <c r="W19" s="32"/>
      <c r="Y19" s="98"/>
      <c r="Z19" s="98"/>
      <c r="AA19" s="98"/>
      <c r="AB19" s="98"/>
      <c r="AC19" s="98"/>
      <c r="AD19" s="98"/>
      <c r="AE19" s="98"/>
      <c r="AF19" s="98"/>
      <c r="AG19" s="98"/>
      <c r="AH19" s="98"/>
      <c r="AI19" s="98"/>
      <c r="AJ19" s="98"/>
      <c r="AK19" s="98"/>
      <c r="AL19" s="98"/>
      <c r="AM19" s="98"/>
      <c r="AN19" s="98"/>
      <c r="AO19" s="98"/>
      <c r="AP19" s="98"/>
      <c r="AQ19" s="98"/>
      <c r="AR19" s="98"/>
      <c r="AS19" s="98"/>
    </row>
    <row r="20" spans="1:45" x14ac:dyDescent="0.2">
      <c r="A20" s="32"/>
      <c r="B20" s="32"/>
      <c r="C20" s="32"/>
      <c r="D20" s="32"/>
      <c r="E20" s="32"/>
      <c r="F20" s="32"/>
      <c r="G20" s="32"/>
      <c r="H20" s="32"/>
      <c r="I20" s="32"/>
      <c r="J20" s="32"/>
      <c r="K20" s="32"/>
      <c r="L20" s="32"/>
      <c r="M20" s="32"/>
      <c r="N20" s="32"/>
      <c r="O20" s="32"/>
      <c r="P20" s="32"/>
      <c r="Q20" s="32"/>
      <c r="R20" s="32"/>
      <c r="S20" s="32"/>
      <c r="T20" s="32"/>
      <c r="U20" s="32"/>
      <c r="V20" s="32"/>
      <c r="W20" s="32"/>
      <c r="Y20" s="98"/>
      <c r="Z20" s="98"/>
      <c r="AA20" s="98"/>
      <c r="AB20" s="98"/>
      <c r="AC20" s="98"/>
      <c r="AD20" s="98"/>
      <c r="AE20" s="98"/>
      <c r="AF20" s="98"/>
      <c r="AG20" s="98"/>
      <c r="AH20" s="98"/>
      <c r="AI20" s="98"/>
      <c r="AJ20" s="98"/>
      <c r="AK20" s="98"/>
      <c r="AL20" s="98"/>
      <c r="AM20" s="98"/>
      <c r="AN20" s="98"/>
      <c r="AO20" s="98"/>
      <c r="AP20" s="98"/>
      <c r="AQ20" s="98"/>
      <c r="AR20" s="98"/>
      <c r="AS20" s="98"/>
    </row>
    <row r="21" spans="1:45" x14ac:dyDescent="0.2">
      <c r="A21" s="32"/>
      <c r="B21" s="32"/>
      <c r="C21" s="32"/>
      <c r="D21" s="32"/>
      <c r="E21" s="32"/>
      <c r="F21" s="32"/>
      <c r="G21" s="32"/>
      <c r="H21" s="32"/>
      <c r="I21" s="32"/>
      <c r="J21" s="32"/>
      <c r="K21" s="32"/>
      <c r="L21" s="32"/>
      <c r="M21" s="32"/>
      <c r="N21" s="32"/>
      <c r="O21" s="32"/>
      <c r="P21" s="32"/>
      <c r="Q21" s="32"/>
      <c r="R21" s="32"/>
      <c r="S21" s="32"/>
      <c r="T21" s="32"/>
      <c r="U21" s="32"/>
      <c r="V21" s="32"/>
      <c r="W21" s="32"/>
      <c r="Y21" s="98"/>
      <c r="Z21" s="98"/>
      <c r="AA21" s="98"/>
      <c r="AB21" s="98"/>
      <c r="AC21" s="98"/>
      <c r="AD21" s="98"/>
      <c r="AE21" s="98"/>
      <c r="AF21" s="98"/>
      <c r="AG21" s="98"/>
      <c r="AH21" s="98"/>
      <c r="AI21" s="98"/>
      <c r="AJ21" s="98"/>
      <c r="AK21" s="98"/>
      <c r="AL21" s="98"/>
      <c r="AM21" s="98"/>
      <c r="AN21" s="98"/>
      <c r="AO21" s="98"/>
      <c r="AP21" s="98"/>
      <c r="AQ21" s="98"/>
      <c r="AR21" s="98"/>
      <c r="AS21" s="98"/>
    </row>
    <row r="22" spans="1:45" x14ac:dyDescent="0.2">
      <c r="A22" s="32"/>
      <c r="B22" s="32"/>
      <c r="C22" s="32"/>
      <c r="D22" s="32"/>
      <c r="E22" s="32"/>
      <c r="F22" s="32"/>
      <c r="G22" s="32"/>
      <c r="H22" s="32"/>
      <c r="I22" s="32"/>
      <c r="J22" s="32"/>
      <c r="K22" s="32"/>
      <c r="L22" s="32"/>
      <c r="M22" s="32"/>
      <c r="N22" s="32"/>
      <c r="O22" s="32"/>
      <c r="P22" s="32"/>
      <c r="Q22" s="32"/>
      <c r="R22" s="32"/>
      <c r="S22" s="32"/>
      <c r="T22" s="32"/>
      <c r="U22" s="32"/>
      <c r="V22" s="32"/>
      <c r="W22" s="32"/>
      <c r="Y22" s="98"/>
      <c r="Z22" s="98"/>
      <c r="AA22" s="98"/>
      <c r="AB22" s="98"/>
      <c r="AC22" s="98"/>
      <c r="AD22" s="98"/>
      <c r="AE22" s="98"/>
      <c r="AF22" s="98"/>
      <c r="AG22" s="98"/>
      <c r="AH22" s="98"/>
      <c r="AI22" s="98"/>
      <c r="AJ22" s="98"/>
      <c r="AK22" s="98"/>
      <c r="AL22" s="98"/>
      <c r="AM22" s="98"/>
      <c r="AN22" s="98"/>
      <c r="AO22" s="98"/>
      <c r="AP22" s="98"/>
      <c r="AQ22" s="98"/>
      <c r="AR22" s="98"/>
      <c r="AS22" s="98"/>
    </row>
    <row r="23" spans="1:45" x14ac:dyDescent="0.2">
      <c r="A23" s="32"/>
      <c r="B23" s="32"/>
      <c r="C23" s="32"/>
      <c r="D23" s="32"/>
      <c r="E23" s="32"/>
      <c r="F23" s="32"/>
      <c r="G23" s="32"/>
      <c r="H23" s="32"/>
      <c r="I23" s="32"/>
      <c r="J23" s="32"/>
      <c r="K23" s="32"/>
      <c r="L23" s="32"/>
      <c r="M23" s="32"/>
      <c r="N23" s="32"/>
      <c r="O23" s="32"/>
      <c r="P23" s="32"/>
      <c r="Q23" s="32"/>
      <c r="R23" s="32"/>
      <c r="S23" s="32"/>
      <c r="T23" s="32"/>
      <c r="U23" s="32"/>
      <c r="V23" s="32"/>
      <c r="W23" s="32"/>
      <c r="Y23" s="98"/>
      <c r="Z23" s="98"/>
      <c r="AA23" s="98"/>
      <c r="AB23" s="98"/>
      <c r="AC23" s="98"/>
      <c r="AD23" s="98"/>
      <c r="AE23" s="98"/>
      <c r="AF23" s="98"/>
      <c r="AG23" s="98"/>
      <c r="AH23" s="98"/>
      <c r="AI23" s="98"/>
      <c r="AJ23" s="98"/>
      <c r="AK23" s="98"/>
      <c r="AL23" s="98"/>
      <c r="AM23" s="98"/>
      <c r="AN23" s="98"/>
      <c r="AO23" s="98"/>
      <c r="AP23" s="98"/>
      <c r="AQ23" s="98"/>
      <c r="AR23" s="98"/>
      <c r="AS23" s="98"/>
    </row>
    <row r="24" spans="1:45" x14ac:dyDescent="0.2">
      <c r="A24" s="32"/>
      <c r="B24" s="32"/>
      <c r="C24" s="32"/>
      <c r="D24" s="32"/>
      <c r="E24" s="32"/>
      <c r="F24" s="32"/>
      <c r="G24" s="32"/>
      <c r="H24" s="32"/>
      <c r="I24" s="32"/>
      <c r="J24" s="32"/>
      <c r="K24" s="32"/>
      <c r="L24" s="32"/>
      <c r="M24" s="32"/>
      <c r="N24" s="32"/>
      <c r="O24" s="32"/>
      <c r="P24" s="32"/>
      <c r="Q24" s="32"/>
      <c r="R24" s="32"/>
      <c r="S24" s="32"/>
      <c r="T24" s="32"/>
      <c r="U24" s="32"/>
      <c r="V24" s="32"/>
      <c r="W24" s="32"/>
      <c r="Y24" s="98"/>
      <c r="Z24" s="98"/>
      <c r="AA24" s="98"/>
      <c r="AB24" s="98"/>
      <c r="AC24" s="98"/>
      <c r="AD24" s="98"/>
      <c r="AE24" s="98"/>
      <c r="AF24" s="98"/>
      <c r="AG24" s="98"/>
      <c r="AH24" s="98"/>
      <c r="AI24" s="98"/>
      <c r="AJ24" s="98"/>
      <c r="AK24" s="98"/>
      <c r="AL24" s="98"/>
      <c r="AM24" s="98"/>
      <c r="AN24" s="98"/>
      <c r="AO24" s="98"/>
      <c r="AP24" s="98"/>
      <c r="AQ24" s="98"/>
      <c r="AR24" s="98"/>
      <c r="AS24" s="98"/>
    </row>
    <row r="25" spans="1:45" x14ac:dyDescent="0.2">
      <c r="A25" s="32"/>
      <c r="B25" s="32"/>
      <c r="C25" s="32"/>
      <c r="D25" s="32"/>
      <c r="E25" s="32"/>
      <c r="F25" s="32"/>
      <c r="G25" s="32"/>
      <c r="H25" s="32"/>
      <c r="I25" s="32"/>
      <c r="J25" s="32"/>
      <c r="K25" s="32"/>
      <c r="L25" s="32"/>
      <c r="M25" s="32"/>
      <c r="N25" s="32"/>
      <c r="O25" s="32"/>
      <c r="P25" s="32"/>
      <c r="Q25" s="32"/>
      <c r="R25" s="32"/>
      <c r="S25" s="32"/>
      <c r="T25" s="32"/>
      <c r="U25" s="32"/>
      <c r="V25" s="32"/>
      <c r="W25" s="32"/>
      <c r="Y25" s="98"/>
      <c r="Z25" s="98"/>
      <c r="AA25" s="98"/>
      <c r="AB25" s="98"/>
      <c r="AC25" s="98"/>
      <c r="AD25" s="98"/>
      <c r="AE25" s="98"/>
      <c r="AF25" s="98"/>
      <c r="AG25" s="98"/>
      <c r="AH25" s="98"/>
      <c r="AI25" s="98"/>
      <c r="AJ25" s="98"/>
      <c r="AK25" s="98"/>
      <c r="AL25" s="98"/>
      <c r="AM25" s="98"/>
      <c r="AN25" s="98"/>
      <c r="AO25" s="98"/>
      <c r="AP25" s="98"/>
      <c r="AQ25" s="98"/>
      <c r="AR25" s="98"/>
      <c r="AS25" s="98"/>
    </row>
    <row r="26" spans="1:45" x14ac:dyDescent="0.2">
      <c r="A26" s="32"/>
      <c r="B26" s="32"/>
      <c r="C26" s="32"/>
      <c r="D26" s="32"/>
      <c r="E26" s="32"/>
      <c r="F26" s="32"/>
      <c r="G26" s="32"/>
      <c r="H26" s="32"/>
      <c r="I26" s="32"/>
      <c r="J26" s="32"/>
      <c r="K26" s="32"/>
      <c r="L26" s="32"/>
      <c r="M26" s="32"/>
      <c r="N26" s="32"/>
      <c r="O26" s="32"/>
      <c r="P26" s="32"/>
      <c r="Q26" s="32"/>
      <c r="R26" s="32"/>
      <c r="S26" s="32"/>
      <c r="T26" s="32"/>
      <c r="U26" s="32"/>
      <c r="V26" s="32"/>
      <c r="W26" s="32"/>
      <c r="Y26" s="98"/>
      <c r="Z26" s="98"/>
      <c r="AA26" s="98"/>
      <c r="AB26" s="98"/>
      <c r="AC26" s="98"/>
      <c r="AD26" s="98"/>
      <c r="AE26" s="98"/>
      <c r="AF26" s="98"/>
      <c r="AG26" s="98"/>
      <c r="AH26" s="98"/>
      <c r="AI26" s="98"/>
      <c r="AJ26" s="98"/>
      <c r="AK26" s="98"/>
      <c r="AL26" s="98"/>
      <c r="AM26" s="98"/>
      <c r="AN26" s="98"/>
      <c r="AO26" s="98"/>
      <c r="AP26" s="98"/>
      <c r="AQ26" s="98"/>
      <c r="AR26" s="98"/>
      <c r="AS26" s="98"/>
    </row>
    <row r="27" spans="1:45" x14ac:dyDescent="0.2">
      <c r="A27" s="32"/>
      <c r="B27" s="32"/>
      <c r="C27" s="32"/>
      <c r="D27" s="32"/>
      <c r="E27" s="32"/>
      <c r="F27" s="32"/>
      <c r="G27" s="32"/>
      <c r="H27" s="32"/>
      <c r="I27" s="32"/>
      <c r="J27" s="32"/>
      <c r="K27" s="32"/>
      <c r="L27" s="32"/>
      <c r="M27" s="32"/>
      <c r="N27" s="32"/>
      <c r="O27" s="32"/>
      <c r="P27" s="32"/>
      <c r="Q27" s="32"/>
      <c r="R27" s="32"/>
      <c r="S27" s="32"/>
      <c r="T27" s="32"/>
      <c r="U27" s="32"/>
      <c r="V27" s="32"/>
      <c r="W27" s="32"/>
      <c r="Y27" s="98"/>
      <c r="Z27" s="98"/>
      <c r="AA27" s="98"/>
      <c r="AB27" s="98"/>
      <c r="AC27" s="98"/>
      <c r="AD27" s="98"/>
      <c r="AE27" s="98"/>
      <c r="AF27" s="98"/>
      <c r="AG27" s="98"/>
      <c r="AH27" s="98"/>
      <c r="AI27" s="98"/>
      <c r="AJ27" s="98"/>
      <c r="AK27" s="98"/>
      <c r="AL27" s="98"/>
      <c r="AM27" s="98"/>
      <c r="AN27" s="98"/>
      <c r="AO27" s="98"/>
      <c r="AP27" s="98"/>
      <c r="AQ27" s="98"/>
      <c r="AR27" s="98"/>
      <c r="AS27" s="98"/>
    </row>
    <row r="28" spans="1:45" x14ac:dyDescent="0.2">
      <c r="A28" s="32"/>
      <c r="B28" s="32"/>
      <c r="C28" s="32"/>
      <c r="D28" s="32"/>
      <c r="E28" s="32"/>
      <c r="F28" s="32"/>
      <c r="G28" s="32"/>
      <c r="H28" s="32"/>
      <c r="I28" s="32"/>
      <c r="J28" s="32"/>
      <c r="K28" s="32"/>
      <c r="L28" s="32"/>
      <c r="M28" s="32"/>
      <c r="N28" s="32"/>
      <c r="O28" s="32"/>
      <c r="P28" s="32"/>
      <c r="Q28" s="32"/>
      <c r="R28" s="32"/>
      <c r="S28" s="32"/>
      <c r="T28" s="32"/>
      <c r="U28" s="32"/>
      <c r="V28" s="32"/>
      <c r="W28" s="32"/>
      <c r="Y28" s="98"/>
      <c r="Z28" s="98"/>
      <c r="AA28" s="98"/>
      <c r="AB28" s="98"/>
      <c r="AC28" s="98"/>
      <c r="AD28" s="98"/>
      <c r="AE28" s="98"/>
      <c r="AF28" s="98"/>
      <c r="AG28" s="98"/>
      <c r="AH28" s="98"/>
      <c r="AI28" s="98"/>
      <c r="AJ28" s="98"/>
      <c r="AK28" s="98"/>
      <c r="AL28" s="98"/>
      <c r="AM28" s="98"/>
      <c r="AN28" s="98"/>
      <c r="AO28" s="98"/>
      <c r="AP28" s="98"/>
      <c r="AQ28" s="98"/>
      <c r="AR28" s="98"/>
      <c r="AS28" s="98"/>
    </row>
    <row r="29" spans="1:45" x14ac:dyDescent="0.2">
      <c r="A29" s="32"/>
      <c r="B29" s="32"/>
      <c r="C29" s="32"/>
      <c r="D29" s="32"/>
      <c r="E29" s="32"/>
      <c r="F29" s="32"/>
      <c r="G29" s="32"/>
      <c r="H29" s="32"/>
      <c r="I29" s="32"/>
      <c r="J29" s="32"/>
      <c r="K29" s="32"/>
      <c r="L29" s="32"/>
      <c r="M29" s="32"/>
      <c r="N29" s="32"/>
      <c r="O29" s="32"/>
      <c r="P29" s="32"/>
      <c r="Q29" s="32"/>
      <c r="R29" s="32"/>
      <c r="S29" s="32"/>
      <c r="T29" s="32"/>
      <c r="U29" s="32"/>
      <c r="V29" s="32"/>
      <c r="W29" s="32"/>
      <c r="Y29" s="98"/>
      <c r="Z29" s="98"/>
      <c r="AA29" s="98"/>
      <c r="AB29" s="98"/>
      <c r="AC29" s="98"/>
      <c r="AD29" s="98"/>
      <c r="AE29" s="98"/>
      <c r="AF29" s="98"/>
      <c r="AG29" s="98"/>
      <c r="AH29" s="98"/>
      <c r="AI29" s="98"/>
      <c r="AJ29" s="98"/>
      <c r="AK29" s="98"/>
      <c r="AL29" s="98"/>
      <c r="AM29" s="98"/>
      <c r="AN29" s="98"/>
      <c r="AO29" s="98"/>
      <c r="AP29" s="98"/>
      <c r="AQ29" s="98"/>
      <c r="AR29" s="98"/>
      <c r="AS29" s="98"/>
    </row>
    <row r="30" spans="1:45" x14ac:dyDescent="0.2">
      <c r="A30" s="32"/>
      <c r="B30" s="32"/>
      <c r="C30" s="32"/>
      <c r="D30" s="32"/>
      <c r="E30" s="32"/>
      <c r="F30" s="32"/>
      <c r="G30" s="32"/>
      <c r="H30" s="32"/>
      <c r="I30" s="32"/>
      <c r="J30" s="32"/>
      <c r="K30" s="32"/>
      <c r="L30" s="32"/>
      <c r="M30" s="32"/>
      <c r="N30" s="32"/>
      <c r="O30" s="32"/>
      <c r="P30" s="32"/>
      <c r="Q30" s="32"/>
      <c r="R30" s="32"/>
      <c r="S30" s="32"/>
      <c r="T30" s="32"/>
      <c r="U30" s="32"/>
      <c r="V30" s="32"/>
      <c r="W30" s="32"/>
      <c r="Y30" s="98"/>
      <c r="Z30" s="98"/>
      <c r="AA30" s="98"/>
      <c r="AB30" s="98"/>
      <c r="AC30" s="98"/>
      <c r="AD30" s="98"/>
      <c r="AE30" s="98"/>
      <c r="AF30" s="98"/>
      <c r="AG30" s="98"/>
      <c r="AH30" s="98"/>
      <c r="AI30" s="98"/>
      <c r="AJ30" s="98"/>
      <c r="AK30" s="98"/>
      <c r="AL30" s="98"/>
      <c r="AM30" s="98"/>
      <c r="AN30" s="98"/>
      <c r="AO30" s="98"/>
      <c r="AP30" s="98"/>
      <c r="AQ30" s="98"/>
      <c r="AR30" s="98"/>
      <c r="AS30" s="98"/>
    </row>
    <row r="31" spans="1:45" x14ac:dyDescent="0.2">
      <c r="A31" s="32"/>
      <c r="B31" s="32"/>
      <c r="C31" s="32"/>
      <c r="D31" s="32"/>
      <c r="E31" s="32"/>
      <c r="F31" s="32"/>
      <c r="G31" s="32"/>
      <c r="H31" s="32"/>
      <c r="I31" s="32"/>
      <c r="J31" s="32"/>
      <c r="K31" s="32"/>
      <c r="L31" s="32"/>
      <c r="M31" s="32"/>
      <c r="N31" s="32"/>
      <c r="O31" s="32"/>
      <c r="P31" s="32"/>
      <c r="Q31" s="32"/>
      <c r="R31" s="32"/>
      <c r="S31" s="32"/>
      <c r="T31" s="32"/>
      <c r="U31" s="32"/>
      <c r="V31" s="32"/>
      <c r="W31" s="32"/>
      <c r="Y31" s="98"/>
      <c r="Z31" s="98"/>
      <c r="AA31" s="98"/>
      <c r="AB31" s="98"/>
      <c r="AC31" s="98"/>
      <c r="AD31" s="98"/>
      <c r="AE31" s="98"/>
      <c r="AF31" s="98"/>
      <c r="AG31" s="98"/>
      <c r="AH31" s="98"/>
      <c r="AI31" s="98"/>
      <c r="AJ31" s="98"/>
      <c r="AK31" s="98"/>
      <c r="AL31" s="98"/>
      <c r="AM31" s="98"/>
      <c r="AN31" s="98"/>
      <c r="AO31" s="98"/>
      <c r="AP31" s="98"/>
      <c r="AQ31" s="98"/>
      <c r="AR31" s="98"/>
      <c r="AS31" s="98"/>
    </row>
    <row r="32" spans="1:45" x14ac:dyDescent="0.2">
      <c r="A32" s="32"/>
      <c r="B32" s="32"/>
      <c r="C32" s="32"/>
      <c r="D32" s="32"/>
      <c r="E32" s="32"/>
      <c r="F32" s="32"/>
      <c r="G32" s="32"/>
      <c r="H32" s="32"/>
      <c r="I32" s="32"/>
      <c r="J32" s="32"/>
      <c r="K32" s="32"/>
      <c r="L32" s="32"/>
      <c r="M32" s="32"/>
      <c r="N32" s="32"/>
      <c r="O32" s="32"/>
      <c r="P32" s="32"/>
      <c r="Q32" s="32"/>
      <c r="R32" s="32"/>
      <c r="S32" s="32"/>
      <c r="T32" s="32"/>
      <c r="U32" s="32"/>
      <c r="V32" s="32"/>
      <c r="W32" s="32"/>
      <c r="Y32" s="98"/>
      <c r="Z32" s="98"/>
      <c r="AA32" s="98"/>
      <c r="AB32" s="98"/>
      <c r="AC32" s="98"/>
      <c r="AD32" s="98"/>
      <c r="AE32" s="98"/>
      <c r="AF32" s="98"/>
      <c r="AG32" s="98"/>
      <c r="AH32" s="98"/>
      <c r="AI32" s="98"/>
      <c r="AJ32" s="98"/>
      <c r="AK32" s="98"/>
      <c r="AL32" s="98"/>
      <c r="AM32" s="98"/>
      <c r="AN32" s="98"/>
      <c r="AO32" s="98"/>
      <c r="AP32" s="98"/>
      <c r="AQ32" s="98"/>
      <c r="AR32" s="98"/>
      <c r="AS32" s="98"/>
    </row>
    <row r="33" spans="1:45" x14ac:dyDescent="0.2">
      <c r="A33" s="32"/>
      <c r="B33" s="32"/>
      <c r="C33" s="32"/>
      <c r="D33" s="32"/>
      <c r="E33" s="32"/>
      <c r="F33" s="32"/>
      <c r="G33" s="32"/>
      <c r="H33" s="32"/>
      <c r="I33" s="32"/>
      <c r="J33" s="32"/>
      <c r="K33" s="32"/>
      <c r="L33" s="32"/>
      <c r="M33" s="32"/>
      <c r="N33" s="32"/>
      <c r="O33" s="32"/>
      <c r="P33" s="32"/>
      <c r="Q33" s="32"/>
      <c r="R33" s="32"/>
      <c r="S33" s="32"/>
      <c r="T33" s="32"/>
      <c r="U33" s="32"/>
      <c r="V33" s="32"/>
      <c r="W33" s="32"/>
      <c r="Y33" s="98"/>
      <c r="Z33" s="98"/>
      <c r="AA33" s="98"/>
      <c r="AB33" s="98"/>
      <c r="AC33" s="98"/>
      <c r="AD33" s="98"/>
      <c r="AE33" s="98"/>
      <c r="AF33" s="98"/>
      <c r="AG33" s="98"/>
      <c r="AH33" s="98"/>
      <c r="AI33" s="98"/>
      <c r="AJ33" s="98"/>
      <c r="AK33" s="98"/>
      <c r="AL33" s="98"/>
      <c r="AM33" s="98"/>
      <c r="AN33" s="98"/>
      <c r="AO33" s="98"/>
      <c r="AP33" s="98"/>
      <c r="AQ33" s="98"/>
      <c r="AR33" s="98"/>
      <c r="AS33" s="98"/>
    </row>
    <row r="34" spans="1:45" x14ac:dyDescent="0.2">
      <c r="A34" s="32"/>
      <c r="B34" s="32"/>
      <c r="C34" s="32"/>
      <c r="D34" s="32"/>
      <c r="E34" s="32"/>
      <c r="F34" s="32"/>
      <c r="G34" s="32"/>
      <c r="H34" s="32"/>
      <c r="I34" s="32"/>
      <c r="J34" s="32"/>
      <c r="K34" s="32"/>
      <c r="L34" s="32"/>
      <c r="M34" s="32"/>
      <c r="N34" s="32"/>
      <c r="O34" s="32"/>
      <c r="P34" s="32"/>
      <c r="Q34" s="32"/>
      <c r="R34" s="32"/>
      <c r="S34" s="32"/>
      <c r="T34" s="32"/>
      <c r="U34" s="32"/>
      <c r="V34" s="32"/>
      <c r="W34" s="32"/>
      <c r="Y34" s="98"/>
      <c r="Z34" s="98"/>
      <c r="AA34" s="98"/>
      <c r="AB34" s="98"/>
      <c r="AC34" s="98"/>
      <c r="AD34" s="98"/>
      <c r="AE34" s="98"/>
      <c r="AF34" s="98"/>
      <c r="AG34" s="98"/>
      <c r="AH34" s="98"/>
      <c r="AI34" s="98"/>
      <c r="AJ34" s="98"/>
      <c r="AK34" s="98"/>
      <c r="AL34" s="98"/>
      <c r="AM34" s="98"/>
      <c r="AN34" s="98"/>
      <c r="AO34" s="98"/>
      <c r="AP34" s="98"/>
      <c r="AQ34" s="98"/>
      <c r="AR34" s="98"/>
      <c r="AS34" s="98"/>
    </row>
    <row r="35" spans="1:45" x14ac:dyDescent="0.2">
      <c r="A35" s="32"/>
      <c r="B35" s="32"/>
      <c r="C35" s="32"/>
      <c r="D35" s="32"/>
      <c r="E35" s="32"/>
      <c r="F35" s="32"/>
      <c r="G35" s="32"/>
      <c r="H35" s="32"/>
      <c r="I35" s="32"/>
      <c r="J35" s="32"/>
      <c r="K35" s="32"/>
      <c r="L35" s="32"/>
      <c r="M35" s="32"/>
      <c r="N35" s="32"/>
      <c r="O35" s="32"/>
      <c r="P35" s="32"/>
      <c r="Q35" s="32"/>
      <c r="R35" s="32"/>
      <c r="S35" s="32"/>
      <c r="T35" s="32"/>
      <c r="U35" s="32"/>
      <c r="V35" s="32"/>
      <c r="W35" s="32"/>
      <c r="Y35" s="98"/>
      <c r="Z35" s="98"/>
      <c r="AA35" s="98"/>
      <c r="AB35" s="98"/>
      <c r="AC35" s="98"/>
      <c r="AD35" s="98"/>
      <c r="AE35" s="98"/>
      <c r="AF35" s="98"/>
      <c r="AG35" s="98"/>
      <c r="AH35" s="98"/>
      <c r="AI35" s="98"/>
      <c r="AJ35" s="98"/>
      <c r="AK35" s="98"/>
      <c r="AL35" s="98"/>
      <c r="AM35" s="98"/>
      <c r="AN35" s="98"/>
      <c r="AO35" s="98"/>
      <c r="AP35" s="98"/>
      <c r="AQ35" s="98"/>
      <c r="AR35" s="98"/>
      <c r="AS35" s="98"/>
    </row>
    <row r="36" spans="1:45" x14ac:dyDescent="0.2">
      <c r="A36" s="32"/>
      <c r="B36" s="32"/>
      <c r="C36" s="32"/>
      <c r="D36" s="32"/>
      <c r="E36" s="32"/>
      <c r="F36" s="32"/>
      <c r="G36" s="32"/>
      <c r="H36" s="32"/>
      <c r="I36" s="32"/>
      <c r="J36" s="32"/>
      <c r="K36" s="32"/>
      <c r="L36" s="32"/>
      <c r="M36" s="32"/>
      <c r="N36" s="32"/>
      <c r="O36" s="32"/>
      <c r="P36" s="32"/>
      <c r="Q36" s="32"/>
      <c r="R36" s="32"/>
      <c r="S36" s="32"/>
      <c r="T36" s="32"/>
      <c r="U36" s="32"/>
      <c r="V36" s="32"/>
      <c r="W36" s="32"/>
      <c r="Y36" s="98"/>
      <c r="Z36" s="98"/>
      <c r="AA36" s="98"/>
      <c r="AB36" s="98"/>
      <c r="AC36" s="98"/>
      <c r="AD36" s="98"/>
      <c r="AE36" s="98"/>
      <c r="AF36" s="98"/>
      <c r="AG36" s="98"/>
      <c r="AH36" s="98"/>
      <c r="AI36" s="98"/>
      <c r="AJ36" s="98"/>
      <c r="AK36" s="98"/>
      <c r="AL36" s="98"/>
      <c r="AM36" s="98"/>
      <c r="AN36" s="98"/>
      <c r="AO36" s="98"/>
      <c r="AP36" s="98"/>
      <c r="AQ36" s="98"/>
      <c r="AR36" s="98"/>
      <c r="AS36" s="98"/>
    </row>
    <row r="37" spans="1:45" x14ac:dyDescent="0.2">
      <c r="A37" s="32"/>
      <c r="B37" s="32"/>
      <c r="C37" s="32"/>
      <c r="D37" s="32"/>
      <c r="E37" s="32"/>
      <c r="F37" s="32"/>
      <c r="G37" s="32"/>
      <c r="H37" s="32"/>
      <c r="I37" s="32"/>
      <c r="J37" s="32"/>
      <c r="K37" s="32"/>
      <c r="L37" s="32"/>
      <c r="M37" s="32"/>
      <c r="N37" s="32"/>
      <c r="O37" s="32"/>
      <c r="P37" s="32"/>
      <c r="Q37" s="32"/>
      <c r="R37" s="32"/>
      <c r="S37" s="32"/>
      <c r="T37" s="32"/>
      <c r="U37" s="32"/>
      <c r="V37" s="32"/>
      <c r="W37" s="32"/>
      <c r="Y37" s="98"/>
      <c r="Z37" s="98"/>
      <c r="AA37" s="98"/>
      <c r="AB37" s="98"/>
      <c r="AC37" s="98"/>
      <c r="AD37" s="98"/>
      <c r="AE37" s="98"/>
      <c r="AF37" s="98"/>
      <c r="AG37" s="98"/>
      <c r="AH37" s="98"/>
      <c r="AI37" s="98"/>
      <c r="AJ37" s="98"/>
      <c r="AK37" s="98"/>
      <c r="AL37" s="98"/>
      <c r="AM37" s="98"/>
      <c r="AN37" s="98"/>
      <c r="AO37" s="98"/>
      <c r="AP37" s="98"/>
      <c r="AQ37" s="98"/>
      <c r="AR37" s="98"/>
      <c r="AS37" s="98"/>
    </row>
    <row r="38" spans="1:45" x14ac:dyDescent="0.2">
      <c r="A38" s="32"/>
      <c r="B38" s="32"/>
      <c r="C38" s="32"/>
      <c r="D38" s="32"/>
      <c r="E38" s="32"/>
      <c r="F38" s="32"/>
      <c r="G38" s="32"/>
      <c r="H38" s="32"/>
      <c r="I38" s="32"/>
      <c r="J38" s="32"/>
      <c r="K38" s="32"/>
      <c r="L38" s="32"/>
      <c r="M38" s="32"/>
      <c r="N38" s="32"/>
      <c r="O38" s="32"/>
      <c r="P38" s="32"/>
      <c r="Q38" s="32"/>
      <c r="R38" s="32"/>
      <c r="S38" s="32"/>
      <c r="T38" s="32"/>
      <c r="U38" s="32"/>
      <c r="V38" s="32"/>
      <c r="W38" s="32"/>
      <c r="Y38" s="98"/>
      <c r="Z38" s="98"/>
      <c r="AA38" s="98"/>
      <c r="AB38" s="98"/>
      <c r="AC38" s="98"/>
      <c r="AD38" s="98"/>
      <c r="AE38" s="98"/>
      <c r="AF38" s="98"/>
      <c r="AG38" s="98"/>
      <c r="AH38" s="98"/>
      <c r="AI38" s="98"/>
      <c r="AJ38" s="98"/>
      <c r="AK38" s="98"/>
      <c r="AL38" s="98"/>
      <c r="AM38" s="98"/>
      <c r="AN38" s="98"/>
      <c r="AO38" s="98"/>
      <c r="AP38" s="98"/>
      <c r="AQ38" s="98"/>
      <c r="AR38" s="98"/>
      <c r="AS38" s="98"/>
    </row>
    <row r="39" spans="1:45" x14ac:dyDescent="0.2">
      <c r="A39" s="32"/>
      <c r="B39" s="32"/>
      <c r="C39" s="32"/>
      <c r="D39" s="32"/>
      <c r="E39" s="32"/>
      <c r="F39" s="32"/>
      <c r="G39" s="32"/>
      <c r="H39" s="32"/>
      <c r="I39" s="32"/>
      <c r="J39" s="32"/>
      <c r="K39" s="32"/>
      <c r="L39" s="32"/>
      <c r="M39" s="32"/>
      <c r="N39" s="32"/>
      <c r="O39" s="32"/>
      <c r="P39" s="32"/>
      <c r="Q39" s="32"/>
      <c r="R39" s="32"/>
      <c r="S39" s="32"/>
      <c r="T39" s="32"/>
      <c r="U39" s="32"/>
      <c r="V39" s="32"/>
      <c r="W39" s="32"/>
      <c r="Y39" s="98"/>
      <c r="Z39" s="98"/>
      <c r="AA39" s="98"/>
      <c r="AB39" s="98"/>
      <c r="AC39" s="98"/>
      <c r="AD39" s="98"/>
      <c r="AE39" s="98"/>
      <c r="AF39" s="98"/>
      <c r="AG39" s="98"/>
      <c r="AH39" s="98"/>
      <c r="AI39" s="98"/>
      <c r="AJ39" s="98"/>
      <c r="AK39" s="98"/>
      <c r="AL39" s="98"/>
      <c r="AM39" s="98"/>
      <c r="AN39" s="98"/>
      <c r="AO39" s="98"/>
      <c r="AP39" s="98"/>
      <c r="AQ39" s="98"/>
      <c r="AR39" s="98"/>
      <c r="AS39" s="98"/>
    </row>
    <row r="40" spans="1:45" x14ac:dyDescent="0.2">
      <c r="A40" s="32"/>
      <c r="B40" s="32"/>
      <c r="C40" s="32"/>
      <c r="D40" s="32"/>
      <c r="E40" s="32"/>
      <c r="F40" s="32"/>
      <c r="G40" s="32"/>
      <c r="H40" s="32"/>
      <c r="I40" s="32"/>
      <c r="J40" s="32"/>
      <c r="K40" s="32"/>
      <c r="L40" s="32"/>
      <c r="M40" s="32"/>
      <c r="N40" s="32"/>
      <c r="O40" s="32"/>
      <c r="P40" s="32"/>
      <c r="Q40" s="32"/>
      <c r="R40" s="32"/>
      <c r="S40" s="32"/>
      <c r="T40" s="32"/>
      <c r="U40" s="32"/>
      <c r="V40" s="32"/>
      <c r="W40" s="32"/>
      <c r="Y40" s="98"/>
      <c r="Z40" s="98"/>
      <c r="AA40" s="98"/>
      <c r="AB40" s="98"/>
      <c r="AC40" s="98"/>
      <c r="AD40" s="98"/>
      <c r="AE40" s="98"/>
      <c r="AF40" s="98"/>
      <c r="AG40" s="98"/>
      <c r="AH40" s="98"/>
      <c r="AI40" s="98"/>
      <c r="AJ40" s="98"/>
      <c r="AK40" s="98"/>
      <c r="AL40" s="98"/>
      <c r="AM40" s="98"/>
      <c r="AN40" s="98"/>
      <c r="AO40" s="98"/>
      <c r="AP40" s="98"/>
      <c r="AQ40" s="98"/>
      <c r="AR40" s="98"/>
      <c r="AS40" s="98"/>
    </row>
    <row r="41" spans="1:45" x14ac:dyDescent="0.2">
      <c r="A41" s="32"/>
      <c r="B41" s="32"/>
      <c r="C41" s="32"/>
      <c r="D41" s="32"/>
      <c r="E41" s="32"/>
      <c r="F41" s="32"/>
      <c r="G41" s="32"/>
      <c r="H41" s="32"/>
      <c r="I41" s="32"/>
      <c r="J41" s="32"/>
      <c r="K41" s="32"/>
      <c r="L41" s="32"/>
      <c r="M41" s="32"/>
      <c r="N41" s="32"/>
      <c r="O41" s="32"/>
      <c r="P41" s="32"/>
      <c r="Q41" s="32"/>
      <c r="R41" s="32"/>
      <c r="S41" s="32"/>
      <c r="T41" s="32"/>
      <c r="U41" s="32"/>
      <c r="V41" s="32"/>
      <c r="W41" s="32"/>
      <c r="Y41" s="98"/>
      <c r="Z41" s="98"/>
      <c r="AA41" s="98"/>
      <c r="AB41" s="98"/>
      <c r="AC41" s="98"/>
      <c r="AD41" s="98"/>
      <c r="AE41" s="98"/>
      <c r="AF41" s="98"/>
      <c r="AG41" s="98"/>
      <c r="AH41" s="98"/>
      <c r="AI41" s="98"/>
      <c r="AJ41" s="98"/>
      <c r="AK41" s="98"/>
      <c r="AL41" s="98"/>
      <c r="AM41" s="98"/>
      <c r="AN41" s="98"/>
      <c r="AO41" s="98"/>
      <c r="AP41" s="98"/>
      <c r="AQ41" s="98"/>
      <c r="AR41" s="98"/>
      <c r="AS41" s="98"/>
    </row>
    <row r="42" spans="1:45" x14ac:dyDescent="0.2">
      <c r="A42" s="32"/>
      <c r="B42" s="32"/>
      <c r="C42" s="32"/>
      <c r="D42" s="32"/>
      <c r="E42" s="32"/>
      <c r="F42" s="32"/>
      <c r="G42" s="32"/>
      <c r="H42" s="32"/>
      <c r="I42" s="32"/>
      <c r="J42" s="32"/>
      <c r="K42" s="32"/>
      <c r="L42" s="32"/>
      <c r="M42" s="32"/>
      <c r="N42" s="32"/>
      <c r="O42" s="32"/>
      <c r="P42" s="32"/>
      <c r="Q42" s="32"/>
      <c r="R42" s="32"/>
      <c r="S42" s="32"/>
      <c r="T42" s="32"/>
      <c r="U42" s="32"/>
      <c r="V42" s="32"/>
      <c r="W42" s="32"/>
      <c r="Y42" s="98"/>
      <c r="Z42" s="98"/>
      <c r="AA42" s="98"/>
      <c r="AB42" s="98"/>
      <c r="AC42" s="98"/>
      <c r="AD42" s="98"/>
      <c r="AE42" s="98"/>
      <c r="AF42" s="98"/>
      <c r="AG42" s="98"/>
      <c r="AH42" s="98"/>
      <c r="AI42" s="98"/>
      <c r="AJ42" s="98"/>
      <c r="AK42" s="98"/>
      <c r="AL42" s="98"/>
      <c r="AM42" s="98"/>
      <c r="AN42" s="98"/>
      <c r="AO42" s="98"/>
      <c r="AP42" s="98"/>
      <c r="AQ42" s="98"/>
      <c r="AR42" s="98"/>
      <c r="AS42" s="98"/>
    </row>
    <row r="43" spans="1:45" x14ac:dyDescent="0.2">
      <c r="A43" s="32"/>
      <c r="B43" s="32"/>
      <c r="C43" s="32"/>
      <c r="D43" s="32"/>
      <c r="E43" s="32"/>
      <c r="F43" s="32"/>
      <c r="G43" s="32"/>
      <c r="H43" s="32"/>
      <c r="I43" s="32"/>
      <c r="J43" s="32"/>
      <c r="K43" s="32"/>
      <c r="L43" s="32"/>
      <c r="M43" s="32"/>
      <c r="N43" s="32"/>
      <c r="O43" s="32"/>
      <c r="P43" s="32"/>
      <c r="Q43" s="32"/>
      <c r="R43" s="32"/>
      <c r="S43" s="32"/>
      <c r="T43" s="32"/>
      <c r="U43" s="32"/>
      <c r="V43" s="32"/>
      <c r="W43" s="32"/>
      <c r="Y43" s="98"/>
      <c r="Z43" s="98"/>
      <c r="AA43" s="98"/>
      <c r="AB43" s="98"/>
      <c r="AC43" s="98"/>
      <c r="AD43" s="98"/>
      <c r="AE43" s="98"/>
      <c r="AF43" s="98"/>
      <c r="AG43" s="98"/>
      <c r="AH43" s="98"/>
      <c r="AI43" s="98"/>
      <c r="AJ43" s="98"/>
      <c r="AK43" s="98"/>
      <c r="AL43" s="98"/>
      <c r="AM43" s="98"/>
      <c r="AN43" s="98"/>
      <c r="AO43" s="98"/>
      <c r="AP43" s="98"/>
      <c r="AQ43" s="98"/>
      <c r="AR43" s="98"/>
      <c r="AS43" s="98"/>
    </row>
    <row r="44" spans="1:45" x14ac:dyDescent="0.2">
      <c r="A44" s="32"/>
      <c r="B44" s="32"/>
      <c r="C44" s="32"/>
      <c r="D44" s="32"/>
      <c r="E44" s="32"/>
      <c r="F44" s="32"/>
      <c r="G44" s="32"/>
      <c r="H44" s="32"/>
      <c r="I44" s="32"/>
      <c r="J44" s="32"/>
      <c r="K44" s="32"/>
      <c r="L44" s="32"/>
      <c r="M44" s="32"/>
      <c r="N44" s="32"/>
      <c r="O44" s="32"/>
      <c r="P44" s="32"/>
      <c r="Q44" s="32"/>
      <c r="R44" s="32"/>
      <c r="S44" s="32"/>
      <c r="T44" s="32"/>
      <c r="U44" s="32"/>
      <c r="V44" s="32"/>
      <c r="W44" s="32"/>
      <c r="Y44" s="98"/>
      <c r="Z44" s="98"/>
      <c r="AA44" s="98"/>
      <c r="AB44" s="98"/>
      <c r="AC44" s="98"/>
      <c r="AD44" s="98"/>
      <c r="AE44" s="98"/>
      <c r="AF44" s="98"/>
      <c r="AG44" s="98"/>
      <c r="AH44" s="98"/>
      <c r="AI44" s="98"/>
      <c r="AJ44" s="98"/>
      <c r="AK44" s="98"/>
      <c r="AL44" s="98"/>
      <c r="AM44" s="98"/>
      <c r="AN44" s="98"/>
      <c r="AO44" s="98"/>
      <c r="AP44" s="98"/>
      <c r="AQ44" s="98"/>
      <c r="AR44" s="98"/>
      <c r="AS44" s="98"/>
    </row>
    <row r="45" spans="1:45" x14ac:dyDescent="0.2">
      <c r="A45" s="32"/>
      <c r="B45" s="32"/>
      <c r="C45" s="32"/>
      <c r="D45" s="32"/>
      <c r="E45" s="32"/>
      <c r="F45" s="32"/>
      <c r="G45" s="32"/>
      <c r="H45" s="32"/>
      <c r="I45" s="32"/>
      <c r="J45" s="32"/>
      <c r="K45" s="32"/>
      <c r="L45" s="32"/>
      <c r="M45" s="32"/>
      <c r="N45" s="32"/>
      <c r="O45" s="32"/>
      <c r="P45" s="32"/>
      <c r="Q45" s="32"/>
      <c r="R45" s="32"/>
      <c r="S45" s="32"/>
      <c r="T45" s="32"/>
      <c r="U45" s="32"/>
      <c r="V45" s="32"/>
      <c r="W45" s="32"/>
      <c r="Y45" s="98"/>
      <c r="Z45" s="98"/>
      <c r="AA45" s="98"/>
      <c r="AB45" s="98"/>
      <c r="AC45" s="98"/>
      <c r="AD45" s="98"/>
      <c r="AE45" s="98"/>
      <c r="AF45" s="98"/>
      <c r="AG45" s="98"/>
      <c r="AH45" s="98"/>
      <c r="AI45" s="98"/>
      <c r="AJ45" s="98"/>
      <c r="AK45" s="98"/>
      <c r="AL45" s="98"/>
      <c r="AM45" s="98"/>
      <c r="AN45" s="98"/>
      <c r="AO45" s="98"/>
      <c r="AP45" s="98"/>
      <c r="AQ45" s="98"/>
      <c r="AR45" s="98"/>
      <c r="AS45" s="98"/>
    </row>
    <row r="46" spans="1:45" x14ac:dyDescent="0.2">
      <c r="A46" s="32"/>
      <c r="B46" s="32"/>
      <c r="C46" s="32"/>
      <c r="D46" s="32"/>
      <c r="E46" s="32"/>
      <c r="F46" s="32"/>
      <c r="G46" s="32"/>
      <c r="H46" s="32"/>
      <c r="I46" s="32"/>
      <c r="J46" s="32"/>
      <c r="K46" s="32"/>
      <c r="L46" s="32"/>
      <c r="M46" s="32"/>
      <c r="N46" s="32"/>
      <c r="O46" s="32"/>
      <c r="P46" s="32"/>
      <c r="Q46" s="32"/>
      <c r="R46" s="32"/>
      <c r="S46" s="32"/>
      <c r="T46" s="32"/>
      <c r="U46" s="32"/>
      <c r="V46" s="32"/>
      <c r="W46" s="32"/>
      <c r="Y46" s="98"/>
      <c r="Z46" s="98"/>
      <c r="AA46" s="98"/>
      <c r="AB46" s="98"/>
      <c r="AC46" s="98"/>
      <c r="AD46" s="98"/>
      <c r="AE46" s="98"/>
      <c r="AF46" s="98"/>
      <c r="AG46" s="98"/>
      <c r="AH46" s="98"/>
      <c r="AI46" s="98"/>
      <c r="AJ46" s="98"/>
      <c r="AK46" s="98"/>
      <c r="AL46" s="98"/>
      <c r="AM46" s="98"/>
      <c r="AN46" s="98"/>
      <c r="AO46" s="98"/>
      <c r="AP46" s="98"/>
      <c r="AQ46" s="98"/>
      <c r="AR46" s="98"/>
      <c r="AS46" s="98"/>
    </row>
    <row r="47" spans="1:45" x14ac:dyDescent="0.2">
      <c r="A47" s="32"/>
      <c r="B47" s="32"/>
      <c r="C47" s="32"/>
      <c r="D47" s="32"/>
      <c r="E47" s="32"/>
      <c r="F47" s="32"/>
      <c r="G47" s="32"/>
      <c r="H47" s="32"/>
      <c r="I47" s="32"/>
      <c r="J47" s="32"/>
      <c r="K47" s="32"/>
      <c r="L47" s="32"/>
      <c r="M47" s="32"/>
      <c r="N47" s="32"/>
      <c r="O47" s="32"/>
      <c r="P47" s="32"/>
      <c r="Q47" s="32"/>
      <c r="R47" s="32"/>
      <c r="S47" s="32"/>
      <c r="T47" s="32"/>
      <c r="U47" s="32"/>
      <c r="V47" s="32"/>
      <c r="W47" s="32"/>
      <c r="Y47" s="98"/>
      <c r="Z47" s="98"/>
      <c r="AA47" s="98"/>
      <c r="AB47" s="98"/>
      <c r="AC47" s="98"/>
      <c r="AD47" s="98"/>
      <c r="AE47" s="98"/>
      <c r="AF47" s="98"/>
      <c r="AG47" s="98"/>
      <c r="AH47" s="98"/>
      <c r="AI47" s="98"/>
      <c r="AJ47" s="98"/>
      <c r="AK47" s="98"/>
      <c r="AL47" s="98"/>
      <c r="AM47" s="98"/>
      <c r="AN47" s="98"/>
      <c r="AO47" s="98"/>
      <c r="AP47" s="98"/>
      <c r="AQ47" s="98"/>
      <c r="AR47" s="98"/>
      <c r="AS47" s="98"/>
    </row>
    <row r="48" spans="1:45" x14ac:dyDescent="0.2">
      <c r="A48" s="32"/>
      <c r="B48" s="32"/>
      <c r="C48" s="32"/>
      <c r="D48" s="32"/>
      <c r="E48" s="32"/>
      <c r="F48" s="32"/>
      <c r="G48" s="32"/>
      <c r="H48" s="32"/>
      <c r="I48" s="32"/>
      <c r="J48" s="32"/>
      <c r="K48" s="32"/>
      <c r="L48" s="32"/>
      <c r="M48" s="32"/>
      <c r="N48" s="32"/>
      <c r="O48" s="32"/>
      <c r="P48" s="32"/>
      <c r="Q48" s="32"/>
      <c r="R48" s="32"/>
      <c r="S48" s="32"/>
      <c r="T48" s="32"/>
      <c r="U48" s="32"/>
      <c r="V48" s="32"/>
      <c r="W48" s="32"/>
      <c r="Y48" s="98"/>
      <c r="Z48" s="98"/>
      <c r="AA48" s="98"/>
      <c r="AB48" s="98"/>
      <c r="AC48" s="98"/>
      <c r="AD48" s="98"/>
      <c r="AE48" s="98"/>
      <c r="AF48" s="98"/>
      <c r="AG48" s="98"/>
      <c r="AH48" s="98"/>
      <c r="AI48" s="98"/>
      <c r="AJ48" s="98"/>
      <c r="AK48" s="98"/>
      <c r="AL48" s="98"/>
      <c r="AM48" s="98"/>
      <c r="AN48" s="98"/>
      <c r="AO48" s="98"/>
      <c r="AP48" s="98"/>
      <c r="AQ48" s="98"/>
      <c r="AR48" s="98"/>
      <c r="AS48" s="98"/>
    </row>
    <row r="49" spans="1:45" x14ac:dyDescent="0.2">
      <c r="A49" s="32"/>
      <c r="B49" s="32"/>
      <c r="C49" s="32"/>
      <c r="D49" s="32"/>
      <c r="E49" s="32"/>
      <c r="F49" s="32"/>
      <c r="G49" s="32"/>
      <c r="H49" s="32"/>
      <c r="I49" s="32"/>
      <c r="J49" s="32"/>
      <c r="K49" s="32"/>
      <c r="L49" s="32"/>
      <c r="M49" s="32"/>
      <c r="N49" s="32"/>
      <c r="O49" s="32"/>
      <c r="P49" s="32"/>
      <c r="Q49" s="32"/>
      <c r="R49" s="32"/>
      <c r="S49" s="32"/>
      <c r="T49" s="32"/>
      <c r="U49" s="32"/>
      <c r="V49" s="32"/>
      <c r="W49" s="32"/>
      <c r="Y49" s="98"/>
      <c r="Z49" s="98"/>
      <c r="AA49" s="98"/>
      <c r="AB49" s="98"/>
      <c r="AC49" s="98"/>
      <c r="AD49" s="98"/>
      <c r="AE49" s="98"/>
      <c r="AF49" s="98"/>
      <c r="AG49" s="98"/>
      <c r="AH49" s="98"/>
      <c r="AI49" s="98"/>
      <c r="AJ49" s="98"/>
      <c r="AK49" s="98"/>
      <c r="AL49" s="98"/>
      <c r="AM49" s="98"/>
      <c r="AN49" s="98"/>
      <c r="AO49" s="98"/>
      <c r="AP49" s="98"/>
      <c r="AQ49" s="98"/>
      <c r="AR49" s="98"/>
      <c r="AS49" s="98"/>
    </row>
    <row r="50" spans="1:45" x14ac:dyDescent="0.2">
      <c r="A50" s="32"/>
      <c r="B50" s="32"/>
      <c r="C50" s="32"/>
      <c r="D50" s="32"/>
      <c r="E50" s="32"/>
      <c r="F50" s="32"/>
      <c r="G50" s="32"/>
      <c r="H50" s="32"/>
      <c r="I50" s="32"/>
      <c r="J50" s="32"/>
      <c r="K50" s="32"/>
      <c r="L50" s="32"/>
      <c r="M50" s="32"/>
      <c r="N50" s="32"/>
      <c r="O50" s="32"/>
      <c r="P50" s="32"/>
      <c r="Q50" s="32"/>
      <c r="R50" s="32"/>
      <c r="S50" s="32"/>
      <c r="T50" s="32"/>
      <c r="U50" s="32"/>
      <c r="V50" s="32"/>
      <c r="W50" s="32"/>
      <c r="Y50" s="98"/>
      <c r="Z50" s="98"/>
      <c r="AA50" s="98"/>
      <c r="AB50" s="98"/>
      <c r="AC50" s="98"/>
      <c r="AD50" s="98"/>
      <c r="AE50" s="98"/>
      <c r="AF50" s="98"/>
      <c r="AG50" s="98"/>
      <c r="AH50" s="98"/>
      <c r="AI50" s="98"/>
      <c r="AJ50" s="98"/>
      <c r="AK50" s="98"/>
      <c r="AL50" s="98"/>
      <c r="AM50" s="98"/>
      <c r="AN50" s="98"/>
      <c r="AO50" s="98"/>
      <c r="AP50" s="98"/>
      <c r="AQ50" s="98"/>
      <c r="AR50" s="98"/>
      <c r="AS50" s="98"/>
    </row>
    <row r="51" spans="1:45" x14ac:dyDescent="0.2">
      <c r="A51" s="32"/>
      <c r="B51" s="32"/>
      <c r="C51" s="32"/>
      <c r="D51" s="32"/>
      <c r="E51" s="32"/>
      <c r="F51" s="32"/>
      <c r="G51" s="32"/>
      <c r="H51" s="32"/>
      <c r="I51" s="32"/>
      <c r="J51" s="32"/>
      <c r="K51" s="32"/>
      <c r="L51" s="32"/>
      <c r="M51" s="32"/>
      <c r="N51" s="32"/>
      <c r="O51" s="32"/>
      <c r="P51" s="32"/>
      <c r="Q51" s="32"/>
      <c r="R51" s="32"/>
      <c r="S51" s="32"/>
      <c r="T51" s="32"/>
      <c r="U51" s="32"/>
      <c r="V51" s="32"/>
      <c r="W51" s="32"/>
      <c r="Y51" s="98"/>
      <c r="Z51" s="98"/>
      <c r="AA51" s="98"/>
      <c r="AB51" s="98"/>
      <c r="AC51" s="98"/>
      <c r="AD51" s="98"/>
      <c r="AE51" s="98"/>
      <c r="AF51" s="98"/>
      <c r="AG51" s="98"/>
      <c r="AH51" s="98"/>
      <c r="AI51" s="98"/>
      <c r="AJ51" s="98"/>
      <c r="AK51" s="98"/>
      <c r="AL51" s="98"/>
      <c r="AM51" s="98"/>
      <c r="AN51" s="98"/>
      <c r="AO51" s="98"/>
      <c r="AP51" s="98"/>
      <c r="AQ51" s="98"/>
      <c r="AR51" s="98"/>
      <c r="AS51" s="98"/>
    </row>
    <row r="52" spans="1:45" x14ac:dyDescent="0.2">
      <c r="A52" s="32"/>
      <c r="B52" s="32"/>
      <c r="C52" s="32"/>
      <c r="D52" s="32"/>
      <c r="E52" s="32"/>
      <c r="F52" s="32"/>
      <c r="G52" s="32"/>
      <c r="H52" s="32"/>
      <c r="I52" s="32"/>
      <c r="J52" s="32"/>
      <c r="K52" s="32"/>
      <c r="L52" s="32"/>
      <c r="M52" s="32"/>
      <c r="N52" s="32"/>
      <c r="O52" s="32"/>
      <c r="P52" s="32"/>
      <c r="Q52" s="32"/>
      <c r="R52" s="32"/>
      <c r="S52" s="32"/>
      <c r="T52" s="32"/>
      <c r="U52" s="32"/>
      <c r="V52" s="32"/>
      <c r="W52" s="32"/>
      <c r="Y52" s="98"/>
      <c r="Z52" s="98"/>
      <c r="AA52" s="98"/>
      <c r="AB52" s="98"/>
      <c r="AC52" s="98"/>
      <c r="AD52" s="98"/>
      <c r="AE52" s="98"/>
      <c r="AF52" s="98"/>
      <c r="AG52" s="98"/>
      <c r="AH52" s="98"/>
      <c r="AI52" s="98"/>
      <c r="AJ52" s="98"/>
      <c r="AK52" s="98"/>
      <c r="AL52" s="98"/>
      <c r="AM52" s="98"/>
      <c r="AN52" s="98"/>
      <c r="AO52" s="98"/>
      <c r="AP52" s="98"/>
      <c r="AQ52" s="98"/>
      <c r="AR52" s="98"/>
      <c r="AS52" s="98"/>
    </row>
    <row r="53" spans="1:45" x14ac:dyDescent="0.2">
      <c r="A53" s="32"/>
      <c r="B53" s="32"/>
      <c r="C53" s="32"/>
      <c r="D53" s="32"/>
      <c r="E53" s="32"/>
      <c r="F53" s="32"/>
      <c r="G53" s="32"/>
      <c r="H53" s="32"/>
      <c r="I53" s="32"/>
      <c r="J53" s="32"/>
      <c r="K53" s="32"/>
      <c r="L53" s="32"/>
      <c r="M53" s="32"/>
      <c r="N53" s="32"/>
      <c r="O53" s="32"/>
      <c r="P53" s="32"/>
      <c r="Q53" s="32"/>
      <c r="R53" s="32"/>
      <c r="S53" s="32"/>
      <c r="T53" s="32"/>
      <c r="U53" s="32"/>
      <c r="V53" s="32"/>
      <c r="W53" s="32"/>
      <c r="Y53" s="98"/>
      <c r="Z53" s="98"/>
      <c r="AA53" s="98"/>
      <c r="AB53" s="98"/>
      <c r="AC53" s="98"/>
      <c r="AD53" s="98"/>
      <c r="AE53" s="98"/>
      <c r="AF53" s="98"/>
      <c r="AG53" s="98"/>
      <c r="AH53" s="98"/>
      <c r="AI53" s="98"/>
      <c r="AJ53" s="98"/>
      <c r="AK53" s="98"/>
      <c r="AL53" s="98"/>
      <c r="AM53" s="98"/>
      <c r="AN53" s="98"/>
      <c r="AO53" s="98"/>
      <c r="AP53" s="98"/>
      <c r="AQ53" s="98"/>
      <c r="AR53" s="98"/>
      <c r="AS53" s="98"/>
    </row>
    <row r="54" spans="1:45" x14ac:dyDescent="0.2">
      <c r="A54" s="32"/>
      <c r="B54" s="32"/>
      <c r="C54" s="32"/>
      <c r="D54" s="32"/>
      <c r="E54" s="32"/>
      <c r="F54" s="32"/>
      <c r="G54" s="32"/>
      <c r="H54" s="32"/>
      <c r="I54" s="32"/>
      <c r="J54" s="32"/>
      <c r="K54" s="32"/>
      <c r="L54" s="32"/>
      <c r="M54" s="32"/>
      <c r="N54" s="32"/>
      <c r="O54" s="32"/>
      <c r="P54" s="32"/>
      <c r="Q54" s="32"/>
      <c r="R54" s="32"/>
      <c r="S54" s="32"/>
      <c r="T54" s="32"/>
      <c r="U54" s="32"/>
      <c r="V54" s="32"/>
      <c r="W54" s="32"/>
      <c r="Y54" s="98"/>
      <c r="Z54" s="98"/>
      <c r="AA54" s="98"/>
      <c r="AB54" s="98"/>
      <c r="AC54" s="98"/>
      <c r="AD54" s="98"/>
      <c r="AE54" s="98"/>
      <c r="AF54" s="98"/>
      <c r="AG54" s="98"/>
      <c r="AH54" s="98"/>
      <c r="AI54" s="98"/>
      <c r="AJ54" s="98"/>
      <c r="AK54" s="98"/>
      <c r="AL54" s="98"/>
      <c r="AM54" s="98"/>
      <c r="AN54" s="98"/>
      <c r="AO54" s="98"/>
      <c r="AP54" s="98"/>
      <c r="AQ54" s="98"/>
      <c r="AR54" s="98"/>
      <c r="AS54" s="98"/>
    </row>
    <row r="55" spans="1:45" x14ac:dyDescent="0.2">
      <c r="A55" s="32"/>
      <c r="B55" s="32"/>
      <c r="C55" s="32"/>
      <c r="D55" s="32"/>
      <c r="E55" s="32"/>
      <c r="F55" s="32"/>
      <c r="G55" s="32"/>
      <c r="H55" s="32"/>
      <c r="I55" s="32"/>
      <c r="J55" s="32"/>
      <c r="K55" s="32"/>
      <c r="L55" s="32"/>
      <c r="M55" s="32"/>
      <c r="N55" s="32"/>
      <c r="O55" s="32"/>
      <c r="P55" s="32"/>
      <c r="Q55" s="32"/>
      <c r="R55" s="32"/>
      <c r="S55" s="32"/>
      <c r="T55" s="32"/>
      <c r="U55" s="32"/>
      <c r="V55" s="32"/>
      <c r="W55" s="32"/>
      <c r="Y55" s="98"/>
      <c r="Z55" s="98"/>
      <c r="AA55" s="98"/>
      <c r="AB55" s="98"/>
      <c r="AC55" s="98"/>
      <c r="AD55" s="98"/>
      <c r="AE55" s="98"/>
      <c r="AF55" s="98"/>
      <c r="AG55" s="98"/>
      <c r="AH55" s="98"/>
      <c r="AI55" s="98"/>
      <c r="AJ55" s="98"/>
      <c r="AK55" s="98"/>
      <c r="AL55" s="98"/>
      <c r="AM55" s="98"/>
      <c r="AN55" s="98"/>
      <c r="AO55" s="98"/>
      <c r="AP55" s="98"/>
      <c r="AQ55" s="98"/>
      <c r="AR55" s="98"/>
      <c r="AS55" s="98"/>
    </row>
    <row r="57" spans="1:45" x14ac:dyDescent="0.2">
      <c r="A57" s="111"/>
      <c r="B57" s="111"/>
      <c r="C57" s="111"/>
      <c r="D57" s="111"/>
      <c r="E57" s="111"/>
      <c r="F57" s="111"/>
      <c r="G57" s="111"/>
      <c r="H57" s="111"/>
      <c r="I57" s="111"/>
      <c r="J57" s="111"/>
      <c r="K57" s="111"/>
      <c r="L57" s="111"/>
      <c r="M57" s="111"/>
      <c r="N57" s="111"/>
      <c r="O57" s="111"/>
      <c r="P57" s="111"/>
      <c r="Q57" s="111"/>
      <c r="R57" s="111"/>
      <c r="S57" s="111"/>
      <c r="T57" s="111"/>
      <c r="U57" s="111"/>
      <c r="V57" s="111"/>
      <c r="W57" s="111"/>
      <c r="X57" s="111"/>
      <c r="Y57" s="111"/>
      <c r="Z57" s="111"/>
      <c r="AA57" s="111"/>
      <c r="AB57" s="111"/>
    </row>
    <row r="58" spans="1:45" x14ac:dyDescent="0.2">
      <c r="A58" s="111"/>
      <c r="B58" s="111"/>
      <c r="C58" s="111"/>
      <c r="D58" s="111"/>
      <c r="E58" s="111"/>
      <c r="F58" s="111"/>
      <c r="G58" s="111"/>
      <c r="H58" s="111"/>
      <c r="I58" s="111"/>
      <c r="J58" s="111"/>
      <c r="K58" s="111"/>
      <c r="L58" s="111"/>
      <c r="M58" s="111"/>
      <c r="N58" s="111"/>
      <c r="O58" s="111"/>
      <c r="P58" s="111"/>
      <c r="Q58" s="111"/>
      <c r="R58" s="111"/>
      <c r="S58" s="111"/>
      <c r="T58" s="111"/>
      <c r="U58" s="111"/>
      <c r="V58" s="111"/>
      <c r="W58" s="111"/>
      <c r="X58" s="111"/>
      <c r="Y58" s="111"/>
      <c r="Z58" s="111"/>
      <c r="AA58" s="111"/>
      <c r="AB58" s="111"/>
    </row>
    <row r="59" spans="1:45" x14ac:dyDescent="0.2">
      <c r="A59" s="111"/>
      <c r="B59" s="111"/>
      <c r="C59" s="111"/>
      <c r="D59" s="111"/>
      <c r="E59" s="111"/>
      <c r="F59" s="111"/>
      <c r="G59" s="111"/>
      <c r="H59" s="111"/>
      <c r="I59" s="111"/>
      <c r="J59" s="111"/>
      <c r="K59" s="111"/>
      <c r="L59" s="111"/>
      <c r="M59" s="111"/>
      <c r="N59" s="111"/>
      <c r="O59" s="111"/>
      <c r="P59" s="111"/>
      <c r="Q59" s="111"/>
      <c r="R59" s="111"/>
      <c r="S59" s="111"/>
      <c r="T59" s="111"/>
      <c r="U59" s="111"/>
      <c r="V59" s="111"/>
      <c r="W59" s="111"/>
      <c r="X59" s="111"/>
      <c r="Y59" s="111"/>
      <c r="Z59" s="111"/>
      <c r="AA59" s="111"/>
      <c r="AB59" s="111"/>
    </row>
    <row r="60" spans="1:45" x14ac:dyDescent="0.2">
      <c r="A60" s="111"/>
      <c r="B60" s="111"/>
      <c r="C60" s="111"/>
      <c r="D60" s="111"/>
      <c r="E60" s="111"/>
      <c r="F60" s="111"/>
      <c r="G60" s="111"/>
      <c r="H60" s="111"/>
      <c r="I60" s="111"/>
      <c r="J60" s="111"/>
      <c r="K60" s="111"/>
      <c r="L60" s="111"/>
      <c r="M60" s="111"/>
      <c r="N60" s="111"/>
      <c r="O60" s="111"/>
      <c r="P60" s="111"/>
      <c r="Q60" s="111"/>
      <c r="R60" s="111"/>
      <c r="S60" s="111"/>
      <c r="T60" s="111"/>
      <c r="U60" s="111"/>
      <c r="V60" s="111"/>
      <c r="W60" s="111"/>
      <c r="X60" s="111"/>
      <c r="Y60" s="111"/>
      <c r="Z60" s="111"/>
      <c r="AA60" s="111"/>
      <c r="AB60" s="111"/>
    </row>
    <row r="61" spans="1:45" x14ac:dyDescent="0.2">
      <c r="A61" s="111"/>
      <c r="B61" s="111"/>
      <c r="C61" s="111"/>
      <c r="D61" s="111"/>
      <c r="E61" s="111"/>
      <c r="F61" s="111"/>
      <c r="G61" s="111"/>
      <c r="H61" s="111"/>
      <c r="I61" s="111"/>
      <c r="J61" s="111"/>
      <c r="K61" s="111"/>
      <c r="L61" s="111"/>
      <c r="M61" s="111"/>
      <c r="N61" s="111"/>
      <c r="O61" s="111"/>
      <c r="P61" s="111"/>
      <c r="Q61" s="111"/>
      <c r="R61" s="111"/>
      <c r="S61" s="111"/>
      <c r="T61" s="111"/>
      <c r="U61" s="111"/>
      <c r="V61" s="111"/>
      <c r="W61" s="111"/>
      <c r="X61" s="111"/>
      <c r="Y61" s="111"/>
      <c r="Z61" s="111"/>
      <c r="AA61" s="111"/>
      <c r="AB61" s="111"/>
    </row>
    <row r="62" spans="1:45" x14ac:dyDescent="0.2">
      <c r="A62" s="111"/>
      <c r="B62" s="111"/>
      <c r="C62" s="111"/>
      <c r="D62" s="111"/>
      <c r="E62" s="111"/>
      <c r="F62" s="111"/>
      <c r="G62" s="111"/>
      <c r="H62" s="111"/>
      <c r="I62" s="111"/>
      <c r="J62" s="111"/>
      <c r="K62" s="111"/>
      <c r="L62" s="111"/>
      <c r="M62" s="111"/>
      <c r="N62" s="111"/>
      <c r="O62" s="111"/>
      <c r="P62" s="111"/>
      <c r="Q62" s="111"/>
      <c r="R62" s="111"/>
      <c r="S62" s="111"/>
      <c r="T62" s="111"/>
      <c r="U62" s="111"/>
      <c r="V62" s="111"/>
      <c r="W62" s="111"/>
      <c r="X62" s="111"/>
      <c r="Y62" s="111"/>
      <c r="Z62" s="111"/>
      <c r="AA62" s="111"/>
      <c r="AB62" s="111"/>
    </row>
    <row r="63" spans="1:45" x14ac:dyDescent="0.2">
      <c r="A63" s="111"/>
      <c r="B63" s="111"/>
      <c r="C63" s="111"/>
      <c r="D63" s="111"/>
      <c r="E63" s="111"/>
      <c r="F63" s="111"/>
      <c r="G63" s="111"/>
      <c r="H63" s="111"/>
      <c r="I63" s="111"/>
      <c r="J63" s="111"/>
      <c r="K63" s="111"/>
      <c r="L63" s="111"/>
      <c r="M63" s="111"/>
      <c r="N63" s="111"/>
      <c r="O63" s="111"/>
      <c r="P63" s="111"/>
      <c r="Q63" s="111"/>
      <c r="R63" s="111"/>
      <c r="S63" s="111"/>
      <c r="T63" s="111"/>
      <c r="U63" s="111"/>
      <c r="V63" s="111"/>
      <c r="W63" s="111"/>
      <c r="X63" s="111"/>
      <c r="Y63" s="111"/>
      <c r="Z63" s="111"/>
      <c r="AA63" s="111"/>
      <c r="AB63" s="111"/>
    </row>
    <row r="64" spans="1:45" x14ac:dyDescent="0.2">
      <c r="A64" s="111"/>
      <c r="B64" s="111"/>
      <c r="C64" s="111"/>
      <c r="D64" s="111"/>
      <c r="E64" s="111"/>
      <c r="F64" s="111"/>
      <c r="G64" s="111"/>
      <c r="H64" s="111"/>
      <c r="I64" s="111"/>
      <c r="J64" s="111"/>
      <c r="K64" s="111"/>
      <c r="L64" s="111"/>
      <c r="M64" s="111"/>
      <c r="N64" s="111"/>
      <c r="O64" s="111"/>
      <c r="P64" s="111"/>
      <c r="Q64" s="111"/>
      <c r="R64" s="111"/>
      <c r="S64" s="111"/>
      <c r="T64" s="111"/>
      <c r="U64" s="111"/>
      <c r="V64" s="111"/>
      <c r="W64" s="111"/>
      <c r="X64" s="111"/>
      <c r="Y64" s="111"/>
      <c r="Z64" s="111"/>
      <c r="AA64" s="111"/>
      <c r="AB64" s="111"/>
    </row>
    <row r="65" spans="1:29" x14ac:dyDescent="0.2">
      <c r="A65" s="111"/>
      <c r="B65" s="111"/>
      <c r="C65" s="111"/>
      <c r="D65" s="111"/>
      <c r="E65" s="111"/>
      <c r="F65" s="111"/>
      <c r="G65" s="111"/>
      <c r="H65" s="111"/>
      <c r="I65" s="111"/>
      <c r="J65" s="111"/>
      <c r="K65" s="111"/>
      <c r="L65" s="111"/>
      <c r="M65" s="111"/>
      <c r="N65" s="111"/>
      <c r="O65" s="111"/>
      <c r="P65" s="111"/>
      <c r="Q65" s="111"/>
      <c r="R65" s="111"/>
      <c r="S65" s="111"/>
      <c r="T65" s="111"/>
      <c r="U65" s="111"/>
      <c r="V65" s="111"/>
      <c r="W65" s="111"/>
      <c r="X65" s="111"/>
      <c r="Y65" s="111"/>
      <c r="Z65" s="111"/>
      <c r="AA65" s="111"/>
      <c r="AB65" s="111"/>
    </row>
    <row r="66" spans="1:29" x14ac:dyDescent="0.2">
      <c r="A66" s="111"/>
      <c r="B66" s="111"/>
      <c r="C66" s="111"/>
      <c r="D66" s="111"/>
      <c r="E66" s="111"/>
      <c r="F66" s="111"/>
      <c r="G66" s="111"/>
      <c r="H66" s="111"/>
      <c r="I66" s="111"/>
      <c r="J66" s="111"/>
      <c r="K66" s="111"/>
      <c r="L66" s="111"/>
      <c r="M66" s="111"/>
      <c r="N66" s="111"/>
      <c r="O66" s="111"/>
      <c r="P66" s="111"/>
      <c r="Q66" s="111"/>
      <c r="R66" s="111"/>
      <c r="S66" s="111"/>
      <c r="T66" s="111"/>
      <c r="U66" s="111"/>
      <c r="V66" s="111"/>
      <c r="W66" s="111"/>
      <c r="X66" s="111"/>
      <c r="Y66" s="111"/>
      <c r="Z66" s="111"/>
      <c r="AA66" s="111"/>
      <c r="AB66" s="111"/>
    </row>
    <row r="67" spans="1:29" x14ac:dyDescent="0.2">
      <c r="A67" s="111"/>
      <c r="B67" s="111"/>
      <c r="C67" s="111"/>
      <c r="D67" s="111"/>
      <c r="E67" s="111"/>
      <c r="F67" s="111"/>
      <c r="G67" s="111"/>
      <c r="H67" s="111"/>
      <c r="I67" s="111"/>
      <c r="J67" s="111"/>
      <c r="K67" s="111"/>
      <c r="L67" s="111"/>
      <c r="M67" s="111"/>
      <c r="N67" s="111"/>
      <c r="O67" s="111"/>
      <c r="P67" s="111"/>
      <c r="Q67" s="111"/>
      <c r="R67" s="111"/>
      <c r="S67" s="111"/>
      <c r="T67" s="111"/>
      <c r="U67" s="111"/>
      <c r="V67" s="111"/>
      <c r="W67" s="111"/>
      <c r="X67" s="111"/>
      <c r="Y67" s="111"/>
      <c r="Z67" s="111"/>
      <c r="AA67" s="111"/>
      <c r="AB67" s="111"/>
    </row>
    <row r="68" spans="1:29" ht="15.75" thickBot="1" x14ac:dyDescent="0.25">
      <c r="A68" s="111"/>
      <c r="B68" s="111"/>
      <c r="C68" s="111"/>
      <c r="D68" s="111"/>
      <c r="E68" s="111"/>
      <c r="F68" s="111"/>
      <c r="G68" s="111"/>
      <c r="H68" s="111"/>
      <c r="I68" s="111"/>
      <c r="J68" s="111"/>
      <c r="K68" s="111"/>
      <c r="L68" s="111"/>
      <c r="M68" s="111"/>
      <c r="N68" s="111"/>
      <c r="O68" s="111"/>
      <c r="P68" s="111"/>
      <c r="Q68" s="111"/>
      <c r="R68" s="111"/>
      <c r="S68" s="111"/>
      <c r="T68" s="111"/>
      <c r="U68" s="111"/>
      <c r="V68" s="111"/>
      <c r="W68" s="111"/>
      <c r="X68" s="111"/>
      <c r="Y68" s="111"/>
      <c r="Z68" s="111"/>
      <c r="AA68" s="111"/>
      <c r="AB68" s="111"/>
    </row>
    <row r="69" spans="1:29" x14ac:dyDescent="0.2">
      <c r="A69" s="111"/>
      <c r="B69" s="111"/>
      <c r="C69" s="111"/>
      <c r="D69" s="111"/>
      <c r="E69" s="111"/>
      <c r="F69" s="111"/>
      <c r="G69" s="111"/>
      <c r="H69" s="111"/>
      <c r="I69" s="111"/>
      <c r="J69" s="111"/>
      <c r="K69" s="111"/>
      <c r="L69" s="111"/>
      <c r="M69" s="111"/>
      <c r="N69" s="111"/>
      <c r="O69" s="111"/>
      <c r="P69" s="111"/>
      <c r="Q69" s="111"/>
      <c r="R69" s="111"/>
      <c r="S69" s="111"/>
      <c r="T69" s="111"/>
      <c r="U69" s="111"/>
      <c r="V69" s="111"/>
      <c r="W69" s="111"/>
      <c r="X69" s="112" t="s">
        <v>249</v>
      </c>
      <c r="Y69" s="1140" t="s">
        <v>250</v>
      </c>
      <c r="Z69" s="1140"/>
      <c r="AA69" s="1140" t="s">
        <v>251</v>
      </c>
      <c r="AB69" s="1141"/>
    </row>
    <row r="70" spans="1:29" x14ac:dyDescent="0.2">
      <c r="A70" s="111"/>
      <c r="B70" s="111"/>
      <c r="C70" s="111"/>
      <c r="D70" s="111"/>
      <c r="E70" s="111"/>
      <c r="F70" s="111"/>
      <c r="G70" s="111"/>
      <c r="H70" s="111"/>
      <c r="I70" s="111"/>
      <c r="J70" s="111"/>
      <c r="K70" s="111"/>
      <c r="L70" s="111"/>
      <c r="M70" s="111"/>
      <c r="N70" s="111"/>
      <c r="O70" s="111"/>
      <c r="P70" s="111"/>
      <c r="Q70" s="111"/>
      <c r="R70" s="111"/>
      <c r="S70" s="111"/>
      <c r="T70" s="111"/>
      <c r="U70" s="111"/>
      <c r="V70" s="111"/>
      <c r="W70" s="111"/>
      <c r="X70" s="113" t="s">
        <v>141</v>
      </c>
      <c r="Y70" s="114" t="s">
        <v>252</v>
      </c>
      <c r="Z70" s="114" t="s">
        <v>157</v>
      </c>
      <c r="AA70" s="114" t="s">
        <v>252</v>
      </c>
      <c r="AB70" s="115" t="s">
        <v>157</v>
      </c>
    </row>
    <row r="71" spans="1:29" x14ac:dyDescent="0.2">
      <c r="A71" s="111"/>
      <c r="B71" s="111"/>
      <c r="C71" s="111"/>
      <c r="D71" s="111"/>
      <c r="E71" s="111"/>
      <c r="F71" s="111"/>
      <c r="G71" s="111"/>
      <c r="H71" s="111"/>
      <c r="I71" s="111"/>
      <c r="J71" s="111"/>
      <c r="K71" s="111"/>
      <c r="L71" s="111"/>
      <c r="M71" s="111"/>
      <c r="N71" s="111"/>
      <c r="O71" s="111"/>
      <c r="P71" s="111"/>
      <c r="Q71" s="111"/>
      <c r="R71" s="111"/>
      <c r="S71" s="111"/>
      <c r="T71" s="111"/>
      <c r="U71" s="111"/>
      <c r="V71" s="111"/>
      <c r="W71" s="111"/>
      <c r="X71" s="113" t="s">
        <v>253</v>
      </c>
      <c r="Y71" s="114">
        <v>70000</v>
      </c>
      <c r="Z71" s="114">
        <v>485</v>
      </c>
      <c r="AA71" s="114">
        <v>30000</v>
      </c>
      <c r="AB71" s="115">
        <v>205</v>
      </c>
      <c r="AC71" s="71"/>
    </row>
    <row r="72" spans="1:29" x14ac:dyDescent="0.2">
      <c r="A72" s="111"/>
      <c r="B72" s="111"/>
      <c r="C72" s="111"/>
      <c r="D72" s="111"/>
      <c r="E72" s="111"/>
      <c r="F72" s="111"/>
      <c r="G72" s="111"/>
      <c r="H72" s="111"/>
      <c r="I72" s="111"/>
      <c r="J72" s="111"/>
      <c r="K72" s="111"/>
      <c r="L72" s="111"/>
      <c r="M72" s="111"/>
      <c r="N72" s="111"/>
      <c r="O72" s="111"/>
      <c r="P72" s="111"/>
      <c r="Q72" s="111"/>
      <c r="R72" s="111"/>
      <c r="S72" s="111"/>
      <c r="T72" s="111"/>
      <c r="U72" s="111"/>
      <c r="V72" s="111"/>
      <c r="W72" s="111"/>
      <c r="X72" s="113" t="s">
        <v>254</v>
      </c>
      <c r="Y72" s="114">
        <v>77000</v>
      </c>
      <c r="Z72" s="114">
        <v>530</v>
      </c>
      <c r="AA72" s="114">
        <v>35000</v>
      </c>
      <c r="AB72" s="115">
        <v>240</v>
      </c>
    </row>
    <row r="73" spans="1:29" x14ac:dyDescent="0.2">
      <c r="A73" s="111"/>
      <c r="B73" s="111"/>
      <c r="C73" s="111"/>
      <c r="D73" s="111"/>
      <c r="E73" s="111"/>
      <c r="F73" s="111"/>
      <c r="G73" s="111"/>
      <c r="H73" s="111"/>
      <c r="I73" s="111"/>
      <c r="J73" s="111"/>
      <c r="K73" s="111"/>
      <c r="L73" s="111"/>
      <c r="M73" s="111"/>
      <c r="N73" s="111"/>
      <c r="O73" s="111"/>
      <c r="P73" s="111"/>
      <c r="Q73" s="111"/>
      <c r="R73" s="111"/>
      <c r="S73" s="111"/>
      <c r="T73" s="111"/>
      <c r="U73" s="111"/>
      <c r="V73" s="111"/>
      <c r="W73" s="111"/>
      <c r="X73" s="113" t="s">
        <v>255</v>
      </c>
      <c r="Y73" s="114">
        <v>70000</v>
      </c>
      <c r="Z73" s="114">
        <v>485</v>
      </c>
      <c r="AA73" s="114">
        <v>30000</v>
      </c>
      <c r="AB73" s="115">
        <v>205</v>
      </c>
    </row>
    <row r="74" spans="1:29" x14ac:dyDescent="0.2">
      <c r="A74" s="111"/>
      <c r="B74" s="111"/>
      <c r="C74" s="111"/>
      <c r="D74" s="111"/>
      <c r="E74" s="111"/>
      <c r="F74" s="111"/>
      <c r="G74" s="111"/>
      <c r="H74" s="111"/>
      <c r="I74" s="111"/>
      <c r="J74" s="111"/>
      <c r="K74" s="111"/>
      <c r="L74" s="111"/>
      <c r="M74" s="111"/>
      <c r="N74" s="111"/>
      <c r="O74" s="111"/>
      <c r="P74" s="111"/>
      <c r="Q74" s="111"/>
      <c r="R74" s="111"/>
      <c r="S74" s="111"/>
      <c r="T74" s="111"/>
      <c r="U74" s="111"/>
      <c r="V74" s="111"/>
      <c r="W74" s="111"/>
      <c r="X74" s="113" t="s">
        <v>256</v>
      </c>
      <c r="Y74" s="114">
        <v>77000</v>
      </c>
      <c r="Z74" s="114">
        <v>530</v>
      </c>
      <c r="AA74" s="114">
        <v>35000</v>
      </c>
      <c r="AB74" s="115">
        <v>240</v>
      </c>
    </row>
    <row r="75" spans="1:29" x14ac:dyDescent="0.2">
      <c r="A75" s="111"/>
      <c r="B75" s="111"/>
      <c r="C75" s="111"/>
      <c r="D75" s="111"/>
      <c r="E75" s="111"/>
      <c r="F75" s="111"/>
      <c r="G75" s="111"/>
      <c r="H75" s="111"/>
      <c r="I75" s="111"/>
      <c r="J75" s="111"/>
      <c r="K75" s="111"/>
      <c r="L75" s="111"/>
      <c r="M75" s="111"/>
      <c r="N75" s="111"/>
      <c r="O75" s="111"/>
      <c r="P75" s="111"/>
      <c r="Q75" s="111"/>
      <c r="R75" s="111"/>
      <c r="S75" s="111"/>
      <c r="T75" s="111"/>
      <c r="U75" s="111"/>
      <c r="V75" s="111"/>
      <c r="W75" s="111"/>
      <c r="X75" s="113" t="s">
        <v>257</v>
      </c>
      <c r="Y75" s="114">
        <v>70000</v>
      </c>
      <c r="Z75" s="114">
        <v>485</v>
      </c>
      <c r="AA75" s="114">
        <v>30000</v>
      </c>
      <c r="AB75" s="115">
        <v>205</v>
      </c>
    </row>
    <row r="76" spans="1:29" x14ac:dyDescent="0.2">
      <c r="A76" s="111"/>
      <c r="B76" s="111"/>
      <c r="C76" s="111"/>
      <c r="D76" s="111"/>
      <c r="E76" s="111"/>
      <c r="F76" s="111"/>
      <c r="G76" s="111"/>
      <c r="H76" s="111"/>
      <c r="I76" s="111"/>
      <c r="J76" s="111"/>
      <c r="K76" s="111"/>
      <c r="L76" s="111"/>
      <c r="M76" s="111"/>
      <c r="N76" s="111"/>
      <c r="O76" s="111"/>
      <c r="P76" s="111"/>
      <c r="Q76" s="111"/>
      <c r="R76" s="111"/>
      <c r="S76" s="111"/>
      <c r="T76" s="111"/>
      <c r="U76" s="111"/>
      <c r="V76" s="111"/>
      <c r="W76" s="111"/>
      <c r="X76" s="113" t="s">
        <v>258</v>
      </c>
      <c r="Y76" s="114">
        <v>80000</v>
      </c>
      <c r="Z76" s="114">
        <v>550</v>
      </c>
      <c r="AA76" s="114">
        <v>37000</v>
      </c>
      <c r="AB76" s="115">
        <v>255</v>
      </c>
    </row>
    <row r="77" spans="1:29" x14ac:dyDescent="0.2">
      <c r="A77" s="111"/>
      <c r="B77" s="111"/>
      <c r="C77" s="111"/>
      <c r="D77" s="111"/>
      <c r="E77" s="111"/>
      <c r="F77" s="111"/>
      <c r="G77" s="111"/>
      <c r="H77" s="111"/>
      <c r="I77" s="111"/>
      <c r="J77" s="111"/>
      <c r="K77" s="111"/>
      <c r="L77" s="111"/>
      <c r="M77" s="111"/>
      <c r="N77" s="111"/>
      <c r="O77" s="111"/>
      <c r="P77" s="111"/>
      <c r="Q77" s="111"/>
      <c r="R77" s="111"/>
      <c r="S77" s="111"/>
      <c r="T77" s="111"/>
      <c r="U77" s="111"/>
      <c r="V77" s="111"/>
      <c r="W77" s="111"/>
      <c r="X77" s="113" t="s">
        <v>259</v>
      </c>
      <c r="Y77" s="114">
        <v>70000</v>
      </c>
      <c r="Z77" s="114">
        <v>485</v>
      </c>
      <c r="AA77" s="114">
        <v>30000</v>
      </c>
      <c r="AB77" s="115">
        <v>205</v>
      </c>
    </row>
    <row r="78" spans="1:29" x14ac:dyDescent="0.2">
      <c r="A78" s="111"/>
      <c r="B78" s="111"/>
      <c r="C78" s="111"/>
      <c r="D78" s="111"/>
      <c r="E78" s="111"/>
      <c r="F78" s="111"/>
      <c r="G78" s="111"/>
      <c r="H78" s="111"/>
      <c r="I78" s="111"/>
      <c r="J78" s="111"/>
      <c r="K78" s="111"/>
      <c r="L78" s="111"/>
      <c r="M78" s="111"/>
      <c r="N78" s="111"/>
      <c r="O78" s="111"/>
      <c r="P78" s="111"/>
      <c r="Q78" s="111"/>
      <c r="R78" s="111"/>
      <c r="S78" s="111"/>
      <c r="T78" s="111"/>
      <c r="U78" s="111"/>
      <c r="V78" s="111"/>
      <c r="W78" s="111"/>
      <c r="X78" s="113" t="s">
        <v>260</v>
      </c>
      <c r="Y78" s="114">
        <v>75000</v>
      </c>
      <c r="Z78" s="114">
        <v>530</v>
      </c>
      <c r="AA78" s="114">
        <v>37000</v>
      </c>
      <c r="AB78" s="115">
        <v>255</v>
      </c>
    </row>
    <row r="79" spans="1:29" x14ac:dyDescent="0.2">
      <c r="A79" s="111"/>
      <c r="B79" s="111"/>
      <c r="C79" s="111"/>
      <c r="D79" s="111"/>
      <c r="E79" s="111"/>
      <c r="F79" s="111"/>
      <c r="G79" s="111"/>
      <c r="H79" s="111"/>
      <c r="I79" s="111"/>
      <c r="J79" s="111"/>
      <c r="K79" s="111"/>
      <c r="L79" s="111"/>
      <c r="M79" s="111"/>
      <c r="N79" s="111"/>
      <c r="O79" s="111"/>
      <c r="P79" s="111"/>
      <c r="Q79" s="111"/>
      <c r="R79" s="111"/>
      <c r="S79" s="111"/>
      <c r="T79" s="111"/>
      <c r="U79" s="111"/>
      <c r="V79" s="111"/>
      <c r="W79" s="111"/>
      <c r="X79" s="113" t="s">
        <v>261</v>
      </c>
      <c r="Y79" s="114">
        <v>70000</v>
      </c>
      <c r="Z79" s="114">
        <v>485</v>
      </c>
      <c r="AA79" s="114">
        <v>30000</v>
      </c>
      <c r="AB79" s="115">
        <v>205</v>
      </c>
    </row>
    <row r="80" spans="1:29" x14ac:dyDescent="0.2">
      <c r="A80" s="111"/>
      <c r="B80" s="111"/>
      <c r="C80" s="111"/>
      <c r="D80" s="111"/>
      <c r="E80" s="111"/>
      <c r="F80" s="111"/>
      <c r="G80" s="111"/>
      <c r="H80" s="111"/>
      <c r="I80" s="111"/>
      <c r="J80" s="111"/>
      <c r="K80" s="111"/>
      <c r="L80" s="111"/>
      <c r="M80" s="111"/>
      <c r="N80" s="111"/>
      <c r="O80" s="111"/>
      <c r="P80" s="111"/>
      <c r="Q80" s="111"/>
      <c r="R80" s="111"/>
      <c r="S80" s="111"/>
      <c r="T80" s="111"/>
      <c r="U80" s="111"/>
      <c r="V80" s="111"/>
      <c r="W80" s="111"/>
      <c r="X80" s="113" t="s">
        <v>262</v>
      </c>
      <c r="Y80" s="114">
        <v>70000</v>
      </c>
      <c r="Z80" s="114">
        <v>485</v>
      </c>
      <c r="AA80" s="114">
        <v>30000</v>
      </c>
      <c r="AB80" s="115">
        <v>205</v>
      </c>
    </row>
    <row r="81" spans="1:28" x14ac:dyDescent="0.2">
      <c r="A81" s="111"/>
      <c r="B81" s="111"/>
      <c r="C81" s="111"/>
      <c r="D81" s="111"/>
      <c r="E81" s="111"/>
      <c r="F81" s="111"/>
      <c r="G81" s="111"/>
      <c r="H81" s="111"/>
      <c r="I81" s="111"/>
      <c r="J81" s="111"/>
      <c r="K81" s="111"/>
      <c r="L81" s="111"/>
      <c r="M81" s="111"/>
      <c r="N81" s="111"/>
      <c r="O81" s="111"/>
      <c r="P81" s="111"/>
      <c r="Q81" s="111"/>
      <c r="R81" s="111"/>
      <c r="S81" s="111"/>
      <c r="T81" s="111"/>
      <c r="U81" s="111"/>
      <c r="V81" s="111"/>
      <c r="W81" s="111"/>
      <c r="X81" s="113" t="s">
        <v>263</v>
      </c>
      <c r="Y81" s="114">
        <v>70000</v>
      </c>
      <c r="Z81" s="114">
        <v>485</v>
      </c>
      <c r="AA81" s="114">
        <v>30000</v>
      </c>
      <c r="AB81" s="115">
        <v>205</v>
      </c>
    </row>
    <row r="82" spans="1:28" x14ac:dyDescent="0.2">
      <c r="A82" s="111"/>
      <c r="B82" s="111"/>
      <c r="C82" s="111"/>
      <c r="D82" s="111"/>
      <c r="E82" s="111"/>
      <c r="F82" s="111"/>
      <c r="G82" s="111"/>
      <c r="H82" s="111"/>
      <c r="I82" s="111"/>
      <c r="J82" s="111"/>
      <c r="K82" s="111"/>
      <c r="L82" s="111"/>
      <c r="M82" s="111"/>
      <c r="N82" s="111"/>
      <c r="O82" s="111"/>
      <c r="P82" s="111"/>
      <c r="Q82" s="111"/>
      <c r="R82" s="111"/>
      <c r="S82" s="111"/>
      <c r="T82" s="111"/>
      <c r="U82" s="111"/>
      <c r="V82" s="111"/>
      <c r="W82" s="111"/>
      <c r="X82" s="113" t="s">
        <v>264</v>
      </c>
      <c r="Y82" s="114">
        <v>65000</v>
      </c>
      <c r="Z82" s="114">
        <v>450</v>
      </c>
      <c r="AA82" s="114">
        <v>28000</v>
      </c>
      <c r="AB82" s="115">
        <v>195</v>
      </c>
    </row>
    <row r="83" spans="1:28" x14ac:dyDescent="0.2">
      <c r="A83" s="111"/>
      <c r="B83" s="111"/>
      <c r="C83" s="111"/>
      <c r="D83" s="111"/>
      <c r="E83" s="111"/>
      <c r="F83" s="111"/>
      <c r="G83" s="111"/>
      <c r="H83" s="111"/>
      <c r="I83" s="111"/>
      <c r="J83" s="111"/>
      <c r="K83" s="111"/>
      <c r="L83" s="111"/>
      <c r="M83" s="111"/>
      <c r="N83" s="111"/>
      <c r="O83" s="111"/>
      <c r="P83" s="111"/>
      <c r="Q83" s="111"/>
      <c r="R83" s="111"/>
      <c r="S83" s="111"/>
      <c r="T83" s="111"/>
      <c r="U83" s="111"/>
      <c r="V83" s="111"/>
      <c r="W83" s="111"/>
      <c r="X83" s="113" t="s">
        <v>265</v>
      </c>
      <c r="Y83" s="114">
        <v>70000</v>
      </c>
      <c r="Z83" s="114">
        <v>485</v>
      </c>
      <c r="AA83" s="114">
        <v>30000</v>
      </c>
      <c r="AB83" s="115">
        <v>205</v>
      </c>
    </row>
    <row r="84" spans="1:28" x14ac:dyDescent="0.2">
      <c r="A84" s="111"/>
      <c r="B84" s="111"/>
      <c r="C84" s="111"/>
      <c r="D84" s="111"/>
      <c r="E84" s="111"/>
      <c r="F84" s="111"/>
      <c r="G84" s="111"/>
      <c r="H84" s="111"/>
      <c r="I84" s="111"/>
      <c r="J84" s="111"/>
      <c r="K84" s="111"/>
      <c r="L84" s="111"/>
      <c r="M84" s="111"/>
      <c r="N84" s="111"/>
      <c r="O84" s="111"/>
      <c r="P84" s="111"/>
      <c r="Q84" s="111"/>
      <c r="R84" s="111"/>
      <c r="S84" s="111"/>
      <c r="T84" s="111"/>
      <c r="U84" s="111"/>
      <c r="V84" s="111"/>
      <c r="W84" s="111"/>
      <c r="X84" s="113" t="s">
        <v>266</v>
      </c>
      <c r="Y84" s="114">
        <v>70000</v>
      </c>
      <c r="Z84" s="114">
        <v>485</v>
      </c>
      <c r="AA84" s="114">
        <v>30000</v>
      </c>
      <c r="AB84" s="115">
        <v>205</v>
      </c>
    </row>
    <row r="85" spans="1:28" x14ac:dyDescent="0.2">
      <c r="A85" s="111"/>
      <c r="B85" s="111"/>
      <c r="C85" s="111"/>
      <c r="D85" s="111"/>
      <c r="E85" s="111"/>
      <c r="F85" s="111"/>
      <c r="G85" s="111"/>
      <c r="H85" s="111"/>
      <c r="I85" s="111"/>
      <c r="J85" s="111"/>
      <c r="K85" s="111"/>
      <c r="L85" s="111"/>
      <c r="M85" s="111"/>
      <c r="N85" s="111"/>
      <c r="O85" s="111"/>
      <c r="P85" s="111"/>
      <c r="Q85" s="111"/>
      <c r="R85" s="111"/>
      <c r="S85" s="111"/>
      <c r="T85" s="111"/>
      <c r="U85" s="111"/>
      <c r="V85" s="111"/>
      <c r="W85" s="111"/>
      <c r="X85" s="113" t="s">
        <v>267</v>
      </c>
      <c r="Y85" s="114">
        <v>65000</v>
      </c>
      <c r="Z85" s="114">
        <v>450</v>
      </c>
      <c r="AA85" s="114">
        <v>28000</v>
      </c>
      <c r="AB85" s="115">
        <v>195</v>
      </c>
    </row>
    <row r="86" spans="1:28" x14ac:dyDescent="0.2">
      <c r="A86" s="111"/>
      <c r="B86" s="111"/>
      <c r="C86" s="111"/>
      <c r="D86" s="111"/>
      <c r="E86" s="111"/>
      <c r="F86" s="111"/>
      <c r="G86" s="111"/>
      <c r="H86" s="111"/>
      <c r="I86" s="111"/>
      <c r="J86" s="111"/>
      <c r="K86" s="111"/>
      <c r="L86" s="111"/>
      <c r="M86" s="111"/>
      <c r="N86" s="111"/>
      <c r="O86" s="111"/>
      <c r="P86" s="111"/>
      <c r="Q86" s="111"/>
      <c r="R86" s="111"/>
      <c r="S86" s="111"/>
      <c r="T86" s="111"/>
      <c r="U86" s="111"/>
      <c r="V86" s="111"/>
      <c r="W86" s="111"/>
      <c r="X86" s="113" t="s">
        <v>268</v>
      </c>
      <c r="Y86" s="114">
        <v>65000</v>
      </c>
      <c r="Z86" s="114">
        <v>450</v>
      </c>
      <c r="AA86" s="114">
        <v>35000</v>
      </c>
      <c r="AB86" s="115">
        <v>240</v>
      </c>
    </row>
    <row r="87" spans="1:28" x14ac:dyDescent="0.2">
      <c r="A87" s="111"/>
      <c r="B87" s="111"/>
      <c r="C87" s="111"/>
      <c r="D87" s="111"/>
      <c r="E87" s="111"/>
      <c r="F87" s="111"/>
      <c r="G87" s="111"/>
      <c r="H87" s="111"/>
      <c r="I87" s="111"/>
      <c r="J87" s="111"/>
      <c r="K87" s="111"/>
      <c r="L87" s="111"/>
      <c r="M87" s="111"/>
      <c r="N87" s="111"/>
      <c r="O87" s="111"/>
      <c r="P87" s="111"/>
      <c r="Q87" s="111"/>
      <c r="R87" s="111"/>
      <c r="S87" s="111"/>
      <c r="T87" s="111"/>
      <c r="U87" s="111"/>
      <c r="V87" s="111"/>
      <c r="W87" s="111"/>
      <c r="X87" s="113" t="s">
        <v>269</v>
      </c>
      <c r="Y87" s="114">
        <v>62000</v>
      </c>
      <c r="Z87" s="114">
        <v>450</v>
      </c>
      <c r="AA87" s="114">
        <v>35000</v>
      </c>
      <c r="AB87" s="115">
        <v>240</v>
      </c>
    </row>
    <row r="88" spans="1:28" x14ac:dyDescent="0.2">
      <c r="A88" s="111"/>
      <c r="B88" s="111"/>
      <c r="C88" s="111"/>
      <c r="D88" s="111"/>
      <c r="E88" s="111"/>
      <c r="F88" s="111"/>
      <c r="G88" s="111"/>
      <c r="H88" s="111"/>
      <c r="I88" s="111"/>
      <c r="J88" s="111"/>
      <c r="K88" s="111"/>
      <c r="L88" s="111"/>
      <c r="M88" s="111"/>
      <c r="N88" s="111"/>
      <c r="O88" s="111"/>
      <c r="P88" s="111"/>
      <c r="Q88" s="111"/>
      <c r="R88" s="111"/>
      <c r="S88" s="111"/>
      <c r="T88" s="111"/>
      <c r="U88" s="111"/>
      <c r="V88" s="111"/>
      <c r="W88" s="111"/>
      <c r="X88" s="113" t="s">
        <v>270</v>
      </c>
      <c r="Y88" s="114">
        <v>65000</v>
      </c>
      <c r="Z88" s="114">
        <v>450</v>
      </c>
      <c r="AA88" s="114">
        <v>28000</v>
      </c>
      <c r="AB88" s="115">
        <v>195</v>
      </c>
    </row>
    <row r="89" spans="1:28" x14ac:dyDescent="0.2">
      <c r="A89" s="111"/>
      <c r="B89" s="111"/>
      <c r="C89" s="111"/>
      <c r="D89" s="111"/>
      <c r="E89" s="111"/>
      <c r="F89" s="111"/>
      <c r="G89" s="111"/>
      <c r="H89" s="111"/>
      <c r="I89" s="111"/>
      <c r="J89" s="111"/>
      <c r="K89" s="111"/>
      <c r="L89" s="111"/>
      <c r="M89" s="111"/>
      <c r="N89" s="111"/>
      <c r="O89" s="111"/>
      <c r="P89" s="111"/>
      <c r="Q89" s="111"/>
      <c r="R89" s="111"/>
      <c r="S89" s="111"/>
      <c r="T89" s="111"/>
      <c r="U89" s="111"/>
      <c r="V89" s="111"/>
      <c r="W89" s="111"/>
      <c r="X89" s="113" t="s">
        <v>271</v>
      </c>
      <c r="Y89" s="114">
        <v>70000</v>
      </c>
      <c r="Z89" s="114">
        <v>485</v>
      </c>
      <c r="AA89" s="114">
        <v>30000</v>
      </c>
      <c r="AB89" s="115">
        <v>205</v>
      </c>
    </row>
    <row r="90" spans="1:28" x14ac:dyDescent="0.2">
      <c r="A90" s="111"/>
      <c r="B90" s="111"/>
      <c r="C90" s="111"/>
      <c r="D90" s="111"/>
      <c r="E90" s="111"/>
      <c r="F90" s="111"/>
      <c r="G90" s="111"/>
      <c r="H90" s="111"/>
      <c r="I90" s="111"/>
      <c r="J90" s="111"/>
      <c r="K90" s="111"/>
      <c r="L90" s="111"/>
      <c r="M90" s="111"/>
      <c r="N90" s="111"/>
      <c r="O90" s="111"/>
      <c r="P90" s="111"/>
      <c r="Q90" s="111"/>
      <c r="R90" s="111"/>
      <c r="S90" s="111"/>
      <c r="T90" s="111"/>
      <c r="U90" s="111"/>
      <c r="V90" s="111"/>
      <c r="W90" s="111"/>
      <c r="X90" s="113" t="s">
        <v>272</v>
      </c>
      <c r="Y90" s="114">
        <v>62000</v>
      </c>
      <c r="Z90" s="114">
        <v>425</v>
      </c>
      <c r="AA90" s="114">
        <v>25000</v>
      </c>
      <c r="AB90" s="115">
        <v>170</v>
      </c>
    </row>
    <row r="91" spans="1:28" x14ac:dyDescent="0.2">
      <c r="A91" s="111"/>
      <c r="B91" s="111"/>
      <c r="C91" s="111"/>
      <c r="D91" s="111"/>
      <c r="E91" s="111"/>
      <c r="F91" s="111"/>
      <c r="G91" s="111"/>
      <c r="H91" s="111"/>
      <c r="I91" s="111"/>
      <c r="J91" s="111"/>
      <c r="K91" s="111"/>
      <c r="L91" s="111"/>
      <c r="M91" s="111"/>
      <c r="N91" s="111"/>
      <c r="O91" s="111"/>
      <c r="P91" s="111"/>
      <c r="Q91" s="111"/>
      <c r="R91" s="111"/>
      <c r="S91" s="111"/>
      <c r="T91" s="111"/>
      <c r="U91" s="111"/>
      <c r="V91" s="111"/>
      <c r="W91" s="111"/>
      <c r="X91" s="113" t="s">
        <v>273</v>
      </c>
      <c r="Y91" s="114">
        <v>80000</v>
      </c>
      <c r="Z91" s="114">
        <v>550</v>
      </c>
      <c r="AA91" s="114">
        <v>38000</v>
      </c>
      <c r="AB91" s="115">
        <v>260</v>
      </c>
    </row>
    <row r="92" spans="1:28" x14ac:dyDescent="0.2">
      <c r="A92" s="111"/>
      <c r="B92" s="111"/>
      <c r="C92" s="111"/>
      <c r="D92" s="111"/>
      <c r="E92" s="111"/>
      <c r="F92" s="111"/>
      <c r="G92" s="111"/>
      <c r="H92" s="111"/>
      <c r="I92" s="111"/>
      <c r="J92" s="111"/>
      <c r="K92" s="111"/>
      <c r="L92" s="111"/>
      <c r="M92" s="111"/>
      <c r="N92" s="111"/>
      <c r="O92" s="111"/>
      <c r="P92" s="111"/>
      <c r="Q92" s="111"/>
      <c r="R92" s="111"/>
      <c r="S92" s="111"/>
      <c r="T92" s="111"/>
      <c r="U92" s="111"/>
      <c r="V92" s="111"/>
      <c r="W92" s="111"/>
      <c r="X92" s="113" t="s">
        <v>274</v>
      </c>
      <c r="Y92" s="114">
        <v>100000</v>
      </c>
      <c r="Z92" s="114">
        <v>690</v>
      </c>
      <c r="AA92" s="114">
        <v>70000</v>
      </c>
      <c r="AB92" s="115">
        <v>485</v>
      </c>
    </row>
    <row r="93" spans="1:28" x14ac:dyDescent="0.2">
      <c r="A93" s="111"/>
      <c r="B93" s="111"/>
      <c r="C93" s="111"/>
      <c r="D93" s="111"/>
      <c r="E93" s="111"/>
      <c r="F93" s="111"/>
      <c r="G93" s="111"/>
      <c r="H93" s="111"/>
      <c r="I93" s="111"/>
      <c r="J93" s="111"/>
      <c r="K93" s="111"/>
      <c r="L93" s="111"/>
      <c r="M93" s="111"/>
      <c r="N93" s="111"/>
      <c r="O93" s="111"/>
      <c r="P93" s="111"/>
      <c r="Q93" s="111"/>
      <c r="R93" s="111"/>
      <c r="S93" s="111"/>
      <c r="T93" s="111"/>
      <c r="U93" s="111"/>
      <c r="V93" s="111"/>
      <c r="W93" s="111"/>
      <c r="X93" s="113" t="s">
        <v>275</v>
      </c>
      <c r="Y93" s="114">
        <v>95000</v>
      </c>
      <c r="Z93" s="114">
        <v>655</v>
      </c>
      <c r="AA93" s="114">
        <v>65000</v>
      </c>
      <c r="AB93" s="115">
        <v>450</v>
      </c>
    </row>
    <row r="94" spans="1:28" x14ac:dyDescent="0.2">
      <c r="A94" s="111"/>
      <c r="B94" s="111"/>
      <c r="C94" s="111"/>
      <c r="D94" s="111"/>
      <c r="E94" s="111"/>
      <c r="F94" s="111"/>
      <c r="G94" s="111"/>
      <c r="H94" s="111"/>
      <c r="I94" s="111"/>
      <c r="J94" s="111"/>
      <c r="K94" s="111"/>
      <c r="L94" s="111"/>
      <c r="M94" s="111"/>
      <c r="N94" s="111"/>
      <c r="O94" s="111"/>
      <c r="P94" s="111"/>
      <c r="Q94" s="111"/>
      <c r="R94" s="111"/>
      <c r="S94" s="111"/>
      <c r="T94" s="111"/>
      <c r="U94" s="111"/>
      <c r="V94" s="111"/>
      <c r="W94" s="111"/>
      <c r="X94" s="113" t="s">
        <v>276</v>
      </c>
      <c r="Y94" s="114">
        <v>85000</v>
      </c>
      <c r="Z94" s="114">
        <v>585</v>
      </c>
      <c r="AA94" s="114">
        <v>42500</v>
      </c>
      <c r="AB94" s="115">
        <v>295</v>
      </c>
    </row>
    <row r="95" spans="1:28" x14ac:dyDescent="0.2">
      <c r="A95" s="111"/>
      <c r="B95" s="111"/>
      <c r="C95" s="111"/>
      <c r="D95" s="111"/>
      <c r="E95" s="111"/>
      <c r="F95" s="111"/>
      <c r="G95" s="111"/>
      <c r="H95" s="111"/>
      <c r="I95" s="111"/>
      <c r="J95" s="111"/>
      <c r="K95" s="111"/>
      <c r="L95" s="111"/>
      <c r="M95" s="111"/>
      <c r="N95" s="111"/>
      <c r="O95" s="111"/>
      <c r="P95" s="111"/>
      <c r="Q95" s="111"/>
      <c r="R95" s="111"/>
      <c r="S95" s="111"/>
      <c r="T95" s="111"/>
      <c r="U95" s="111"/>
      <c r="V95" s="111"/>
      <c r="W95" s="111"/>
      <c r="X95" s="113" t="s">
        <v>277</v>
      </c>
      <c r="Y95" s="114">
        <v>75000</v>
      </c>
      <c r="Z95" s="114">
        <v>515</v>
      </c>
      <c r="AA95" s="114">
        <v>35000</v>
      </c>
      <c r="AB95" s="115">
        <v>240</v>
      </c>
    </row>
    <row r="96" spans="1:28" x14ac:dyDescent="0.2">
      <c r="A96" s="111"/>
      <c r="B96" s="111"/>
      <c r="C96" s="111"/>
      <c r="D96" s="111"/>
      <c r="E96" s="111"/>
      <c r="F96" s="111"/>
      <c r="G96" s="111"/>
      <c r="H96" s="111"/>
      <c r="I96" s="111"/>
      <c r="J96" s="111"/>
      <c r="K96" s="111"/>
      <c r="L96" s="111"/>
      <c r="M96" s="111"/>
      <c r="N96" s="111"/>
      <c r="O96" s="111"/>
      <c r="P96" s="111"/>
      <c r="Q96" s="111"/>
      <c r="R96" s="111"/>
      <c r="S96" s="111"/>
      <c r="T96" s="111"/>
      <c r="U96" s="111"/>
      <c r="V96" s="111"/>
      <c r="W96" s="111"/>
      <c r="X96" s="113" t="s">
        <v>278</v>
      </c>
      <c r="Y96" s="114">
        <v>85000</v>
      </c>
      <c r="Z96" s="114">
        <v>585</v>
      </c>
      <c r="AA96" s="114">
        <v>42500</v>
      </c>
      <c r="AB96" s="115">
        <v>295</v>
      </c>
    </row>
    <row r="97" spans="1:28" x14ac:dyDescent="0.2">
      <c r="A97" s="111"/>
      <c r="B97" s="111"/>
      <c r="C97" s="111"/>
      <c r="D97" s="111"/>
      <c r="E97" s="111"/>
      <c r="F97" s="111"/>
      <c r="G97" s="111"/>
      <c r="H97" s="111"/>
      <c r="I97" s="111"/>
      <c r="J97" s="111"/>
      <c r="K97" s="111"/>
      <c r="L97" s="111"/>
      <c r="M97" s="111"/>
      <c r="N97" s="111"/>
      <c r="O97" s="111"/>
      <c r="P97" s="111"/>
      <c r="Q97" s="111"/>
      <c r="R97" s="111"/>
      <c r="S97" s="111"/>
      <c r="T97" s="111"/>
      <c r="U97" s="111"/>
      <c r="V97" s="111"/>
      <c r="W97" s="111"/>
      <c r="X97" s="113" t="s">
        <v>279</v>
      </c>
      <c r="Y97" s="114">
        <v>63000</v>
      </c>
      <c r="Z97" s="114">
        <v>435</v>
      </c>
      <c r="AA97" s="114">
        <v>25000</v>
      </c>
      <c r="AB97" s="115">
        <v>170</v>
      </c>
    </row>
    <row r="98" spans="1:28" x14ac:dyDescent="0.2">
      <c r="A98" s="111"/>
      <c r="B98" s="111"/>
      <c r="C98" s="111"/>
      <c r="D98" s="111"/>
      <c r="E98" s="111"/>
      <c r="F98" s="111"/>
      <c r="G98" s="111"/>
      <c r="H98" s="111"/>
      <c r="I98" s="111"/>
      <c r="J98" s="111"/>
      <c r="K98" s="111"/>
      <c r="L98" s="111"/>
      <c r="M98" s="111"/>
      <c r="N98" s="111"/>
      <c r="O98" s="111"/>
      <c r="P98" s="111"/>
      <c r="Q98" s="111"/>
      <c r="R98" s="111"/>
      <c r="S98" s="111"/>
      <c r="T98" s="111"/>
      <c r="U98" s="111"/>
      <c r="V98" s="111"/>
      <c r="W98" s="111"/>
      <c r="X98" s="113" t="s">
        <v>280</v>
      </c>
      <c r="Y98" s="114">
        <v>80000</v>
      </c>
      <c r="Z98" s="114">
        <v>550</v>
      </c>
      <c r="AA98" s="114">
        <v>38000</v>
      </c>
      <c r="AB98" s="115">
        <v>260</v>
      </c>
    </row>
    <row r="99" spans="1:28" x14ac:dyDescent="0.2">
      <c r="A99" s="111"/>
      <c r="B99" s="111"/>
      <c r="C99" s="111"/>
      <c r="D99" s="111"/>
      <c r="E99" s="111"/>
      <c r="F99" s="111"/>
      <c r="G99" s="111"/>
      <c r="H99" s="111"/>
      <c r="I99" s="111"/>
      <c r="J99" s="111"/>
      <c r="K99" s="111"/>
      <c r="L99" s="111"/>
      <c r="M99" s="111"/>
      <c r="N99" s="111"/>
      <c r="O99" s="111"/>
      <c r="P99" s="111"/>
      <c r="Q99" s="111"/>
      <c r="R99" s="111"/>
      <c r="S99" s="111"/>
      <c r="T99" s="111"/>
      <c r="U99" s="111"/>
      <c r="V99" s="111"/>
      <c r="W99" s="111"/>
      <c r="X99" s="113" t="s">
        <v>281</v>
      </c>
      <c r="Y99" s="114">
        <v>80000</v>
      </c>
      <c r="Z99" s="114">
        <v>550</v>
      </c>
      <c r="AA99" s="114">
        <v>40000</v>
      </c>
      <c r="AB99" s="115">
        <v>275</v>
      </c>
    </row>
    <row r="100" spans="1:28" x14ac:dyDescent="0.2">
      <c r="A100" s="111"/>
      <c r="B100" s="111"/>
      <c r="C100" s="111"/>
      <c r="D100" s="111"/>
      <c r="E100" s="111"/>
      <c r="F100" s="111"/>
      <c r="G100" s="111"/>
      <c r="H100" s="111"/>
      <c r="I100" s="111"/>
      <c r="J100" s="111"/>
      <c r="K100" s="111"/>
      <c r="L100" s="111"/>
      <c r="M100" s="111"/>
      <c r="N100" s="111"/>
      <c r="O100" s="111"/>
      <c r="P100" s="111"/>
      <c r="Q100" s="111"/>
      <c r="R100" s="111"/>
      <c r="S100" s="111"/>
      <c r="T100" s="111"/>
      <c r="U100" s="111"/>
      <c r="V100" s="111"/>
      <c r="W100" s="111"/>
      <c r="X100" s="113" t="s">
        <v>282</v>
      </c>
      <c r="Y100" s="114">
        <v>75000</v>
      </c>
      <c r="Z100" s="114">
        <v>515</v>
      </c>
      <c r="AA100" s="114">
        <v>35000</v>
      </c>
      <c r="AB100" s="115">
        <v>240</v>
      </c>
    </row>
    <row r="101" spans="1:28" ht="15.75" thickBot="1" x14ac:dyDescent="0.25">
      <c r="A101" s="111"/>
      <c r="B101" s="111"/>
      <c r="C101" s="111"/>
      <c r="D101" s="111"/>
      <c r="E101" s="111"/>
      <c r="F101" s="111"/>
      <c r="G101" s="111"/>
      <c r="H101" s="111"/>
      <c r="I101" s="111"/>
      <c r="J101" s="111"/>
      <c r="K101" s="111"/>
      <c r="L101" s="111"/>
      <c r="M101" s="111"/>
      <c r="N101" s="111"/>
      <c r="O101" s="111"/>
      <c r="P101" s="111"/>
      <c r="Q101" s="111"/>
      <c r="R101" s="111"/>
      <c r="S101" s="111"/>
      <c r="T101" s="111"/>
      <c r="U101" s="111"/>
      <c r="V101" s="111"/>
      <c r="W101" s="111"/>
      <c r="X101" s="116" t="s">
        <v>283</v>
      </c>
      <c r="Y101" s="117">
        <v>100000</v>
      </c>
      <c r="Z101" s="117">
        <v>700</v>
      </c>
      <c r="AA101" s="117">
        <v>65000</v>
      </c>
      <c r="AB101" s="118">
        <v>450</v>
      </c>
    </row>
    <row r="102" spans="1:28" x14ac:dyDescent="0.2">
      <c r="A102" s="111"/>
      <c r="B102" s="111"/>
      <c r="C102" s="111"/>
      <c r="D102" s="111"/>
      <c r="E102" s="111"/>
      <c r="F102" s="111"/>
      <c r="G102" s="111"/>
      <c r="H102" s="111"/>
      <c r="I102" s="111"/>
      <c r="J102" s="111"/>
      <c r="K102" s="111"/>
      <c r="L102" s="111"/>
      <c r="M102" s="111"/>
      <c r="N102" s="111"/>
      <c r="O102" s="111"/>
      <c r="P102" s="111"/>
      <c r="Q102" s="111"/>
      <c r="R102" s="111"/>
      <c r="S102" s="111"/>
      <c r="T102" s="111"/>
      <c r="U102" s="111"/>
      <c r="V102" s="111"/>
      <c r="W102" s="111"/>
      <c r="X102" s="111"/>
      <c r="Y102" s="111"/>
      <c r="Z102" s="111"/>
      <c r="AA102" s="111"/>
      <c r="AB102" s="111"/>
    </row>
    <row r="103" spans="1:28" x14ac:dyDescent="0.2">
      <c r="A103" s="111"/>
      <c r="B103" s="111"/>
      <c r="C103" s="111"/>
      <c r="D103" s="111"/>
      <c r="E103" s="111"/>
      <c r="F103" s="111"/>
      <c r="G103" s="111"/>
      <c r="H103" s="111"/>
      <c r="I103" s="111"/>
      <c r="J103" s="111"/>
      <c r="K103" s="111"/>
      <c r="L103" s="111"/>
      <c r="M103" s="111"/>
      <c r="N103" s="111"/>
      <c r="O103" s="111"/>
      <c r="P103" s="111"/>
      <c r="Q103" s="111"/>
      <c r="R103" s="111"/>
      <c r="S103" s="111"/>
      <c r="T103" s="111"/>
      <c r="U103" s="111"/>
      <c r="V103" s="111"/>
      <c r="W103" s="111"/>
      <c r="X103" s="111"/>
      <c r="Y103" s="111"/>
      <c r="Z103" s="111"/>
      <c r="AA103" s="111"/>
      <c r="AB103" s="111"/>
    </row>
    <row r="104" spans="1:28" x14ac:dyDescent="0.2">
      <c r="A104" s="111"/>
      <c r="B104" s="111"/>
      <c r="C104" s="111"/>
      <c r="D104" s="111"/>
      <c r="E104" s="111"/>
      <c r="F104" s="111"/>
      <c r="G104" s="111"/>
      <c r="H104" s="111"/>
      <c r="I104" s="111"/>
      <c r="J104" s="111"/>
      <c r="K104" s="111"/>
      <c r="L104" s="111"/>
      <c r="M104" s="111"/>
      <c r="N104" s="111"/>
      <c r="O104" s="111"/>
      <c r="P104" s="111"/>
      <c r="Q104" s="111"/>
      <c r="R104" s="111"/>
      <c r="S104" s="111"/>
      <c r="T104" s="111"/>
      <c r="U104" s="111"/>
      <c r="V104" s="111"/>
      <c r="W104" s="111"/>
      <c r="X104" s="111"/>
      <c r="Y104" s="111"/>
      <c r="Z104" s="111"/>
      <c r="AA104" s="111"/>
      <c r="AB104" s="111"/>
    </row>
    <row r="105" spans="1:28" x14ac:dyDescent="0.2">
      <c r="A105" s="111"/>
      <c r="B105" s="111"/>
      <c r="C105" s="111"/>
      <c r="D105" s="111"/>
      <c r="E105" s="111"/>
      <c r="F105" s="111"/>
      <c r="G105" s="111"/>
      <c r="H105" s="111"/>
      <c r="I105" s="111"/>
      <c r="J105" s="111"/>
      <c r="K105" s="111"/>
      <c r="L105" s="111"/>
      <c r="M105" s="111"/>
      <c r="N105" s="111"/>
      <c r="O105" s="111"/>
      <c r="P105" s="111"/>
      <c r="Q105" s="111"/>
      <c r="R105" s="111"/>
      <c r="S105" s="111"/>
      <c r="T105" s="111"/>
      <c r="U105" s="111"/>
      <c r="V105" s="111"/>
      <c r="W105" s="111"/>
      <c r="X105" s="111"/>
      <c r="Y105" s="111"/>
      <c r="Z105" s="111"/>
      <c r="AA105" s="111"/>
      <c r="AB105" s="111"/>
    </row>
    <row r="106" spans="1:28" x14ac:dyDescent="0.2">
      <c r="A106" s="111"/>
      <c r="B106" s="111"/>
      <c r="C106" s="111"/>
      <c r="D106" s="111"/>
      <c r="E106" s="111"/>
      <c r="F106" s="111"/>
      <c r="G106" s="111"/>
      <c r="H106" s="111"/>
      <c r="I106" s="111"/>
      <c r="J106" s="111"/>
      <c r="K106" s="111"/>
      <c r="L106" s="111"/>
      <c r="M106" s="111"/>
      <c r="N106" s="111"/>
      <c r="O106" s="111"/>
      <c r="P106" s="111"/>
      <c r="Q106" s="111"/>
      <c r="R106" s="111"/>
      <c r="S106" s="111"/>
      <c r="T106" s="111"/>
      <c r="U106" s="111"/>
      <c r="V106" s="111"/>
      <c r="W106" s="111"/>
      <c r="X106" s="111"/>
      <c r="Y106" s="111"/>
      <c r="Z106" s="111"/>
      <c r="AA106" s="111"/>
      <c r="AB106" s="111"/>
    </row>
    <row r="107" spans="1:28" x14ac:dyDescent="0.2">
      <c r="A107" s="111"/>
      <c r="B107" s="111"/>
      <c r="C107" s="111"/>
      <c r="D107" s="111"/>
      <c r="E107" s="111"/>
      <c r="F107" s="111"/>
      <c r="G107" s="111"/>
      <c r="H107" s="111"/>
      <c r="I107" s="111"/>
      <c r="J107" s="111"/>
      <c r="K107" s="111"/>
      <c r="L107" s="111"/>
      <c r="M107" s="111"/>
      <c r="N107" s="111"/>
      <c r="O107" s="111"/>
      <c r="P107" s="111"/>
      <c r="Q107" s="111"/>
      <c r="R107" s="111"/>
      <c r="S107" s="111"/>
      <c r="T107" s="111"/>
      <c r="U107" s="111"/>
      <c r="V107" s="111"/>
      <c r="W107" s="111"/>
      <c r="X107" s="111"/>
      <c r="Y107" s="111"/>
      <c r="Z107" s="111"/>
      <c r="AA107" s="111"/>
      <c r="AB107" s="111"/>
    </row>
    <row r="108" spans="1:28" x14ac:dyDescent="0.2">
      <c r="A108" s="111"/>
      <c r="B108" s="111"/>
      <c r="C108" s="111"/>
      <c r="D108" s="111"/>
      <c r="E108" s="111"/>
      <c r="F108" s="111"/>
      <c r="G108" s="111"/>
      <c r="H108" s="111"/>
      <c r="I108" s="111"/>
      <c r="J108" s="111"/>
      <c r="K108" s="111"/>
      <c r="L108" s="111"/>
      <c r="M108" s="111"/>
      <c r="N108" s="111"/>
      <c r="O108" s="111"/>
      <c r="P108" s="111"/>
      <c r="Q108" s="111"/>
      <c r="R108" s="111"/>
      <c r="S108" s="111"/>
      <c r="T108" s="111"/>
      <c r="U108" s="111"/>
      <c r="V108" s="111"/>
      <c r="W108" s="111"/>
      <c r="X108" s="111"/>
      <c r="Y108" s="111"/>
      <c r="Z108" s="111"/>
      <c r="AA108" s="111"/>
      <c r="AB108" s="111"/>
    </row>
    <row r="109" spans="1:28" x14ac:dyDescent="0.2">
      <c r="A109" s="111"/>
      <c r="B109" s="111"/>
      <c r="C109" s="111"/>
      <c r="D109" s="111"/>
      <c r="E109" s="111"/>
      <c r="F109" s="111"/>
      <c r="G109" s="111"/>
      <c r="H109" s="111"/>
      <c r="I109" s="111"/>
      <c r="J109" s="111"/>
      <c r="K109" s="111"/>
      <c r="L109" s="111"/>
      <c r="M109" s="111"/>
      <c r="N109" s="111"/>
      <c r="O109" s="111"/>
      <c r="P109" s="111"/>
      <c r="Q109" s="111"/>
      <c r="R109" s="111"/>
      <c r="S109" s="111"/>
      <c r="T109" s="111"/>
      <c r="U109" s="111"/>
      <c r="V109" s="111"/>
      <c r="W109" s="111"/>
      <c r="X109" s="111"/>
      <c r="Y109" s="111"/>
      <c r="Z109" s="111"/>
      <c r="AA109" s="111"/>
      <c r="AB109" s="111"/>
    </row>
    <row r="110" spans="1:28" x14ac:dyDescent="0.2">
      <c r="A110" s="111"/>
      <c r="B110" s="111"/>
      <c r="C110" s="111"/>
      <c r="D110" s="111"/>
      <c r="E110" s="111"/>
      <c r="F110" s="111"/>
      <c r="G110" s="111"/>
      <c r="H110" s="111"/>
      <c r="I110" s="111"/>
      <c r="J110" s="111"/>
      <c r="K110" s="111"/>
      <c r="L110" s="111"/>
      <c r="M110" s="111"/>
      <c r="N110" s="111"/>
      <c r="O110" s="111"/>
      <c r="P110" s="111"/>
      <c r="Q110" s="111"/>
      <c r="R110" s="111"/>
      <c r="S110" s="111"/>
      <c r="T110" s="111"/>
      <c r="U110" s="111"/>
      <c r="V110" s="111"/>
      <c r="W110" s="111"/>
      <c r="X110" s="111"/>
      <c r="Y110" s="111"/>
      <c r="Z110" s="111"/>
      <c r="AA110" s="111"/>
      <c r="AB110" s="111"/>
    </row>
    <row r="111" spans="1:28" x14ac:dyDescent="0.2">
      <c r="A111" s="111"/>
      <c r="B111" s="111"/>
      <c r="C111" s="111"/>
      <c r="D111" s="111"/>
      <c r="E111" s="111"/>
      <c r="F111" s="111"/>
      <c r="G111" s="111"/>
      <c r="H111" s="111"/>
      <c r="I111" s="111"/>
      <c r="J111" s="111"/>
      <c r="K111" s="111"/>
      <c r="L111" s="111"/>
      <c r="M111" s="111"/>
      <c r="N111" s="111"/>
      <c r="O111" s="111"/>
      <c r="P111" s="111"/>
      <c r="Q111" s="111"/>
      <c r="R111" s="111"/>
      <c r="S111" s="111"/>
      <c r="T111" s="111"/>
      <c r="U111" s="111"/>
      <c r="V111" s="111"/>
      <c r="W111" s="111"/>
      <c r="X111" s="111"/>
      <c r="Y111" s="111"/>
      <c r="Z111" s="111"/>
      <c r="AA111" s="111"/>
      <c r="AB111" s="111"/>
    </row>
    <row r="112" spans="1:28" x14ac:dyDescent="0.2">
      <c r="A112" s="111"/>
      <c r="B112" s="111"/>
      <c r="C112" s="111"/>
      <c r="D112" s="111"/>
      <c r="E112" s="111"/>
      <c r="F112" s="111"/>
      <c r="G112" s="111"/>
      <c r="H112" s="111"/>
      <c r="I112" s="111"/>
      <c r="J112" s="111"/>
      <c r="K112" s="111"/>
      <c r="L112" s="111"/>
      <c r="M112" s="111"/>
      <c r="N112" s="111"/>
      <c r="O112" s="111"/>
      <c r="P112" s="111"/>
      <c r="Q112" s="111"/>
      <c r="R112" s="111"/>
      <c r="S112" s="111"/>
      <c r="T112" s="111"/>
      <c r="U112" s="111"/>
      <c r="V112" s="111"/>
      <c r="W112" s="111"/>
      <c r="X112" s="111"/>
      <c r="Y112" s="111"/>
      <c r="Z112" s="111"/>
      <c r="AA112" s="111"/>
      <c r="AB112" s="111"/>
    </row>
    <row r="113" spans="1:28" x14ac:dyDescent="0.2">
      <c r="A113" s="111"/>
      <c r="B113" s="111"/>
      <c r="C113" s="111"/>
      <c r="D113" s="111"/>
      <c r="E113" s="111"/>
      <c r="F113" s="111"/>
      <c r="G113" s="111"/>
      <c r="H113" s="111"/>
      <c r="I113" s="111"/>
      <c r="J113" s="111"/>
      <c r="K113" s="111"/>
      <c r="L113" s="111"/>
      <c r="M113" s="111"/>
      <c r="N113" s="111"/>
      <c r="O113" s="111"/>
      <c r="P113" s="111"/>
      <c r="Q113" s="111"/>
      <c r="R113" s="111"/>
      <c r="S113" s="111"/>
      <c r="T113" s="111"/>
      <c r="U113" s="111"/>
      <c r="V113" s="111"/>
      <c r="W113" s="111"/>
      <c r="X113" s="111"/>
      <c r="Y113" s="111"/>
      <c r="Z113" s="111"/>
      <c r="AA113" s="111"/>
      <c r="AB113" s="111"/>
    </row>
  </sheetData>
  <mergeCells count="2">
    <mergeCell ref="Y69:Z69"/>
    <mergeCell ref="AA69:AB69"/>
  </mergeCells>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ublished="0" codeName="Sayfa12"/>
  <dimension ref="P2:AV115"/>
  <sheetViews>
    <sheetView zoomScale="85" zoomScaleNormal="85" workbookViewId="0">
      <selection activeCell="AW53" sqref="AW53"/>
    </sheetView>
  </sheetViews>
  <sheetFormatPr defaultRowHeight="15" x14ac:dyDescent="0.2"/>
  <cols>
    <col min="16" max="16" width="9.14453125" style="122"/>
    <col min="49" max="49" width="7.12890625" customWidth="1"/>
  </cols>
  <sheetData>
    <row r="2" spans="33:48" x14ac:dyDescent="0.2">
      <c r="AG2" s="80"/>
      <c r="AH2" s="123"/>
      <c r="AI2" s="123"/>
      <c r="AJ2" s="123"/>
      <c r="AK2" s="123"/>
      <c r="AL2" s="123"/>
      <c r="AM2" s="123"/>
      <c r="AN2" s="123"/>
      <c r="AO2" s="123"/>
      <c r="AP2" s="123"/>
      <c r="AQ2" s="123"/>
      <c r="AR2" s="123"/>
      <c r="AS2" s="123"/>
      <c r="AT2" s="123"/>
      <c r="AU2" s="123"/>
      <c r="AV2" s="123"/>
    </row>
    <row r="3" spans="33:48" x14ac:dyDescent="0.2">
      <c r="AG3" s="80"/>
      <c r="AH3" s="123"/>
      <c r="AI3" s="123"/>
      <c r="AJ3" s="123"/>
      <c r="AK3" s="123"/>
      <c r="AL3" s="123"/>
      <c r="AM3" s="123"/>
      <c r="AN3" s="123"/>
      <c r="AO3" s="123"/>
      <c r="AP3" s="123"/>
      <c r="AQ3" s="123"/>
      <c r="AR3" s="123"/>
      <c r="AS3" s="123"/>
      <c r="AT3" s="123"/>
      <c r="AU3" s="123"/>
      <c r="AV3" s="123"/>
    </row>
    <row r="4" spans="33:48" x14ac:dyDescent="0.2">
      <c r="AG4" s="80"/>
      <c r="AH4" s="123"/>
      <c r="AI4" s="123"/>
      <c r="AJ4" s="123"/>
      <c r="AK4" s="123"/>
      <c r="AL4" s="123"/>
      <c r="AM4" s="123"/>
      <c r="AN4" s="123"/>
      <c r="AO4" s="123"/>
      <c r="AP4" s="123"/>
      <c r="AQ4" s="123"/>
      <c r="AR4" s="123"/>
      <c r="AS4" s="123"/>
      <c r="AT4" s="123"/>
      <c r="AU4" s="123"/>
      <c r="AV4" s="123"/>
    </row>
    <row r="5" spans="33:48" x14ac:dyDescent="0.2">
      <c r="AG5" s="80"/>
      <c r="AH5" s="123"/>
      <c r="AI5" s="123"/>
      <c r="AJ5" s="123"/>
      <c r="AK5" s="123"/>
      <c r="AL5" s="123"/>
      <c r="AM5" s="123"/>
      <c r="AN5" s="123"/>
      <c r="AO5" s="123"/>
      <c r="AP5" s="123"/>
      <c r="AQ5" s="123"/>
      <c r="AR5" s="123"/>
      <c r="AS5" s="123"/>
      <c r="AT5" s="123"/>
      <c r="AU5" s="123"/>
      <c r="AV5" s="123"/>
    </row>
    <row r="6" spans="33:48" x14ac:dyDescent="0.2">
      <c r="AG6" s="80"/>
      <c r="AH6" s="123"/>
      <c r="AI6" s="123"/>
      <c r="AJ6" s="123"/>
      <c r="AK6" s="123"/>
      <c r="AL6" s="123"/>
      <c r="AM6" s="123"/>
      <c r="AN6" s="123"/>
      <c r="AO6" s="123"/>
      <c r="AP6" s="123"/>
      <c r="AQ6" s="123"/>
      <c r="AR6" s="123"/>
      <c r="AS6" s="123"/>
      <c r="AT6" s="123"/>
      <c r="AU6" s="123"/>
      <c r="AV6" s="123"/>
    </row>
    <row r="7" spans="33:48" x14ac:dyDescent="0.2">
      <c r="AG7" s="80"/>
      <c r="AH7" s="123"/>
      <c r="AI7" s="123"/>
      <c r="AJ7" s="123"/>
      <c r="AK7" s="123"/>
      <c r="AL7" s="123"/>
      <c r="AM7" s="123"/>
      <c r="AN7" s="123"/>
      <c r="AO7" s="123"/>
      <c r="AP7" s="123"/>
      <c r="AQ7" s="123"/>
      <c r="AR7" s="123"/>
      <c r="AS7" s="123"/>
      <c r="AT7" s="123"/>
      <c r="AU7" s="123"/>
      <c r="AV7" s="123"/>
    </row>
    <row r="8" spans="33:48" x14ac:dyDescent="0.2">
      <c r="AG8" s="80"/>
      <c r="AH8" s="123"/>
      <c r="AI8" s="123"/>
      <c r="AJ8" s="123"/>
      <c r="AK8" s="123"/>
      <c r="AL8" s="123"/>
      <c r="AM8" s="123"/>
      <c r="AN8" s="123"/>
      <c r="AO8" s="123"/>
      <c r="AP8" s="123"/>
      <c r="AQ8" s="123"/>
      <c r="AR8" s="123"/>
      <c r="AS8" s="123"/>
      <c r="AT8" s="123"/>
      <c r="AU8" s="123"/>
      <c r="AV8" s="123"/>
    </row>
    <row r="9" spans="33:48" x14ac:dyDescent="0.2">
      <c r="AG9" s="80"/>
      <c r="AH9" s="123"/>
      <c r="AI9" s="123"/>
      <c r="AJ9" s="123"/>
      <c r="AK9" s="123"/>
      <c r="AL9" s="123"/>
      <c r="AM9" s="123"/>
      <c r="AN9" s="123"/>
      <c r="AO9" s="123"/>
      <c r="AP9" s="123"/>
      <c r="AQ9" s="123"/>
      <c r="AR9" s="123"/>
      <c r="AS9" s="123"/>
      <c r="AT9" s="123"/>
      <c r="AU9" s="123"/>
      <c r="AV9" s="123"/>
    </row>
    <row r="10" spans="33:48" x14ac:dyDescent="0.2">
      <c r="AG10" s="80"/>
      <c r="AH10" s="123"/>
      <c r="AI10" s="123"/>
      <c r="AJ10" s="123"/>
      <c r="AK10" s="123"/>
      <c r="AL10" s="123"/>
      <c r="AM10" s="123"/>
      <c r="AN10" s="123"/>
      <c r="AO10" s="123"/>
      <c r="AP10" s="123"/>
      <c r="AQ10" s="123"/>
      <c r="AR10" s="123"/>
      <c r="AS10" s="123"/>
      <c r="AT10" s="123"/>
      <c r="AU10" s="123"/>
      <c r="AV10" s="123"/>
    </row>
    <row r="11" spans="33:48" x14ac:dyDescent="0.2">
      <c r="AG11" s="80"/>
      <c r="AH11" s="123"/>
      <c r="AI11" s="123"/>
      <c r="AJ11" s="123"/>
      <c r="AK11" s="123"/>
      <c r="AL11" s="123"/>
      <c r="AM11" s="123"/>
      <c r="AN11" s="123"/>
      <c r="AO11" s="123"/>
      <c r="AP11" s="123"/>
      <c r="AQ11" s="123"/>
      <c r="AR11" s="123"/>
      <c r="AS11" s="123"/>
      <c r="AT11" s="123"/>
      <c r="AU11" s="123"/>
      <c r="AV11" s="123"/>
    </row>
    <row r="12" spans="33:48" x14ac:dyDescent="0.2">
      <c r="AG12" s="80"/>
      <c r="AH12" s="123"/>
      <c r="AI12" s="123"/>
      <c r="AJ12" s="123"/>
      <c r="AK12" s="123"/>
      <c r="AL12" s="123"/>
      <c r="AM12" s="123"/>
      <c r="AN12" s="123"/>
      <c r="AO12" s="123"/>
      <c r="AP12" s="123"/>
      <c r="AQ12" s="123"/>
      <c r="AR12" s="123"/>
      <c r="AS12" s="123"/>
      <c r="AT12" s="123"/>
      <c r="AU12" s="123"/>
      <c r="AV12" s="123"/>
    </row>
    <row r="13" spans="33:48" x14ac:dyDescent="0.2">
      <c r="AG13" s="80"/>
      <c r="AH13" s="123"/>
      <c r="AI13" s="123"/>
      <c r="AJ13" s="123"/>
      <c r="AK13" s="123"/>
      <c r="AL13" s="123"/>
      <c r="AM13" s="123"/>
      <c r="AN13" s="123"/>
      <c r="AO13" s="123"/>
      <c r="AP13" s="123"/>
      <c r="AQ13" s="123"/>
      <c r="AR13" s="123"/>
      <c r="AS13" s="123"/>
      <c r="AT13" s="123"/>
      <c r="AU13" s="123"/>
      <c r="AV13" s="123"/>
    </row>
    <row r="14" spans="33:48" x14ac:dyDescent="0.2">
      <c r="AG14" s="80"/>
      <c r="AH14" s="123"/>
      <c r="AI14" s="123"/>
      <c r="AJ14" s="123"/>
      <c r="AK14" s="123"/>
      <c r="AL14" s="123"/>
      <c r="AM14" s="123"/>
      <c r="AN14" s="123"/>
      <c r="AO14" s="123"/>
      <c r="AP14" s="123"/>
      <c r="AQ14" s="123"/>
      <c r="AR14" s="123"/>
      <c r="AS14" s="123"/>
      <c r="AT14" s="123"/>
      <c r="AU14" s="123"/>
      <c r="AV14" s="123"/>
    </row>
    <row r="15" spans="33:48" x14ac:dyDescent="0.2">
      <c r="AG15" s="80"/>
      <c r="AH15" s="123"/>
      <c r="AI15" s="123"/>
      <c r="AJ15" s="123"/>
      <c r="AK15" s="123"/>
      <c r="AL15" s="123"/>
      <c r="AM15" s="123"/>
      <c r="AN15" s="123"/>
      <c r="AO15" s="123"/>
      <c r="AP15" s="123"/>
      <c r="AQ15" s="123"/>
      <c r="AR15" s="123"/>
      <c r="AS15" s="123"/>
      <c r="AT15" s="123"/>
      <c r="AU15" s="123"/>
      <c r="AV15" s="123"/>
    </row>
    <row r="16" spans="33:48" x14ac:dyDescent="0.2">
      <c r="AG16" s="80"/>
      <c r="AH16" s="123"/>
      <c r="AI16" s="123"/>
      <c r="AJ16" s="123"/>
      <c r="AK16" s="123"/>
      <c r="AL16" s="123"/>
      <c r="AM16" s="123"/>
      <c r="AN16" s="123"/>
      <c r="AO16" s="123"/>
      <c r="AP16" s="123"/>
      <c r="AQ16" s="123"/>
      <c r="AR16" s="123"/>
      <c r="AS16" s="123"/>
      <c r="AT16" s="123"/>
      <c r="AU16" s="123"/>
      <c r="AV16" s="123"/>
    </row>
    <row r="17" spans="33:48" x14ac:dyDescent="0.2">
      <c r="AG17" s="80"/>
      <c r="AH17" s="123"/>
      <c r="AI17" s="123"/>
      <c r="AJ17" s="123"/>
      <c r="AK17" s="123"/>
      <c r="AL17" s="123"/>
      <c r="AM17" s="123"/>
      <c r="AN17" s="123"/>
      <c r="AO17" s="123"/>
      <c r="AP17" s="123"/>
      <c r="AQ17" s="123"/>
      <c r="AR17" s="123"/>
      <c r="AS17" s="123"/>
      <c r="AT17" s="123"/>
      <c r="AU17" s="123"/>
      <c r="AV17" s="123"/>
    </row>
    <row r="18" spans="33:48" x14ac:dyDescent="0.2">
      <c r="AG18" s="80"/>
      <c r="AH18" s="123"/>
      <c r="AI18" s="123"/>
      <c r="AJ18" s="123"/>
      <c r="AK18" s="123"/>
      <c r="AL18" s="123"/>
      <c r="AM18" s="123"/>
      <c r="AN18" s="123"/>
      <c r="AO18" s="123"/>
      <c r="AP18" s="123"/>
      <c r="AQ18" s="123"/>
      <c r="AR18" s="123"/>
      <c r="AS18" s="123"/>
      <c r="AT18" s="123"/>
      <c r="AU18" s="123"/>
      <c r="AV18" s="123"/>
    </row>
    <row r="19" spans="33:48" x14ac:dyDescent="0.2">
      <c r="AG19" s="80"/>
      <c r="AH19" s="123"/>
      <c r="AI19" s="123"/>
      <c r="AJ19" s="123"/>
      <c r="AK19" s="123"/>
      <c r="AL19" s="123"/>
      <c r="AM19" s="123"/>
      <c r="AN19" s="123"/>
      <c r="AO19" s="123"/>
      <c r="AP19" s="123"/>
      <c r="AQ19" s="123"/>
      <c r="AR19" s="123"/>
      <c r="AS19" s="123"/>
      <c r="AT19" s="123"/>
      <c r="AU19" s="123"/>
      <c r="AV19" s="123"/>
    </row>
    <row r="20" spans="33:48" x14ac:dyDescent="0.2">
      <c r="AG20" s="80"/>
      <c r="AH20" s="123"/>
      <c r="AI20" s="123"/>
      <c r="AJ20" s="123"/>
      <c r="AK20" s="123"/>
      <c r="AL20" s="123"/>
      <c r="AM20" s="123"/>
      <c r="AN20" s="123"/>
      <c r="AO20" s="123"/>
      <c r="AP20" s="123"/>
      <c r="AQ20" s="123"/>
      <c r="AR20" s="123"/>
      <c r="AS20" s="123"/>
      <c r="AT20" s="123"/>
      <c r="AU20" s="123"/>
      <c r="AV20" s="123"/>
    </row>
    <row r="21" spans="33:48" x14ac:dyDescent="0.2">
      <c r="AG21" s="80"/>
      <c r="AH21" s="123"/>
      <c r="AI21" s="123"/>
      <c r="AJ21" s="123"/>
      <c r="AK21" s="123"/>
      <c r="AL21" s="123"/>
      <c r="AM21" s="123"/>
      <c r="AN21" s="123"/>
      <c r="AO21" s="123"/>
      <c r="AP21" s="123"/>
      <c r="AQ21" s="123"/>
      <c r="AR21" s="123"/>
      <c r="AS21" s="123"/>
      <c r="AT21" s="123"/>
      <c r="AU21" s="123"/>
      <c r="AV21" s="123"/>
    </row>
    <row r="22" spans="33:48" x14ac:dyDescent="0.2">
      <c r="AG22" s="80"/>
      <c r="AH22" s="123"/>
      <c r="AI22" s="123"/>
      <c r="AJ22" s="123"/>
      <c r="AK22" s="123"/>
      <c r="AL22" s="123"/>
      <c r="AM22" s="123"/>
      <c r="AN22" s="123"/>
      <c r="AO22" s="123"/>
      <c r="AP22" s="123"/>
      <c r="AQ22" s="123"/>
      <c r="AR22" s="123"/>
      <c r="AS22" s="123"/>
      <c r="AT22" s="123"/>
      <c r="AU22" s="123"/>
      <c r="AV22" s="123"/>
    </row>
    <row r="23" spans="33:48" x14ac:dyDescent="0.2">
      <c r="AG23" s="80"/>
      <c r="AH23" s="123"/>
      <c r="AI23" s="123"/>
      <c r="AJ23" s="123"/>
      <c r="AK23" s="123"/>
      <c r="AL23" s="123"/>
      <c r="AM23" s="123"/>
      <c r="AN23" s="123"/>
      <c r="AO23" s="123"/>
      <c r="AP23" s="123"/>
      <c r="AQ23" s="123"/>
      <c r="AR23" s="123"/>
      <c r="AS23" s="123"/>
      <c r="AT23" s="123"/>
      <c r="AU23" s="123"/>
      <c r="AV23" s="123"/>
    </row>
    <row r="24" spans="33:48" x14ac:dyDescent="0.2">
      <c r="AG24" s="80"/>
      <c r="AH24" s="123"/>
      <c r="AI24" s="123"/>
      <c r="AJ24" s="123"/>
      <c r="AK24" s="123"/>
      <c r="AL24" s="123"/>
      <c r="AM24" s="123"/>
      <c r="AN24" s="123"/>
      <c r="AO24" s="123"/>
      <c r="AP24" s="123"/>
      <c r="AQ24" s="123"/>
      <c r="AR24" s="123"/>
      <c r="AS24" s="123"/>
      <c r="AT24" s="123"/>
      <c r="AU24" s="123"/>
      <c r="AV24" s="123"/>
    </row>
    <row r="25" spans="33:48" x14ac:dyDescent="0.2">
      <c r="AG25" s="80"/>
      <c r="AH25" s="123"/>
      <c r="AI25" s="123"/>
      <c r="AJ25" s="123"/>
      <c r="AK25" s="123"/>
      <c r="AL25" s="123"/>
      <c r="AM25" s="123"/>
      <c r="AN25" s="123"/>
      <c r="AO25" s="123"/>
      <c r="AP25" s="123"/>
      <c r="AQ25" s="123"/>
      <c r="AR25" s="123"/>
      <c r="AS25" s="123"/>
      <c r="AT25" s="123"/>
      <c r="AU25" s="123"/>
      <c r="AV25" s="123"/>
    </row>
    <row r="26" spans="33:48" x14ac:dyDescent="0.2">
      <c r="AG26" s="80"/>
      <c r="AH26" s="123"/>
      <c r="AI26" s="123"/>
      <c r="AJ26" s="123"/>
      <c r="AK26" s="123"/>
      <c r="AL26" s="123"/>
      <c r="AM26" s="123"/>
      <c r="AN26" s="123"/>
      <c r="AO26" s="123"/>
      <c r="AP26" s="123"/>
      <c r="AQ26" s="123"/>
      <c r="AR26" s="123"/>
      <c r="AS26" s="123"/>
      <c r="AT26" s="123"/>
      <c r="AU26" s="123"/>
      <c r="AV26" s="123"/>
    </row>
    <row r="27" spans="33:48" x14ac:dyDescent="0.2">
      <c r="AG27" s="80"/>
      <c r="AH27" s="123"/>
      <c r="AI27" s="123"/>
      <c r="AJ27" s="123"/>
      <c r="AK27" s="123"/>
      <c r="AL27" s="123"/>
      <c r="AM27" s="123"/>
      <c r="AN27" s="123"/>
      <c r="AO27" s="123"/>
      <c r="AP27" s="123"/>
      <c r="AQ27" s="123"/>
      <c r="AR27" s="123"/>
      <c r="AS27" s="123"/>
      <c r="AT27" s="123"/>
      <c r="AU27" s="123"/>
      <c r="AV27" s="123"/>
    </row>
    <row r="28" spans="33:48" x14ac:dyDescent="0.2">
      <c r="AG28" s="80"/>
      <c r="AH28" s="123"/>
      <c r="AI28" s="123"/>
      <c r="AJ28" s="123"/>
      <c r="AK28" s="123"/>
      <c r="AL28" s="123"/>
      <c r="AM28" s="123"/>
      <c r="AN28" s="123"/>
      <c r="AO28" s="123"/>
      <c r="AP28" s="123"/>
      <c r="AQ28" s="123"/>
      <c r="AR28" s="123"/>
      <c r="AS28" s="123"/>
      <c r="AT28" s="123"/>
      <c r="AU28" s="123"/>
      <c r="AV28" s="123"/>
    </row>
    <row r="29" spans="33:48" x14ac:dyDescent="0.2">
      <c r="AG29" s="80"/>
      <c r="AH29" s="123"/>
      <c r="AI29" s="123"/>
      <c r="AJ29" s="123"/>
      <c r="AK29" s="123"/>
      <c r="AL29" s="123"/>
      <c r="AM29" s="123"/>
      <c r="AN29" s="123"/>
      <c r="AO29" s="123"/>
      <c r="AP29" s="123"/>
      <c r="AQ29" s="123"/>
      <c r="AR29" s="123"/>
      <c r="AS29" s="123"/>
      <c r="AT29" s="123"/>
      <c r="AU29" s="123"/>
      <c r="AV29" s="123"/>
    </row>
    <row r="30" spans="33:48" x14ac:dyDescent="0.2">
      <c r="AG30" s="80"/>
      <c r="AH30" s="123"/>
      <c r="AI30" s="123"/>
      <c r="AJ30" s="123"/>
      <c r="AK30" s="123"/>
      <c r="AL30" s="123"/>
      <c r="AM30" s="123"/>
      <c r="AN30" s="123"/>
      <c r="AO30" s="123"/>
      <c r="AP30" s="123"/>
      <c r="AQ30" s="123"/>
      <c r="AR30" s="123"/>
      <c r="AS30" s="123"/>
      <c r="AT30" s="123"/>
      <c r="AU30" s="123"/>
      <c r="AV30" s="123"/>
    </row>
    <row r="31" spans="33:48" x14ac:dyDescent="0.2">
      <c r="AG31" s="80"/>
      <c r="AH31" s="123"/>
      <c r="AI31" s="123"/>
      <c r="AJ31" s="123"/>
      <c r="AK31" s="123"/>
      <c r="AL31" s="123"/>
      <c r="AM31" s="123"/>
      <c r="AN31" s="123"/>
      <c r="AO31" s="123"/>
      <c r="AP31" s="123"/>
      <c r="AQ31" s="123"/>
      <c r="AR31" s="123"/>
      <c r="AS31" s="123"/>
      <c r="AT31" s="123"/>
      <c r="AU31" s="123"/>
      <c r="AV31" s="123"/>
    </row>
    <row r="32" spans="33:48" x14ac:dyDescent="0.2">
      <c r="AG32" s="80"/>
      <c r="AH32" s="123"/>
      <c r="AI32" s="123"/>
      <c r="AJ32" s="123"/>
      <c r="AK32" s="123"/>
      <c r="AL32" s="123"/>
      <c r="AM32" s="123"/>
      <c r="AN32" s="123"/>
      <c r="AO32" s="123"/>
      <c r="AP32" s="123"/>
      <c r="AQ32" s="123"/>
      <c r="AR32" s="123"/>
      <c r="AS32" s="123"/>
      <c r="AT32" s="123"/>
      <c r="AU32" s="123"/>
      <c r="AV32" s="123"/>
    </row>
    <row r="33" spans="33:48" x14ac:dyDescent="0.2">
      <c r="AG33" s="80"/>
      <c r="AH33" s="123"/>
      <c r="AI33" s="123"/>
      <c r="AJ33" s="123"/>
      <c r="AK33" s="123"/>
      <c r="AL33" s="123"/>
      <c r="AM33" s="123"/>
      <c r="AN33" s="123"/>
      <c r="AO33" s="123"/>
      <c r="AP33" s="123"/>
      <c r="AQ33" s="123"/>
      <c r="AR33" s="123"/>
      <c r="AS33" s="123"/>
      <c r="AT33" s="123"/>
      <c r="AU33" s="123"/>
      <c r="AV33" s="123"/>
    </row>
    <row r="34" spans="33:48" x14ac:dyDescent="0.2">
      <c r="AG34" s="80"/>
      <c r="AH34" s="123"/>
      <c r="AI34" s="123"/>
      <c r="AJ34" s="123"/>
      <c r="AK34" s="123"/>
      <c r="AL34" s="123"/>
      <c r="AM34" s="123"/>
      <c r="AN34" s="123"/>
      <c r="AO34" s="123"/>
      <c r="AP34" s="123"/>
      <c r="AQ34" s="123"/>
      <c r="AR34" s="123"/>
      <c r="AS34" s="123"/>
      <c r="AT34" s="123"/>
      <c r="AU34" s="123"/>
      <c r="AV34" s="123"/>
    </row>
    <row r="35" spans="33:48" x14ac:dyDescent="0.2">
      <c r="AG35" s="80"/>
      <c r="AH35" s="123"/>
      <c r="AI35" s="123"/>
      <c r="AJ35" s="123"/>
      <c r="AK35" s="123"/>
      <c r="AL35" s="123"/>
      <c r="AM35" s="123"/>
      <c r="AN35" s="123"/>
      <c r="AO35" s="123"/>
      <c r="AP35" s="123"/>
      <c r="AQ35" s="123"/>
      <c r="AR35" s="123"/>
      <c r="AS35" s="123"/>
      <c r="AT35" s="123"/>
      <c r="AU35" s="123"/>
      <c r="AV35" s="123"/>
    </row>
    <row r="36" spans="33:48" x14ac:dyDescent="0.2">
      <c r="AG36" s="80"/>
      <c r="AH36" s="123"/>
      <c r="AI36" s="123"/>
      <c r="AJ36" s="123"/>
      <c r="AK36" s="123"/>
      <c r="AL36" s="123"/>
      <c r="AM36" s="123"/>
      <c r="AN36" s="123"/>
      <c r="AO36" s="123"/>
      <c r="AP36" s="123"/>
      <c r="AQ36" s="123"/>
      <c r="AR36" s="123"/>
      <c r="AS36" s="123"/>
      <c r="AT36" s="123"/>
      <c r="AU36" s="123"/>
      <c r="AV36" s="123"/>
    </row>
    <row r="37" spans="33:48" x14ac:dyDescent="0.2">
      <c r="AG37" s="80"/>
      <c r="AH37" s="123"/>
      <c r="AI37" s="123"/>
      <c r="AJ37" s="123"/>
      <c r="AK37" s="123"/>
      <c r="AL37" s="123"/>
      <c r="AM37" s="123"/>
      <c r="AN37" s="123"/>
      <c r="AO37" s="123"/>
      <c r="AP37" s="123"/>
      <c r="AQ37" s="123"/>
      <c r="AR37" s="123"/>
      <c r="AS37" s="123"/>
      <c r="AT37" s="123"/>
      <c r="AU37" s="123"/>
      <c r="AV37" s="123"/>
    </row>
    <row r="38" spans="33:48" x14ac:dyDescent="0.2">
      <c r="AG38" s="80"/>
      <c r="AH38" s="123"/>
      <c r="AI38" s="123"/>
      <c r="AJ38" s="123"/>
      <c r="AK38" s="123"/>
      <c r="AL38" s="123"/>
      <c r="AM38" s="123"/>
      <c r="AN38" s="123"/>
      <c r="AO38" s="123"/>
      <c r="AP38" s="123"/>
      <c r="AQ38" s="123"/>
      <c r="AR38" s="123"/>
      <c r="AS38" s="123"/>
      <c r="AT38" s="123"/>
      <c r="AU38" s="123"/>
      <c r="AV38" s="123"/>
    </row>
    <row r="39" spans="33:48" x14ac:dyDescent="0.2">
      <c r="AG39" s="80"/>
      <c r="AH39" s="123"/>
      <c r="AI39" s="123"/>
      <c r="AJ39" s="123"/>
      <c r="AK39" s="123"/>
      <c r="AL39" s="123"/>
      <c r="AM39" s="123"/>
      <c r="AN39" s="123"/>
      <c r="AO39" s="123"/>
      <c r="AP39" s="123"/>
      <c r="AQ39" s="123"/>
      <c r="AR39" s="123"/>
      <c r="AS39" s="123"/>
      <c r="AT39" s="123"/>
      <c r="AU39" s="123"/>
      <c r="AV39" s="123"/>
    </row>
    <row r="40" spans="33:48" x14ac:dyDescent="0.2">
      <c r="AG40" s="80"/>
      <c r="AH40" s="123"/>
      <c r="AI40" s="123"/>
      <c r="AJ40" s="123"/>
      <c r="AK40" s="123"/>
      <c r="AL40" s="123"/>
      <c r="AM40" s="123"/>
      <c r="AN40" s="123"/>
      <c r="AO40" s="123"/>
      <c r="AP40" s="123"/>
      <c r="AQ40" s="123"/>
      <c r="AR40" s="123"/>
      <c r="AS40" s="123"/>
      <c r="AT40" s="123"/>
      <c r="AU40" s="123"/>
      <c r="AV40" s="123"/>
    </row>
    <row r="41" spans="33:48" x14ac:dyDescent="0.2">
      <c r="AG41" s="80"/>
      <c r="AH41" s="123"/>
      <c r="AI41" s="123"/>
      <c r="AJ41" s="123"/>
      <c r="AK41" s="123"/>
      <c r="AL41" s="123"/>
      <c r="AM41" s="123"/>
      <c r="AN41" s="123"/>
      <c r="AO41" s="123"/>
      <c r="AP41" s="123"/>
      <c r="AQ41" s="123"/>
      <c r="AR41" s="123"/>
      <c r="AS41" s="123"/>
      <c r="AT41" s="123"/>
      <c r="AU41" s="123"/>
      <c r="AV41" s="123"/>
    </row>
    <row r="42" spans="33:48" x14ac:dyDescent="0.2">
      <c r="AG42" s="80"/>
      <c r="AH42" s="123"/>
      <c r="AI42" s="123"/>
      <c r="AJ42" s="123"/>
      <c r="AK42" s="123"/>
      <c r="AL42" s="123"/>
      <c r="AM42" s="123"/>
      <c r="AN42" s="123"/>
      <c r="AO42" s="123"/>
      <c r="AP42" s="123"/>
      <c r="AQ42" s="123"/>
      <c r="AR42" s="123"/>
      <c r="AS42" s="123"/>
      <c r="AT42" s="123"/>
      <c r="AU42" s="123"/>
      <c r="AV42" s="123"/>
    </row>
    <row r="43" spans="33:48" x14ac:dyDescent="0.2">
      <c r="AG43" s="80"/>
      <c r="AH43" s="123"/>
      <c r="AI43" s="123"/>
      <c r="AJ43" s="123"/>
      <c r="AK43" s="123"/>
      <c r="AL43" s="123"/>
      <c r="AM43" s="123"/>
      <c r="AN43" s="123"/>
      <c r="AO43" s="123"/>
      <c r="AP43" s="123"/>
      <c r="AQ43" s="123"/>
      <c r="AR43" s="123"/>
      <c r="AS43" s="123"/>
      <c r="AT43" s="123"/>
      <c r="AU43" s="123"/>
      <c r="AV43" s="123"/>
    </row>
    <row r="44" spans="33:48" x14ac:dyDescent="0.2">
      <c r="AG44" s="80"/>
      <c r="AH44" s="123"/>
      <c r="AI44" s="123"/>
      <c r="AJ44" s="123"/>
      <c r="AK44" s="123"/>
      <c r="AL44" s="123"/>
      <c r="AM44" s="123"/>
      <c r="AN44" s="123"/>
      <c r="AO44" s="123"/>
      <c r="AP44" s="123"/>
      <c r="AQ44" s="123"/>
      <c r="AR44" s="123"/>
      <c r="AS44" s="123"/>
      <c r="AT44" s="123"/>
      <c r="AU44" s="123"/>
      <c r="AV44" s="123"/>
    </row>
    <row r="45" spans="33:48" x14ac:dyDescent="0.2">
      <c r="AG45" s="80"/>
      <c r="AH45" s="123"/>
      <c r="AI45" s="123"/>
      <c r="AJ45" s="123"/>
      <c r="AK45" s="123"/>
      <c r="AL45" s="123"/>
      <c r="AM45" s="123"/>
      <c r="AN45" s="123"/>
      <c r="AO45" s="123"/>
      <c r="AP45" s="123"/>
      <c r="AQ45" s="123"/>
      <c r="AR45" s="123"/>
      <c r="AS45" s="123"/>
      <c r="AT45" s="123"/>
      <c r="AU45" s="123"/>
      <c r="AV45" s="123"/>
    </row>
    <row r="46" spans="33:48" x14ac:dyDescent="0.2">
      <c r="AG46" s="80"/>
      <c r="AH46" s="123"/>
      <c r="AI46" s="123"/>
      <c r="AJ46" s="123"/>
      <c r="AK46" s="123"/>
      <c r="AL46" s="123"/>
      <c r="AM46" s="123"/>
      <c r="AN46" s="123"/>
      <c r="AO46" s="123"/>
      <c r="AP46" s="123"/>
      <c r="AQ46" s="123"/>
      <c r="AR46" s="123"/>
      <c r="AS46" s="123"/>
      <c r="AT46" s="123"/>
      <c r="AU46" s="123"/>
      <c r="AV46" s="123"/>
    </row>
    <row r="47" spans="33:48" x14ac:dyDescent="0.2">
      <c r="AG47" s="80"/>
      <c r="AH47" s="123"/>
      <c r="AI47" s="123"/>
      <c r="AJ47" s="123"/>
      <c r="AK47" s="123"/>
      <c r="AL47" s="123"/>
      <c r="AM47" s="123"/>
      <c r="AN47" s="123"/>
      <c r="AO47" s="123"/>
      <c r="AP47" s="123"/>
      <c r="AQ47" s="123"/>
      <c r="AR47" s="123"/>
      <c r="AS47" s="123"/>
      <c r="AT47" s="123"/>
      <c r="AU47" s="123"/>
      <c r="AV47" s="123"/>
    </row>
    <row r="48" spans="33:48" x14ac:dyDescent="0.2">
      <c r="AG48" s="80"/>
      <c r="AH48" s="123"/>
      <c r="AI48" s="123"/>
      <c r="AJ48" s="123"/>
      <c r="AK48" s="123"/>
      <c r="AL48" s="123"/>
      <c r="AM48" s="123"/>
      <c r="AN48" s="123"/>
      <c r="AO48" s="123"/>
      <c r="AP48" s="123"/>
      <c r="AQ48" s="123"/>
      <c r="AR48" s="123"/>
      <c r="AS48" s="123"/>
      <c r="AT48" s="123"/>
      <c r="AU48" s="123"/>
      <c r="AV48" s="123"/>
    </row>
    <row r="49" spans="33:48" x14ac:dyDescent="0.2">
      <c r="AG49" s="80"/>
      <c r="AH49" s="123"/>
      <c r="AI49" s="123"/>
      <c r="AJ49" s="123"/>
      <c r="AK49" s="123"/>
      <c r="AL49" s="123"/>
      <c r="AM49" s="123"/>
      <c r="AN49" s="123"/>
      <c r="AO49" s="123"/>
      <c r="AP49" s="123"/>
      <c r="AQ49" s="123"/>
      <c r="AR49" s="123"/>
      <c r="AS49" s="123"/>
      <c r="AT49" s="123"/>
      <c r="AU49" s="123"/>
      <c r="AV49" s="123"/>
    </row>
    <row r="50" spans="33:48" x14ac:dyDescent="0.2">
      <c r="AG50" s="80"/>
      <c r="AH50" s="123"/>
      <c r="AI50" s="123"/>
      <c r="AJ50" s="123"/>
      <c r="AK50" s="123"/>
      <c r="AL50" s="123"/>
      <c r="AM50" s="123"/>
      <c r="AN50" s="123"/>
      <c r="AO50" s="123"/>
      <c r="AP50" s="123"/>
      <c r="AQ50" s="123"/>
      <c r="AR50" s="123"/>
      <c r="AS50" s="123"/>
      <c r="AT50" s="123"/>
      <c r="AU50" s="123"/>
      <c r="AV50" s="123"/>
    </row>
    <row r="51" spans="33:48" x14ac:dyDescent="0.2">
      <c r="AH51" s="123"/>
      <c r="AI51" s="123"/>
      <c r="AJ51" s="123"/>
      <c r="AK51" s="123"/>
      <c r="AL51" s="123"/>
      <c r="AM51" s="123"/>
      <c r="AN51" s="123"/>
      <c r="AO51" s="123"/>
      <c r="AP51" s="123"/>
      <c r="AQ51" s="123"/>
      <c r="AR51" s="123"/>
      <c r="AS51" s="123"/>
      <c r="AT51" s="123"/>
      <c r="AU51" s="123"/>
      <c r="AV51" s="123"/>
    </row>
    <row r="52" spans="33:48" x14ac:dyDescent="0.2">
      <c r="AH52" s="123"/>
      <c r="AI52" s="123"/>
      <c r="AJ52" s="123"/>
      <c r="AK52" s="123"/>
      <c r="AL52" s="123"/>
      <c r="AM52" s="123"/>
      <c r="AN52" s="123"/>
      <c r="AO52" s="123"/>
      <c r="AP52" s="123"/>
      <c r="AQ52" s="123"/>
      <c r="AR52" s="123"/>
      <c r="AS52" s="123"/>
      <c r="AT52" s="123"/>
      <c r="AU52" s="123"/>
      <c r="AV52" s="123"/>
    </row>
    <row r="53" spans="33:48" x14ac:dyDescent="0.2">
      <c r="AH53" s="123"/>
      <c r="AI53" s="123"/>
      <c r="AJ53" s="123"/>
      <c r="AK53" s="123"/>
      <c r="AL53" s="123"/>
      <c r="AM53" s="123"/>
      <c r="AN53" s="123"/>
      <c r="AO53" s="123"/>
      <c r="AP53" s="123"/>
      <c r="AQ53" s="123"/>
      <c r="AR53" s="123"/>
      <c r="AS53" s="123"/>
      <c r="AT53" s="123"/>
      <c r="AU53" s="123"/>
      <c r="AV53" s="123"/>
    </row>
    <row r="54" spans="33:48" x14ac:dyDescent="0.2">
      <c r="AH54" s="123"/>
      <c r="AI54" s="123"/>
      <c r="AJ54" s="123"/>
      <c r="AK54" s="123"/>
      <c r="AL54" s="123"/>
      <c r="AM54" s="123"/>
      <c r="AN54" s="123"/>
      <c r="AO54" s="123"/>
      <c r="AP54" s="123"/>
      <c r="AQ54" s="123"/>
      <c r="AR54" s="123"/>
      <c r="AS54" s="123"/>
      <c r="AT54" s="123"/>
      <c r="AU54" s="123"/>
      <c r="AV54" s="123"/>
    </row>
    <row r="55" spans="33:48" x14ac:dyDescent="0.2">
      <c r="AH55" s="123"/>
      <c r="AI55" s="123"/>
      <c r="AJ55" s="123"/>
      <c r="AK55" s="123"/>
      <c r="AL55" s="123"/>
      <c r="AM55" s="123"/>
      <c r="AN55" s="123"/>
      <c r="AO55" s="123"/>
      <c r="AP55" s="123"/>
      <c r="AQ55" s="123"/>
      <c r="AR55" s="123"/>
      <c r="AS55" s="123"/>
      <c r="AT55" s="123"/>
      <c r="AU55" s="123"/>
      <c r="AV55" s="123"/>
    </row>
    <row r="56" spans="33:48" x14ac:dyDescent="0.2">
      <c r="AH56" s="123"/>
      <c r="AI56" s="123"/>
      <c r="AJ56" s="123"/>
      <c r="AK56" s="123"/>
      <c r="AL56" s="123"/>
      <c r="AM56" s="123"/>
      <c r="AN56" s="123"/>
      <c r="AO56" s="123"/>
      <c r="AP56" s="123"/>
      <c r="AQ56" s="123"/>
      <c r="AR56" s="123"/>
      <c r="AS56" s="123"/>
      <c r="AT56" s="123"/>
      <c r="AU56" s="123"/>
      <c r="AV56" s="123"/>
    </row>
    <row r="57" spans="33:48" x14ac:dyDescent="0.2">
      <c r="AH57" s="123"/>
      <c r="AI57" s="123"/>
      <c r="AJ57" s="123"/>
      <c r="AK57" s="123"/>
      <c r="AL57" s="123"/>
      <c r="AM57" s="123"/>
      <c r="AN57" s="123"/>
      <c r="AO57" s="123"/>
      <c r="AP57" s="123"/>
      <c r="AQ57" s="123"/>
      <c r="AR57" s="123"/>
      <c r="AS57" s="123"/>
      <c r="AT57" s="123"/>
      <c r="AU57" s="123"/>
      <c r="AV57" s="123"/>
    </row>
    <row r="58" spans="33:48" x14ac:dyDescent="0.2">
      <c r="AH58" s="123"/>
      <c r="AI58" s="123"/>
      <c r="AJ58" s="123"/>
      <c r="AK58" s="123"/>
      <c r="AL58" s="123"/>
      <c r="AM58" s="123"/>
      <c r="AN58" s="123"/>
      <c r="AO58" s="123"/>
      <c r="AP58" s="123"/>
      <c r="AQ58" s="123"/>
      <c r="AR58" s="123"/>
      <c r="AS58" s="123"/>
      <c r="AT58" s="123"/>
      <c r="AU58" s="123"/>
      <c r="AV58" s="123"/>
    </row>
    <row r="59" spans="33:48" x14ac:dyDescent="0.2">
      <c r="AH59" s="123"/>
      <c r="AI59" s="123"/>
      <c r="AJ59" s="123"/>
      <c r="AK59" s="123"/>
      <c r="AL59" s="123"/>
      <c r="AM59" s="123"/>
      <c r="AN59" s="123"/>
      <c r="AO59" s="123"/>
      <c r="AP59" s="123"/>
      <c r="AQ59" s="123"/>
      <c r="AR59" s="123"/>
      <c r="AS59" s="123"/>
      <c r="AT59" s="123"/>
      <c r="AU59" s="123"/>
      <c r="AV59" s="123"/>
    </row>
    <row r="60" spans="33:48" x14ac:dyDescent="0.2">
      <c r="AH60" s="123"/>
      <c r="AI60" s="123"/>
      <c r="AJ60" s="123"/>
      <c r="AK60" s="123"/>
      <c r="AL60" s="123"/>
      <c r="AM60" s="123"/>
      <c r="AN60" s="123"/>
      <c r="AO60" s="123"/>
      <c r="AP60" s="123"/>
      <c r="AQ60" s="123"/>
      <c r="AR60" s="123"/>
      <c r="AS60" s="123"/>
      <c r="AT60" s="123"/>
      <c r="AU60" s="123"/>
      <c r="AV60" s="123"/>
    </row>
    <row r="61" spans="33:48" x14ac:dyDescent="0.2">
      <c r="AH61" s="123"/>
      <c r="AI61" s="123"/>
      <c r="AJ61" s="123"/>
      <c r="AK61" s="123"/>
      <c r="AL61" s="123"/>
      <c r="AM61" s="123"/>
      <c r="AN61" s="123"/>
      <c r="AO61" s="123"/>
      <c r="AP61" s="123"/>
      <c r="AQ61" s="123"/>
      <c r="AR61" s="123"/>
      <c r="AS61" s="123"/>
      <c r="AT61" s="123"/>
      <c r="AU61" s="123"/>
      <c r="AV61" s="123"/>
    </row>
    <row r="62" spans="33:48" x14ac:dyDescent="0.2">
      <c r="AH62" s="123"/>
      <c r="AI62" s="123"/>
      <c r="AJ62" s="123"/>
      <c r="AK62" s="123"/>
      <c r="AL62" s="123"/>
      <c r="AM62" s="123"/>
      <c r="AN62" s="123"/>
      <c r="AO62" s="123"/>
      <c r="AP62" s="123"/>
      <c r="AQ62" s="123"/>
      <c r="AR62" s="123"/>
      <c r="AS62" s="123"/>
      <c r="AT62" s="123"/>
      <c r="AU62" s="123"/>
      <c r="AV62" s="123"/>
    </row>
    <row r="63" spans="33:48" x14ac:dyDescent="0.2">
      <c r="AH63" s="123"/>
      <c r="AI63" s="123"/>
      <c r="AJ63" s="123"/>
      <c r="AK63" s="123"/>
      <c r="AL63" s="123"/>
      <c r="AM63" s="123"/>
      <c r="AN63" s="123"/>
      <c r="AO63" s="123"/>
      <c r="AP63" s="123"/>
      <c r="AQ63" s="123"/>
      <c r="AR63" s="123"/>
      <c r="AS63" s="123"/>
      <c r="AT63" s="123"/>
      <c r="AU63" s="123"/>
      <c r="AV63" s="123"/>
    </row>
    <row r="64" spans="33:48" x14ac:dyDescent="0.2">
      <c r="AH64" s="123"/>
      <c r="AI64" s="123"/>
      <c r="AJ64" s="123"/>
      <c r="AK64" s="123"/>
      <c r="AL64" s="123"/>
      <c r="AM64" s="123"/>
      <c r="AN64" s="123"/>
      <c r="AO64" s="123"/>
      <c r="AP64" s="123"/>
      <c r="AQ64" s="123"/>
      <c r="AR64" s="123"/>
      <c r="AS64" s="123"/>
      <c r="AT64" s="123"/>
      <c r="AU64" s="123"/>
      <c r="AV64" s="123"/>
    </row>
    <row r="65" spans="34:48" x14ac:dyDescent="0.2">
      <c r="AH65" s="123"/>
      <c r="AI65" s="123"/>
      <c r="AJ65" s="123"/>
      <c r="AK65" s="123"/>
      <c r="AL65" s="123"/>
      <c r="AM65" s="123"/>
      <c r="AN65" s="123"/>
      <c r="AO65" s="123"/>
      <c r="AP65" s="123"/>
      <c r="AQ65" s="123"/>
      <c r="AR65" s="123"/>
      <c r="AS65" s="123"/>
      <c r="AT65" s="123"/>
      <c r="AU65" s="123"/>
      <c r="AV65" s="123"/>
    </row>
    <row r="66" spans="34:48" x14ac:dyDescent="0.2">
      <c r="AH66" s="123"/>
      <c r="AI66" s="123"/>
      <c r="AJ66" s="123"/>
      <c r="AK66" s="123"/>
      <c r="AL66" s="123"/>
      <c r="AM66" s="123"/>
      <c r="AN66" s="123"/>
      <c r="AO66" s="123"/>
      <c r="AP66" s="123"/>
      <c r="AQ66" s="123"/>
      <c r="AR66" s="123"/>
      <c r="AS66" s="123"/>
      <c r="AT66" s="123"/>
      <c r="AU66" s="123"/>
      <c r="AV66" s="123"/>
    </row>
    <row r="67" spans="34:48" x14ac:dyDescent="0.2">
      <c r="AH67" s="123"/>
      <c r="AI67" s="123"/>
      <c r="AJ67" s="123"/>
      <c r="AK67" s="123"/>
      <c r="AL67" s="123"/>
      <c r="AM67" s="123"/>
      <c r="AN67" s="123"/>
      <c r="AO67" s="123"/>
      <c r="AP67" s="123"/>
      <c r="AQ67" s="123"/>
      <c r="AR67" s="123"/>
      <c r="AS67" s="123"/>
      <c r="AT67" s="123"/>
      <c r="AU67" s="123"/>
      <c r="AV67" s="123"/>
    </row>
    <row r="68" spans="34:48" x14ac:dyDescent="0.2">
      <c r="AH68" s="123"/>
      <c r="AI68" s="123"/>
      <c r="AJ68" s="123"/>
      <c r="AK68" s="123"/>
      <c r="AL68" s="123"/>
      <c r="AM68" s="123"/>
      <c r="AN68" s="123"/>
      <c r="AO68" s="123"/>
      <c r="AP68" s="123"/>
      <c r="AQ68" s="123"/>
      <c r="AR68" s="123"/>
      <c r="AS68" s="123"/>
      <c r="AT68" s="123"/>
      <c r="AU68" s="123"/>
      <c r="AV68" s="123"/>
    </row>
    <row r="69" spans="34:48" x14ac:dyDescent="0.2">
      <c r="AH69" s="123"/>
      <c r="AI69" s="123"/>
      <c r="AJ69" s="123"/>
      <c r="AK69" s="123"/>
      <c r="AL69" s="123"/>
      <c r="AM69" s="123"/>
      <c r="AN69" s="123"/>
      <c r="AO69" s="123"/>
      <c r="AP69" s="123"/>
      <c r="AQ69" s="123"/>
      <c r="AR69" s="123"/>
      <c r="AS69" s="123"/>
      <c r="AT69" s="123"/>
      <c r="AU69" s="123"/>
      <c r="AV69" s="123"/>
    </row>
    <row r="70" spans="34:48" x14ac:dyDescent="0.2">
      <c r="AH70" s="123"/>
      <c r="AI70" s="123"/>
      <c r="AJ70" s="123"/>
      <c r="AK70" s="123"/>
      <c r="AL70" s="123"/>
      <c r="AM70" s="123"/>
      <c r="AN70" s="123"/>
      <c r="AO70" s="123"/>
      <c r="AP70" s="123"/>
      <c r="AQ70" s="123"/>
      <c r="AR70" s="123"/>
      <c r="AS70" s="123"/>
      <c r="AT70" s="123"/>
      <c r="AU70" s="123"/>
      <c r="AV70" s="123"/>
    </row>
    <row r="71" spans="34:48" x14ac:dyDescent="0.2">
      <c r="AH71" s="123"/>
      <c r="AI71" s="123"/>
      <c r="AJ71" s="123"/>
      <c r="AK71" s="123"/>
      <c r="AL71" s="123"/>
      <c r="AM71" s="123"/>
      <c r="AN71" s="123"/>
      <c r="AO71" s="123"/>
      <c r="AP71" s="123"/>
      <c r="AQ71" s="123"/>
      <c r="AR71" s="123"/>
      <c r="AS71" s="123"/>
      <c r="AT71" s="123"/>
      <c r="AU71" s="123"/>
      <c r="AV71" s="123"/>
    </row>
    <row r="72" spans="34:48" x14ac:dyDescent="0.2">
      <c r="AH72" s="123"/>
      <c r="AI72" s="123"/>
      <c r="AJ72" s="123"/>
      <c r="AK72" s="123"/>
      <c r="AL72" s="123"/>
      <c r="AM72" s="123"/>
      <c r="AN72" s="123"/>
      <c r="AO72" s="123"/>
      <c r="AP72" s="123"/>
      <c r="AQ72" s="123"/>
      <c r="AR72" s="123"/>
      <c r="AS72" s="123"/>
      <c r="AT72" s="123"/>
      <c r="AU72" s="123"/>
      <c r="AV72" s="123"/>
    </row>
    <row r="73" spans="34:48" x14ac:dyDescent="0.2">
      <c r="AH73" s="123"/>
      <c r="AI73" s="123"/>
      <c r="AJ73" s="123"/>
      <c r="AK73" s="123"/>
      <c r="AL73" s="123"/>
      <c r="AM73" s="123"/>
      <c r="AN73" s="123"/>
      <c r="AO73" s="123"/>
      <c r="AP73" s="123"/>
      <c r="AQ73" s="123"/>
      <c r="AR73" s="123"/>
      <c r="AS73" s="123"/>
      <c r="AT73" s="123"/>
      <c r="AU73" s="123"/>
      <c r="AV73" s="123"/>
    </row>
    <row r="74" spans="34:48" x14ac:dyDescent="0.2">
      <c r="AH74" s="123"/>
      <c r="AI74" s="123"/>
      <c r="AJ74" s="123"/>
      <c r="AK74" s="123"/>
      <c r="AL74" s="123"/>
      <c r="AM74" s="123"/>
      <c r="AN74" s="123"/>
      <c r="AO74" s="123"/>
      <c r="AP74" s="123"/>
      <c r="AQ74" s="123"/>
      <c r="AR74" s="123"/>
      <c r="AS74" s="123"/>
      <c r="AT74" s="123"/>
      <c r="AU74" s="123"/>
      <c r="AV74" s="123"/>
    </row>
    <row r="75" spans="34:48" x14ac:dyDescent="0.2">
      <c r="AH75" s="123"/>
      <c r="AI75" s="123"/>
      <c r="AJ75" s="123"/>
      <c r="AK75" s="123"/>
      <c r="AL75" s="123"/>
      <c r="AM75" s="123"/>
      <c r="AN75" s="123"/>
      <c r="AO75" s="123"/>
      <c r="AP75" s="123"/>
      <c r="AQ75" s="123"/>
      <c r="AR75" s="123"/>
      <c r="AS75" s="123"/>
      <c r="AT75" s="123"/>
      <c r="AU75" s="123"/>
      <c r="AV75" s="123"/>
    </row>
    <row r="76" spans="34:48" x14ac:dyDescent="0.2">
      <c r="AH76" s="123"/>
      <c r="AI76" s="123"/>
      <c r="AJ76" s="123"/>
      <c r="AK76" s="123"/>
      <c r="AL76" s="123"/>
      <c r="AM76" s="123"/>
      <c r="AN76" s="123"/>
      <c r="AO76" s="123"/>
      <c r="AP76" s="123"/>
      <c r="AQ76" s="123"/>
      <c r="AR76" s="123"/>
      <c r="AS76" s="123"/>
      <c r="AT76" s="123"/>
      <c r="AU76" s="123"/>
      <c r="AV76" s="123"/>
    </row>
    <row r="77" spans="34:48" x14ac:dyDescent="0.2">
      <c r="AH77" s="123"/>
      <c r="AI77" s="123"/>
      <c r="AJ77" s="123"/>
      <c r="AK77" s="123"/>
      <c r="AL77" s="123"/>
      <c r="AM77" s="123"/>
      <c r="AN77" s="123"/>
      <c r="AO77" s="123"/>
      <c r="AP77" s="123"/>
      <c r="AQ77" s="123"/>
      <c r="AR77" s="123"/>
      <c r="AS77" s="123"/>
      <c r="AT77" s="123"/>
      <c r="AU77" s="123"/>
      <c r="AV77" s="123"/>
    </row>
    <row r="78" spans="34:48" x14ac:dyDescent="0.2">
      <c r="AH78" s="123"/>
      <c r="AI78" s="123"/>
      <c r="AJ78" s="123"/>
      <c r="AK78" s="123"/>
      <c r="AL78" s="123"/>
      <c r="AM78" s="123"/>
      <c r="AN78" s="123"/>
      <c r="AO78" s="123"/>
      <c r="AP78" s="123"/>
      <c r="AQ78" s="123"/>
      <c r="AR78" s="123"/>
      <c r="AS78" s="123"/>
      <c r="AT78" s="123"/>
      <c r="AU78" s="123"/>
      <c r="AV78" s="123"/>
    </row>
    <row r="79" spans="34:48" x14ac:dyDescent="0.2">
      <c r="AH79" s="123"/>
      <c r="AI79" s="123"/>
      <c r="AJ79" s="123"/>
      <c r="AK79" s="123"/>
      <c r="AL79" s="123"/>
      <c r="AM79" s="123"/>
      <c r="AN79" s="123"/>
      <c r="AO79" s="123"/>
      <c r="AP79" s="123"/>
      <c r="AQ79" s="123"/>
      <c r="AR79" s="123"/>
      <c r="AS79" s="123"/>
      <c r="AT79" s="123"/>
      <c r="AU79" s="123"/>
      <c r="AV79" s="123"/>
    </row>
    <row r="80" spans="34:48" x14ac:dyDescent="0.2">
      <c r="AH80" s="123"/>
      <c r="AI80" s="123"/>
      <c r="AJ80" s="123"/>
      <c r="AK80" s="123"/>
      <c r="AL80" s="123"/>
      <c r="AM80" s="123"/>
      <c r="AN80" s="123"/>
      <c r="AO80" s="123"/>
      <c r="AP80" s="123"/>
      <c r="AQ80" s="123"/>
      <c r="AR80" s="123"/>
      <c r="AS80" s="123"/>
      <c r="AT80" s="123"/>
      <c r="AU80" s="123"/>
      <c r="AV80" s="123"/>
    </row>
    <row r="81" spans="34:48" x14ac:dyDescent="0.2">
      <c r="AH81" s="123"/>
      <c r="AI81" s="123"/>
      <c r="AJ81" s="123"/>
      <c r="AK81" s="123"/>
      <c r="AL81" s="123"/>
      <c r="AM81" s="123"/>
      <c r="AN81" s="123"/>
      <c r="AO81" s="123"/>
      <c r="AP81" s="123"/>
      <c r="AQ81" s="123"/>
      <c r="AR81" s="123"/>
      <c r="AS81" s="123"/>
      <c r="AT81" s="123"/>
      <c r="AU81" s="123"/>
      <c r="AV81" s="123"/>
    </row>
    <row r="82" spans="34:48" x14ac:dyDescent="0.2">
      <c r="AH82" s="123"/>
      <c r="AI82" s="123"/>
      <c r="AJ82" s="123"/>
      <c r="AK82" s="123"/>
      <c r="AL82" s="123"/>
      <c r="AM82" s="123"/>
      <c r="AN82" s="123"/>
      <c r="AO82" s="123"/>
      <c r="AP82" s="123"/>
      <c r="AQ82" s="123"/>
      <c r="AR82" s="123"/>
      <c r="AS82" s="123"/>
      <c r="AT82" s="123"/>
      <c r="AU82" s="123"/>
      <c r="AV82" s="123"/>
    </row>
    <row r="83" spans="34:48" x14ac:dyDescent="0.2">
      <c r="AH83" s="123"/>
      <c r="AI83" s="123"/>
      <c r="AJ83" s="123"/>
      <c r="AK83" s="123"/>
      <c r="AL83" s="123"/>
      <c r="AM83" s="123"/>
      <c r="AN83" s="123"/>
      <c r="AO83" s="123"/>
      <c r="AP83" s="123"/>
      <c r="AQ83" s="123"/>
      <c r="AR83" s="123"/>
      <c r="AS83" s="123"/>
      <c r="AT83" s="123"/>
      <c r="AU83" s="123"/>
      <c r="AV83" s="123"/>
    </row>
    <row r="84" spans="34:48" x14ac:dyDescent="0.2">
      <c r="AH84" s="123"/>
      <c r="AI84" s="123"/>
      <c r="AJ84" s="123"/>
      <c r="AK84" s="123"/>
      <c r="AL84" s="123"/>
      <c r="AM84" s="123"/>
      <c r="AN84" s="123"/>
      <c r="AO84" s="123"/>
      <c r="AP84" s="123"/>
      <c r="AQ84" s="123"/>
      <c r="AR84" s="123"/>
      <c r="AS84" s="123"/>
      <c r="AT84" s="123"/>
      <c r="AU84" s="123"/>
      <c r="AV84" s="123"/>
    </row>
    <row r="85" spans="34:48" x14ac:dyDescent="0.2">
      <c r="AH85" s="123"/>
      <c r="AI85" s="123"/>
      <c r="AJ85" s="123"/>
      <c r="AK85" s="123"/>
      <c r="AL85" s="123"/>
      <c r="AM85" s="123"/>
      <c r="AN85" s="123"/>
      <c r="AO85" s="123"/>
      <c r="AP85" s="123"/>
      <c r="AQ85" s="123"/>
      <c r="AR85" s="123"/>
      <c r="AS85" s="123"/>
      <c r="AT85" s="123"/>
      <c r="AU85" s="123"/>
      <c r="AV85" s="123"/>
    </row>
    <row r="86" spans="34:48" x14ac:dyDescent="0.2">
      <c r="AH86" s="123"/>
      <c r="AI86" s="123"/>
      <c r="AJ86" s="123"/>
      <c r="AK86" s="123"/>
      <c r="AL86" s="123"/>
      <c r="AM86" s="123"/>
      <c r="AN86" s="123"/>
      <c r="AO86" s="123"/>
      <c r="AP86" s="123"/>
      <c r="AQ86" s="123"/>
      <c r="AR86" s="123"/>
      <c r="AS86" s="123"/>
      <c r="AT86" s="123"/>
      <c r="AU86" s="123"/>
      <c r="AV86" s="123"/>
    </row>
    <row r="87" spans="34:48" x14ac:dyDescent="0.2">
      <c r="AH87" s="123"/>
      <c r="AI87" s="123"/>
      <c r="AJ87" s="123"/>
      <c r="AK87" s="123"/>
      <c r="AL87" s="123"/>
      <c r="AM87" s="123"/>
      <c r="AN87" s="123"/>
      <c r="AO87" s="123"/>
      <c r="AP87" s="123"/>
      <c r="AQ87" s="123"/>
      <c r="AR87" s="123"/>
      <c r="AS87" s="123"/>
      <c r="AT87" s="123"/>
      <c r="AU87" s="123"/>
      <c r="AV87" s="123"/>
    </row>
    <row r="88" spans="34:48" x14ac:dyDescent="0.2">
      <c r="AH88" s="123"/>
      <c r="AI88" s="123"/>
      <c r="AJ88" s="123"/>
      <c r="AK88" s="123"/>
      <c r="AL88" s="123"/>
      <c r="AM88" s="123"/>
      <c r="AN88" s="123"/>
      <c r="AO88" s="123"/>
      <c r="AP88" s="123"/>
      <c r="AQ88" s="123"/>
      <c r="AR88" s="123"/>
      <c r="AS88" s="123"/>
      <c r="AT88" s="123"/>
      <c r="AU88" s="123"/>
      <c r="AV88" s="123"/>
    </row>
    <row r="89" spans="34:48" x14ac:dyDescent="0.2">
      <c r="AH89" s="123"/>
      <c r="AI89" s="123"/>
      <c r="AJ89" s="123"/>
      <c r="AK89" s="123"/>
      <c r="AL89" s="123"/>
      <c r="AM89" s="123"/>
      <c r="AN89" s="123"/>
      <c r="AO89" s="123"/>
      <c r="AP89" s="123"/>
      <c r="AQ89" s="123"/>
      <c r="AR89" s="123"/>
      <c r="AS89" s="123"/>
      <c r="AT89" s="123"/>
      <c r="AU89" s="123"/>
      <c r="AV89" s="123"/>
    </row>
    <row r="90" spans="34:48" x14ac:dyDescent="0.2">
      <c r="AH90" s="123"/>
      <c r="AI90" s="123"/>
      <c r="AJ90" s="123"/>
      <c r="AK90" s="123"/>
      <c r="AL90" s="123"/>
      <c r="AM90" s="123"/>
      <c r="AN90" s="123"/>
      <c r="AO90" s="123"/>
      <c r="AP90" s="123"/>
      <c r="AQ90" s="123"/>
      <c r="AR90" s="123"/>
      <c r="AS90" s="123"/>
      <c r="AT90" s="123"/>
      <c r="AU90" s="123"/>
      <c r="AV90" s="123"/>
    </row>
    <row r="91" spans="34:48" x14ac:dyDescent="0.2">
      <c r="AH91" s="123"/>
      <c r="AI91" s="123"/>
      <c r="AJ91" s="123"/>
      <c r="AK91" s="123"/>
      <c r="AL91" s="123"/>
      <c r="AM91" s="123"/>
      <c r="AN91" s="123"/>
      <c r="AO91" s="123"/>
      <c r="AP91" s="123"/>
      <c r="AQ91" s="123"/>
      <c r="AR91" s="123"/>
      <c r="AS91" s="123"/>
      <c r="AT91" s="123"/>
      <c r="AU91" s="123"/>
      <c r="AV91" s="123"/>
    </row>
    <row r="92" spans="34:48" x14ac:dyDescent="0.2">
      <c r="AH92" s="123"/>
      <c r="AI92" s="123"/>
      <c r="AJ92" s="123"/>
      <c r="AK92" s="123"/>
      <c r="AL92" s="123"/>
      <c r="AM92" s="123"/>
      <c r="AN92" s="123"/>
      <c r="AO92" s="123"/>
      <c r="AP92" s="123"/>
      <c r="AQ92" s="123"/>
      <c r="AR92" s="123"/>
      <c r="AS92" s="123"/>
      <c r="AT92" s="123"/>
      <c r="AU92" s="123"/>
      <c r="AV92" s="123"/>
    </row>
    <row r="93" spans="34:48" x14ac:dyDescent="0.2">
      <c r="AH93" s="123"/>
      <c r="AI93" s="123"/>
      <c r="AJ93" s="123"/>
      <c r="AK93" s="123"/>
      <c r="AL93" s="123"/>
      <c r="AM93" s="123"/>
      <c r="AN93" s="123"/>
      <c r="AO93" s="123"/>
      <c r="AP93" s="123"/>
      <c r="AQ93" s="123"/>
      <c r="AR93" s="123"/>
      <c r="AS93" s="123"/>
      <c r="AT93" s="123"/>
      <c r="AU93" s="123"/>
      <c r="AV93" s="123"/>
    </row>
    <row r="94" spans="34:48" x14ac:dyDescent="0.2">
      <c r="AH94" s="123"/>
      <c r="AI94" s="123"/>
      <c r="AJ94" s="123"/>
      <c r="AK94" s="123"/>
      <c r="AL94" s="123"/>
      <c r="AM94" s="123"/>
      <c r="AN94" s="123"/>
      <c r="AO94" s="123"/>
      <c r="AP94" s="123"/>
      <c r="AQ94" s="123"/>
      <c r="AR94" s="123"/>
      <c r="AS94" s="123"/>
      <c r="AT94" s="123"/>
      <c r="AU94" s="123"/>
      <c r="AV94" s="123"/>
    </row>
    <row r="95" spans="34:48" x14ac:dyDescent="0.2">
      <c r="AH95" s="123"/>
      <c r="AI95" s="123"/>
      <c r="AJ95" s="123"/>
      <c r="AK95" s="123"/>
      <c r="AL95" s="123"/>
      <c r="AM95" s="123"/>
      <c r="AN95" s="123"/>
      <c r="AO95" s="123"/>
      <c r="AP95" s="123"/>
      <c r="AQ95" s="123"/>
      <c r="AR95" s="123"/>
      <c r="AS95" s="123"/>
      <c r="AT95" s="123"/>
      <c r="AU95" s="123"/>
      <c r="AV95" s="123"/>
    </row>
    <row r="96" spans="34:48" x14ac:dyDescent="0.2">
      <c r="AH96" s="123"/>
      <c r="AI96" s="123"/>
      <c r="AJ96" s="123"/>
      <c r="AK96" s="123"/>
      <c r="AL96" s="123"/>
      <c r="AM96" s="123"/>
      <c r="AN96" s="123"/>
      <c r="AO96" s="123"/>
      <c r="AP96" s="123"/>
      <c r="AQ96" s="123"/>
      <c r="AR96" s="123"/>
      <c r="AS96" s="123"/>
      <c r="AT96" s="123"/>
      <c r="AU96" s="123"/>
      <c r="AV96" s="123"/>
    </row>
    <row r="97" spans="34:48" x14ac:dyDescent="0.2">
      <c r="AH97" s="123"/>
      <c r="AI97" s="123"/>
      <c r="AJ97" s="123"/>
      <c r="AK97" s="123"/>
      <c r="AL97" s="123"/>
      <c r="AM97" s="123"/>
      <c r="AN97" s="123"/>
      <c r="AO97" s="123"/>
      <c r="AP97" s="123"/>
      <c r="AQ97" s="123"/>
      <c r="AR97" s="123"/>
      <c r="AS97" s="123"/>
      <c r="AT97" s="123"/>
      <c r="AU97" s="123"/>
      <c r="AV97" s="123"/>
    </row>
    <row r="98" spans="34:48" x14ac:dyDescent="0.2">
      <c r="AH98" s="123"/>
      <c r="AI98" s="123"/>
      <c r="AJ98" s="123"/>
      <c r="AK98" s="123"/>
      <c r="AL98" s="123"/>
      <c r="AM98" s="123"/>
      <c r="AN98" s="123"/>
      <c r="AO98" s="123"/>
      <c r="AP98" s="123"/>
      <c r="AQ98" s="123"/>
      <c r="AR98" s="123"/>
      <c r="AS98" s="123"/>
      <c r="AT98" s="123"/>
      <c r="AU98" s="123"/>
      <c r="AV98" s="123"/>
    </row>
    <row r="99" spans="34:48" x14ac:dyDescent="0.2">
      <c r="AH99" s="123"/>
      <c r="AI99" s="123"/>
      <c r="AJ99" s="123"/>
      <c r="AK99" s="123"/>
      <c r="AL99" s="123"/>
      <c r="AM99" s="123"/>
      <c r="AN99" s="123"/>
      <c r="AO99" s="123"/>
      <c r="AP99" s="123"/>
      <c r="AQ99" s="123"/>
      <c r="AR99" s="123"/>
      <c r="AS99" s="123"/>
      <c r="AT99" s="123"/>
      <c r="AU99" s="123"/>
      <c r="AV99" s="123"/>
    </row>
    <row r="100" spans="34:48" x14ac:dyDescent="0.2">
      <c r="AH100" s="123"/>
      <c r="AI100" s="123"/>
      <c r="AJ100" s="123"/>
      <c r="AK100" s="123"/>
      <c r="AL100" s="123"/>
      <c r="AM100" s="123"/>
      <c r="AN100" s="123"/>
      <c r="AO100" s="123"/>
      <c r="AP100" s="123"/>
      <c r="AQ100" s="123"/>
      <c r="AR100" s="123"/>
      <c r="AS100" s="123"/>
      <c r="AT100" s="123"/>
      <c r="AU100" s="123"/>
      <c r="AV100" s="123"/>
    </row>
    <row r="101" spans="34:48" x14ac:dyDescent="0.2">
      <c r="AH101" s="123"/>
      <c r="AI101" s="123"/>
      <c r="AJ101" s="123"/>
      <c r="AK101" s="123"/>
      <c r="AL101" s="123"/>
      <c r="AM101" s="123"/>
      <c r="AN101" s="123"/>
      <c r="AO101" s="123"/>
      <c r="AP101" s="123"/>
      <c r="AQ101" s="123"/>
      <c r="AR101" s="123"/>
      <c r="AS101" s="123"/>
      <c r="AT101" s="123"/>
      <c r="AU101" s="123"/>
      <c r="AV101" s="123"/>
    </row>
    <row r="102" spans="34:48" x14ac:dyDescent="0.2">
      <c r="AH102" s="123"/>
      <c r="AI102" s="123"/>
      <c r="AJ102" s="123"/>
      <c r="AK102" s="123"/>
      <c r="AL102" s="123"/>
      <c r="AM102" s="123"/>
      <c r="AN102" s="123"/>
      <c r="AO102" s="123"/>
      <c r="AP102" s="123"/>
      <c r="AQ102" s="123"/>
      <c r="AR102" s="123"/>
      <c r="AS102" s="123"/>
      <c r="AT102" s="123"/>
      <c r="AU102" s="123"/>
      <c r="AV102" s="123"/>
    </row>
    <row r="103" spans="34:48" x14ac:dyDescent="0.2">
      <c r="AH103" s="123"/>
      <c r="AI103" s="123"/>
      <c r="AJ103" s="123"/>
      <c r="AK103" s="123"/>
      <c r="AL103" s="123"/>
      <c r="AM103" s="123"/>
      <c r="AN103" s="123"/>
      <c r="AO103" s="123"/>
      <c r="AP103" s="123"/>
      <c r="AQ103" s="123"/>
      <c r="AR103" s="123"/>
      <c r="AS103" s="123"/>
      <c r="AT103" s="123"/>
      <c r="AU103" s="123"/>
      <c r="AV103" s="123"/>
    </row>
    <row r="104" spans="34:48" x14ac:dyDescent="0.2">
      <c r="AH104" s="123"/>
      <c r="AI104" s="123"/>
      <c r="AJ104" s="123"/>
      <c r="AK104" s="123"/>
      <c r="AL104" s="123"/>
      <c r="AM104" s="123"/>
      <c r="AN104" s="123"/>
      <c r="AO104" s="123"/>
      <c r="AP104" s="123"/>
      <c r="AQ104" s="123"/>
      <c r="AR104" s="123"/>
      <c r="AS104" s="123"/>
      <c r="AT104" s="123"/>
      <c r="AU104" s="123"/>
      <c r="AV104" s="123"/>
    </row>
    <row r="105" spans="34:48" x14ac:dyDescent="0.2">
      <c r="AH105" s="123"/>
      <c r="AI105" s="123"/>
      <c r="AJ105" s="123"/>
      <c r="AK105" s="123"/>
      <c r="AL105" s="123"/>
      <c r="AM105" s="123"/>
      <c r="AN105" s="123"/>
      <c r="AO105" s="123"/>
      <c r="AP105" s="123"/>
      <c r="AQ105" s="123"/>
      <c r="AR105" s="123"/>
      <c r="AS105" s="123"/>
      <c r="AT105" s="123"/>
      <c r="AU105" s="123"/>
      <c r="AV105" s="123"/>
    </row>
    <row r="106" spans="34:48" x14ac:dyDescent="0.2">
      <c r="AH106" s="123"/>
      <c r="AI106" s="123"/>
      <c r="AJ106" s="123"/>
      <c r="AK106" s="123"/>
      <c r="AL106" s="123"/>
      <c r="AM106" s="123"/>
      <c r="AN106" s="123"/>
      <c r="AO106" s="123"/>
      <c r="AP106" s="123"/>
      <c r="AQ106" s="123"/>
      <c r="AR106" s="123"/>
      <c r="AS106" s="123"/>
      <c r="AT106" s="123"/>
      <c r="AU106" s="123"/>
      <c r="AV106" s="123"/>
    </row>
    <row r="107" spans="34:48" x14ac:dyDescent="0.2">
      <c r="AH107" s="123"/>
      <c r="AI107" s="123"/>
      <c r="AJ107" s="123"/>
      <c r="AK107" s="123"/>
      <c r="AL107" s="123"/>
      <c r="AM107" s="123"/>
      <c r="AN107" s="123"/>
      <c r="AO107" s="123"/>
      <c r="AP107" s="123"/>
      <c r="AQ107" s="123"/>
      <c r="AR107" s="123"/>
      <c r="AS107" s="123"/>
      <c r="AT107" s="123"/>
      <c r="AU107" s="123"/>
      <c r="AV107" s="123"/>
    </row>
    <row r="108" spans="34:48" x14ac:dyDescent="0.2">
      <c r="AH108" s="123"/>
      <c r="AI108" s="123"/>
      <c r="AJ108" s="123"/>
      <c r="AK108" s="123"/>
      <c r="AL108" s="123"/>
      <c r="AM108" s="123"/>
      <c r="AN108" s="123"/>
      <c r="AO108" s="123"/>
      <c r="AP108" s="123"/>
      <c r="AQ108" s="123"/>
      <c r="AR108" s="123"/>
      <c r="AS108" s="123"/>
      <c r="AT108" s="123"/>
      <c r="AU108" s="123"/>
      <c r="AV108" s="123"/>
    </row>
    <row r="109" spans="34:48" x14ac:dyDescent="0.2">
      <c r="AH109" s="123"/>
      <c r="AI109" s="123"/>
      <c r="AJ109" s="123"/>
      <c r="AK109" s="123"/>
      <c r="AL109" s="123"/>
      <c r="AM109" s="123"/>
      <c r="AN109" s="123"/>
      <c r="AO109" s="123"/>
      <c r="AP109" s="123"/>
      <c r="AQ109" s="123"/>
      <c r="AR109" s="123"/>
      <c r="AS109" s="123"/>
      <c r="AT109" s="123"/>
      <c r="AU109" s="123"/>
      <c r="AV109" s="123"/>
    </row>
    <row r="110" spans="34:48" x14ac:dyDescent="0.2">
      <c r="AH110" s="123"/>
      <c r="AI110" s="123"/>
      <c r="AJ110" s="123"/>
      <c r="AK110" s="123"/>
      <c r="AL110" s="123"/>
      <c r="AM110" s="123"/>
      <c r="AN110" s="123"/>
      <c r="AO110" s="123"/>
      <c r="AP110" s="123"/>
      <c r="AQ110" s="123"/>
      <c r="AR110" s="123"/>
      <c r="AS110" s="123"/>
      <c r="AT110" s="123"/>
      <c r="AU110" s="123"/>
      <c r="AV110" s="123"/>
    </row>
    <row r="111" spans="34:48" x14ac:dyDescent="0.2">
      <c r="AH111" s="123"/>
      <c r="AI111" s="123"/>
      <c r="AJ111" s="123"/>
      <c r="AK111" s="123"/>
      <c r="AL111" s="123"/>
      <c r="AM111" s="123"/>
      <c r="AN111" s="123"/>
      <c r="AO111" s="123"/>
      <c r="AP111" s="123"/>
      <c r="AQ111" s="123"/>
      <c r="AR111" s="123"/>
      <c r="AS111" s="123"/>
      <c r="AT111" s="123"/>
      <c r="AU111" s="123"/>
      <c r="AV111" s="123"/>
    </row>
    <row r="112" spans="34:48" x14ac:dyDescent="0.2">
      <c r="AH112" s="123"/>
      <c r="AI112" s="123"/>
      <c r="AJ112" s="123"/>
      <c r="AK112" s="123"/>
      <c r="AL112" s="123"/>
      <c r="AM112" s="123"/>
      <c r="AN112" s="123"/>
      <c r="AO112" s="123"/>
      <c r="AP112" s="123"/>
      <c r="AQ112" s="123"/>
      <c r="AR112" s="123"/>
      <c r="AS112" s="123"/>
      <c r="AT112" s="123"/>
      <c r="AU112" s="123"/>
      <c r="AV112" s="123"/>
    </row>
    <row r="113" spans="34:48" x14ac:dyDescent="0.2">
      <c r="AH113" s="123"/>
      <c r="AI113" s="123"/>
      <c r="AJ113" s="123"/>
      <c r="AK113" s="123"/>
      <c r="AL113" s="123"/>
      <c r="AM113" s="123"/>
      <c r="AN113" s="123"/>
      <c r="AO113" s="123"/>
      <c r="AP113" s="123"/>
      <c r="AQ113" s="123"/>
      <c r="AR113" s="123"/>
      <c r="AS113" s="123"/>
      <c r="AT113" s="123"/>
      <c r="AU113" s="123"/>
      <c r="AV113" s="123"/>
    </row>
    <row r="114" spans="34:48" x14ac:dyDescent="0.2">
      <c r="AH114" s="123"/>
      <c r="AI114" s="123"/>
      <c r="AJ114" s="123"/>
      <c r="AK114" s="123"/>
      <c r="AL114" s="123"/>
      <c r="AM114" s="123"/>
      <c r="AN114" s="123"/>
      <c r="AO114" s="123"/>
      <c r="AP114" s="123"/>
      <c r="AQ114" s="123"/>
      <c r="AR114" s="123"/>
      <c r="AS114" s="123"/>
      <c r="AT114" s="123"/>
      <c r="AU114" s="123"/>
      <c r="AV114" s="123"/>
    </row>
    <row r="115" spans="34:48" x14ac:dyDescent="0.2">
      <c r="AH115" s="123"/>
      <c r="AI115" s="123"/>
      <c r="AJ115" s="123"/>
      <c r="AK115" s="123"/>
      <c r="AL115" s="123"/>
      <c r="AM115" s="123"/>
      <c r="AN115" s="123"/>
      <c r="AO115" s="123"/>
      <c r="AP115" s="123"/>
      <c r="AQ115" s="123"/>
      <c r="AR115" s="123"/>
      <c r="AS115" s="123"/>
      <c r="AT115" s="123"/>
      <c r="AU115" s="123"/>
      <c r="AV115" s="123"/>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ublished="0" codeName="Sayfa4"/>
  <dimension ref="A1:AV168"/>
  <sheetViews>
    <sheetView topLeftCell="B47" zoomScale="85" zoomScaleNormal="85" workbookViewId="0">
      <selection activeCell="D53" sqref="D53:F53"/>
    </sheetView>
  </sheetViews>
  <sheetFormatPr defaultRowHeight="15" x14ac:dyDescent="0.2"/>
  <cols>
    <col min="1" max="1" width="6.72265625" style="286" bestFit="1" customWidth="1"/>
    <col min="2" max="2" width="8.47265625" style="286" bestFit="1" customWidth="1"/>
    <col min="3" max="3" width="3.359375" style="286" bestFit="1" customWidth="1"/>
    <col min="4" max="47" width="5.6484375" customWidth="1"/>
    <col min="48" max="48" width="15.6015625" bestFit="1" customWidth="1"/>
  </cols>
  <sheetData>
    <row r="1" spans="4:37" hidden="1" x14ac:dyDescent="0.2"/>
    <row r="2" spans="4:37" hidden="1" x14ac:dyDescent="0.2">
      <c r="D2" s="290">
        <v>0.125</v>
      </c>
      <c r="E2" s="291">
        <v>1.24</v>
      </c>
      <c r="F2" s="291">
        <v>1.45</v>
      </c>
      <c r="G2" s="291">
        <v>1.73</v>
      </c>
      <c r="H2" s="291">
        <v>2.41</v>
      </c>
      <c r="I2" s="291"/>
      <c r="J2" s="291"/>
      <c r="K2" s="291"/>
      <c r="L2" s="291"/>
      <c r="M2" s="291"/>
      <c r="N2" s="291"/>
      <c r="O2" s="291"/>
      <c r="P2" s="291"/>
      <c r="Q2" s="291"/>
      <c r="R2" s="291"/>
      <c r="S2" s="291"/>
      <c r="T2" s="291"/>
      <c r="U2" s="291"/>
      <c r="V2" s="291"/>
      <c r="W2" s="291"/>
      <c r="X2" s="291"/>
      <c r="Y2" s="291"/>
      <c r="Z2" s="291"/>
      <c r="AA2" s="291"/>
      <c r="AB2" s="291"/>
      <c r="AC2" s="291"/>
      <c r="AD2" s="291"/>
      <c r="AE2" s="291"/>
      <c r="AF2" s="291"/>
      <c r="AG2" s="291"/>
      <c r="AH2" s="291"/>
      <c r="AI2" s="291"/>
      <c r="AJ2" s="291"/>
      <c r="AK2" s="291"/>
    </row>
    <row r="3" spans="4:37" hidden="1" x14ac:dyDescent="0.2">
      <c r="D3" s="290">
        <v>0.25</v>
      </c>
      <c r="E3" s="291">
        <v>1.65</v>
      </c>
      <c r="F3" s="291">
        <v>1.85</v>
      </c>
      <c r="G3" s="291">
        <v>2.2400000000000002</v>
      </c>
      <c r="H3" s="291">
        <v>3.02</v>
      </c>
      <c r="I3" s="291"/>
      <c r="J3" s="291"/>
      <c r="K3" s="291"/>
      <c r="L3" s="291"/>
      <c r="M3" s="291"/>
      <c r="N3" s="291"/>
      <c r="O3" s="291"/>
      <c r="P3" s="291"/>
      <c r="Q3" s="291"/>
      <c r="R3" s="291"/>
      <c r="S3" s="291"/>
      <c r="T3" s="291"/>
      <c r="U3" s="291"/>
      <c r="V3" s="291"/>
      <c r="W3" s="291"/>
      <c r="X3" s="291"/>
      <c r="Y3" s="291"/>
      <c r="Z3" s="291"/>
      <c r="AA3" s="291"/>
      <c r="AB3" s="291"/>
      <c r="AC3" s="291"/>
      <c r="AD3" s="291"/>
      <c r="AE3" s="291"/>
      <c r="AF3" s="291"/>
      <c r="AG3" s="291"/>
      <c r="AH3" s="291"/>
      <c r="AI3" s="291"/>
      <c r="AJ3" s="291"/>
      <c r="AK3" s="291"/>
    </row>
    <row r="4" spans="4:37" hidden="1" x14ac:dyDescent="0.2">
      <c r="D4" s="290">
        <v>0.375</v>
      </c>
      <c r="E4" s="292">
        <v>1.65</v>
      </c>
      <c r="F4" s="292">
        <v>1.85</v>
      </c>
      <c r="G4" s="291">
        <v>2.31</v>
      </c>
      <c r="H4" s="291">
        <v>3.2</v>
      </c>
      <c r="I4" s="291"/>
      <c r="J4" s="291"/>
      <c r="K4" s="291"/>
      <c r="L4" s="291"/>
      <c r="M4" s="291"/>
      <c r="N4" s="291"/>
      <c r="O4" s="291"/>
      <c r="P4" s="291"/>
      <c r="Q4" s="291"/>
      <c r="R4" s="291"/>
      <c r="S4" s="291"/>
      <c r="T4" s="291"/>
      <c r="U4" s="291"/>
      <c r="V4" s="291"/>
      <c r="W4" s="291"/>
      <c r="X4" s="291"/>
      <c r="Y4" s="291"/>
      <c r="Z4" s="291"/>
      <c r="AA4" s="291"/>
      <c r="AB4" s="291"/>
      <c r="AC4" s="291"/>
      <c r="AD4" s="291"/>
      <c r="AE4" s="291"/>
      <c r="AF4" s="291"/>
      <c r="AG4" s="291"/>
      <c r="AH4" s="291"/>
      <c r="AI4" s="291"/>
      <c r="AJ4" s="291"/>
      <c r="AK4" s="291"/>
    </row>
    <row r="5" spans="4:37" hidden="1" x14ac:dyDescent="0.2">
      <c r="D5" s="290">
        <v>0.5</v>
      </c>
      <c r="E5" s="292">
        <v>1.65</v>
      </c>
      <c r="F5" s="291">
        <v>2.11</v>
      </c>
      <c r="G5" s="291">
        <v>2.41</v>
      </c>
      <c r="H5" s="291">
        <v>2.77</v>
      </c>
      <c r="I5" s="291">
        <v>3.73</v>
      </c>
      <c r="J5" s="291">
        <v>4.78</v>
      </c>
      <c r="K5" s="291">
        <v>7.47</v>
      </c>
      <c r="L5" s="291"/>
      <c r="M5" s="291"/>
      <c r="N5" s="291"/>
      <c r="O5" s="291"/>
      <c r="P5" s="291"/>
      <c r="Q5" s="291"/>
      <c r="R5" s="291"/>
      <c r="S5" s="291"/>
      <c r="T5" s="291"/>
      <c r="U5" s="291"/>
      <c r="V5" s="291"/>
      <c r="W5" s="291"/>
      <c r="X5" s="291"/>
      <c r="Y5" s="291"/>
      <c r="Z5" s="291"/>
      <c r="AA5" s="291"/>
      <c r="AB5" s="291"/>
      <c r="AC5" s="291"/>
      <c r="AD5" s="291"/>
      <c r="AE5" s="291"/>
      <c r="AF5" s="291"/>
      <c r="AG5" s="291"/>
      <c r="AH5" s="291"/>
      <c r="AI5" s="291"/>
      <c r="AJ5" s="291"/>
      <c r="AK5" s="291"/>
    </row>
    <row r="6" spans="4:37" hidden="1" x14ac:dyDescent="0.2">
      <c r="D6" s="290">
        <v>0.75</v>
      </c>
      <c r="E6" s="292">
        <v>1.65</v>
      </c>
      <c r="F6" s="292">
        <v>2.11</v>
      </c>
      <c r="G6" s="291">
        <v>2.41</v>
      </c>
      <c r="H6" s="291">
        <v>2.87</v>
      </c>
      <c r="I6" s="291">
        <v>3.91</v>
      </c>
      <c r="J6" s="291">
        <v>5.56</v>
      </c>
      <c r="K6" s="291">
        <v>7.82</v>
      </c>
      <c r="L6" s="291"/>
      <c r="M6" s="291"/>
      <c r="N6" s="291"/>
      <c r="O6" s="291"/>
      <c r="P6" s="291"/>
      <c r="Q6" s="291"/>
      <c r="R6" s="291"/>
      <c r="S6" s="291"/>
      <c r="T6" s="291"/>
      <c r="U6" s="291"/>
      <c r="V6" s="291"/>
      <c r="W6" s="291"/>
      <c r="X6" s="291"/>
      <c r="Y6" s="291"/>
      <c r="Z6" s="291"/>
      <c r="AA6" s="291"/>
      <c r="AB6" s="291"/>
      <c r="AC6" s="291"/>
      <c r="AD6" s="291"/>
      <c r="AE6" s="291"/>
      <c r="AF6" s="291"/>
      <c r="AG6" s="291"/>
      <c r="AH6" s="291"/>
      <c r="AI6" s="291"/>
      <c r="AJ6" s="291"/>
      <c r="AK6" s="291"/>
    </row>
    <row r="7" spans="4:37" hidden="1" x14ac:dyDescent="0.2">
      <c r="D7" s="290">
        <v>1</v>
      </c>
      <c r="E7" s="292">
        <v>1.65</v>
      </c>
      <c r="F7" s="291">
        <v>2.77</v>
      </c>
      <c r="G7" s="291">
        <v>2.9</v>
      </c>
      <c r="H7" s="291">
        <v>3.38</v>
      </c>
      <c r="I7" s="291">
        <v>4.55</v>
      </c>
      <c r="J7" s="291">
        <v>6.35</v>
      </c>
      <c r="K7" s="291">
        <v>9.09</v>
      </c>
      <c r="L7" s="291"/>
      <c r="M7" s="291"/>
      <c r="N7" s="291"/>
      <c r="O7" s="291"/>
      <c r="P7" s="291"/>
      <c r="Q7" s="291"/>
      <c r="R7" s="291"/>
      <c r="S7" s="291"/>
      <c r="T7" s="291"/>
      <c r="U7" s="291"/>
      <c r="V7" s="291"/>
      <c r="W7" s="291"/>
      <c r="X7" s="291"/>
      <c r="Y7" s="291"/>
      <c r="Z7" s="291"/>
      <c r="AA7" s="291"/>
      <c r="AB7" s="291"/>
      <c r="AC7" s="291"/>
      <c r="AD7" s="291"/>
      <c r="AE7" s="291"/>
      <c r="AF7" s="291"/>
      <c r="AG7" s="291"/>
      <c r="AH7" s="291"/>
      <c r="AI7" s="291"/>
      <c r="AJ7" s="291"/>
      <c r="AK7" s="291"/>
    </row>
    <row r="8" spans="4:37" hidden="1" x14ac:dyDescent="0.2">
      <c r="D8" s="290">
        <v>1.25</v>
      </c>
      <c r="E8" s="292">
        <v>1.65</v>
      </c>
      <c r="F8" s="292">
        <v>2.77</v>
      </c>
      <c r="G8" s="291">
        <v>2.97</v>
      </c>
      <c r="H8" s="291">
        <v>3.56</v>
      </c>
      <c r="I8" s="291">
        <v>4.8499999999999996</v>
      </c>
      <c r="J8" s="291">
        <v>6.35</v>
      </c>
      <c r="K8" s="291">
        <v>9.6999999999999993</v>
      </c>
      <c r="L8" s="291"/>
      <c r="M8" s="291"/>
      <c r="N8" s="291"/>
      <c r="O8" s="291"/>
      <c r="P8" s="291"/>
      <c r="Q8" s="291"/>
      <c r="R8" s="291"/>
      <c r="S8" s="291"/>
      <c r="T8" s="291"/>
      <c r="U8" s="291"/>
      <c r="V8" s="291"/>
      <c r="W8" s="291"/>
      <c r="X8" s="291"/>
      <c r="Y8" s="291"/>
      <c r="Z8" s="291"/>
      <c r="AA8" s="291"/>
      <c r="AB8" s="291"/>
      <c r="AC8" s="291"/>
      <c r="AD8" s="291"/>
      <c r="AE8" s="291"/>
      <c r="AF8" s="291"/>
      <c r="AG8" s="291"/>
      <c r="AH8" s="291"/>
      <c r="AI8" s="291"/>
      <c r="AJ8" s="291"/>
      <c r="AK8" s="291"/>
    </row>
    <row r="9" spans="4:37" hidden="1" x14ac:dyDescent="0.2">
      <c r="D9" s="290">
        <v>1.5</v>
      </c>
      <c r="E9" s="292">
        <v>1.65</v>
      </c>
      <c r="F9" s="292">
        <v>2.77</v>
      </c>
      <c r="G9" s="291">
        <v>3.18</v>
      </c>
      <c r="H9" s="291">
        <v>3.68</v>
      </c>
      <c r="I9" s="291">
        <v>5.08</v>
      </c>
      <c r="J9" s="291">
        <v>7.14</v>
      </c>
      <c r="K9" s="291">
        <v>10.15</v>
      </c>
      <c r="L9" s="291"/>
      <c r="M9" s="291"/>
      <c r="N9" s="291"/>
      <c r="O9" s="291"/>
      <c r="P9" s="291"/>
      <c r="Q9" s="291"/>
      <c r="R9" s="291"/>
      <c r="S9" s="291"/>
      <c r="T9" s="291"/>
      <c r="U9" s="291"/>
      <c r="V9" s="291"/>
      <c r="W9" s="291"/>
      <c r="X9" s="291"/>
      <c r="Y9" s="291"/>
      <c r="Z9" s="291"/>
      <c r="AA9" s="291"/>
      <c r="AB9" s="291"/>
      <c r="AC9" s="291"/>
      <c r="AD9" s="291"/>
      <c r="AE9" s="291"/>
      <c r="AF9" s="291"/>
      <c r="AG9" s="291"/>
      <c r="AH9" s="291"/>
      <c r="AI9" s="291"/>
      <c r="AJ9" s="291"/>
      <c r="AK9" s="291"/>
    </row>
    <row r="10" spans="4:37" hidden="1" x14ac:dyDescent="0.2">
      <c r="D10" s="290">
        <v>2</v>
      </c>
      <c r="E10" s="292">
        <v>1.65</v>
      </c>
      <c r="F10" s="291">
        <v>2.11</v>
      </c>
      <c r="G10" s="291">
        <v>2.77</v>
      </c>
      <c r="H10" s="291">
        <v>3.18</v>
      </c>
      <c r="I10" s="291">
        <v>3.91</v>
      </c>
      <c r="J10" s="291">
        <v>4.37</v>
      </c>
      <c r="K10" s="291">
        <v>4.78</v>
      </c>
      <c r="L10" s="291">
        <v>5.54</v>
      </c>
      <c r="M10" s="291">
        <v>6.35</v>
      </c>
      <c r="N10" s="291">
        <v>7.14</v>
      </c>
      <c r="O10" s="291">
        <v>8.74</v>
      </c>
      <c r="P10" s="291">
        <v>11.07</v>
      </c>
      <c r="Q10" s="291"/>
      <c r="R10" s="291"/>
      <c r="S10" s="291"/>
      <c r="T10" s="291"/>
      <c r="U10" s="291"/>
      <c r="V10" s="291"/>
      <c r="W10" s="291"/>
      <c r="X10" s="291"/>
      <c r="Y10" s="291"/>
      <c r="Z10" s="291"/>
      <c r="AA10" s="291"/>
      <c r="AB10" s="291"/>
      <c r="AC10" s="291"/>
      <c r="AD10" s="291"/>
      <c r="AE10" s="291"/>
      <c r="AF10" s="291"/>
      <c r="AG10" s="291"/>
      <c r="AH10" s="291"/>
      <c r="AI10" s="291"/>
      <c r="AJ10" s="291"/>
      <c r="AK10" s="291"/>
    </row>
    <row r="11" spans="4:37" hidden="1" x14ac:dyDescent="0.2">
      <c r="D11" s="290">
        <v>2.5</v>
      </c>
      <c r="E11" s="291">
        <v>2.11</v>
      </c>
      <c r="F11" s="291">
        <v>2.77</v>
      </c>
      <c r="G11" s="291">
        <v>3.05</v>
      </c>
      <c r="H11" s="291">
        <v>3.18</v>
      </c>
      <c r="I11" s="291">
        <v>3.58</v>
      </c>
      <c r="J11" s="291">
        <v>3.96</v>
      </c>
      <c r="K11" s="291">
        <v>4.37</v>
      </c>
      <c r="L11" s="291">
        <v>4.78</v>
      </c>
      <c r="M11" s="291">
        <v>5.16</v>
      </c>
      <c r="N11" s="291">
        <v>5.49</v>
      </c>
      <c r="O11" s="291">
        <v>6.35</v>
      </c>
      <c r="P11" s="291">
        <v>7.01</v>
      </c>
      <c r="Q11" s="291">
        <v>9.5299999999999994</v>
      </c>
      <c r="R11" s="291">
        <v>14.02</v>
      </c>
      <c r="S11" s="291"/>
      <c r="T11" s="291"/>
      <c r="U11" s="291"/>
      <c r="V11" s="291"/>
      <c r="W11" s="291"/>
      <c r="X11" s="291"/>
      <c r="Y11" s="291"/>
      <c r="Z11" s="291"/>
      <c r="AA11" s="291"/>
      <c r="AB11" s="291"/>
      <c r="AC11" s="291"/>
      <c r="AD11" s="291"/>
      <c r="AE11" s="291"/>
      <c r="AF11" s="291"/>
      <c r="AG11" s="291"/>
      <c r="AH11" s="291"/>
      <c r="AI11" s="291"/>
      <c r="AJ11" s="291"/>
      <c r="AK11" s="291"/>
    </row>
    <row r="12" spans="4:37" hidden="1" x14ac:dyDescent="0.2">
      <c r="D12" s="290">
        <v>3</v>
      </c>
      <c r="E12" s="292">
        <v>2.11</v>
      </c>
      <c r="F12" s="292">
        <v>2.77</v>
      </c>
      <c r="G12" s="292">
        <v>3.05</v>
      </c>
      <c r="H12" s="291">
        <v>3.18</v>
      </c>
      <c r="I12" s="292">
        <v>3.58</v>
      </c>
      <c r="J12" s="292">
        <v>3.96</v>
      </c>
      <c r="K12" s="292">
        <v>4.37</v>
      </c>
      <c r="L12" s="292">
        <v>4.78</v>
      </c>
      <c r="M12" s="291">
        <v>5.49</v>
      </c>
      <c r="N12" s="291">
        <v>6.35</v>
      </c>
      <c r="O12" s="291">
        <v>7.14</v>
      </c>
      <c r="P12" s="291">
        <v>7.62</v>
      </c>
      <c r="Q12" s="291">
        <v>11.13</v>
      </c>
      <c r="R12" s="291">
        <v>15.24</v>
      </c>
      <c r="S12" s="291"/>
      <c r="T12" s="291"/>
      <c r="U12" s="291"/>
      <c r="V12" s="291"/>
      <c r="W12" s="291"/>
      <c r="X12" s="291"/>
      <c r="Y12" s="291"/>
      <c r="Z12" s="291"/>
      <c r="AA12" s="291"/>
      <c r="AB12" s="291"/>
      <c r="AC12" s="291"/>
      <c r="AD12" s="291"/>
      <c r="AE12" s="291"/>
      <c r="AF12" s="291"/>
      <c r="AG12" s="291"/>
      <c r="AH12" s="291"/>
      <c r="AI12" s="291"/>
      <c r="AJ12" s="291"/>
      <c r="AK12" s="291"/>
    </row>
    <row r="13" spans="4:37" hidden="1" x14ac:dyDescent="0.2">
      <c r="D13" s="290">
        <v>3.5</v>
      </c>
      <c r="E13" s="292">
        <v>2.11</v>
      </c>
      <c r="F13" s="292">
        <v>2.77</v>
      </c>
      <c r="G13" s="292">
        <v>3.05</v>
      </c>
      <c r="H13" s="291">
        <v>3.18</v>
      </c>
      <c r="I13" s="292">
        <v>3.58</v>
      </c>
      <c r="J13" s="292">
        <v>3.96</v>
      </c>
      <c r="K13" s="292">
        <v>4.37</v>
      </c>
      <c r="L13" s="292">
        <v>4.78</v>
      </c>
      <c r="M13" s="291">
        <v>5.74</v>
      </c>
      <c r="N13" s="291">
        <v>6.35</v>
      </c>
      <c r="O13" s="291">
        <v>7.14</v>
      </c>
      <c r="P13" s="291">
        <v>8.08</v>
      </c>
      <c r="Q13" s="291"/>
      <c r="R13" s="291"/>
      <c r="S13" s="291"/>
      <c r="T13" s="291"/>
      <c r="U13" s="291"/>
      <c r="V13" s="291"/>
      <c r="W13" s="291"/>
      <c r="X13" s="291"/>
      <c r="Y13" s="291"/>
      <c r="Z13" s="291"/>
      <c r="AA13" s="291"/>
      <c r="AB13" s="291"/>
      <c r="AC13" s="291"/>
      <c r="AD13" s="291"/>
      <c r="AE13" s="291"/>
      <c r="AF13" s="291"/>
      <c r="AG13" s="291"/>
      <c r="AH13" s="291"/>
      <c r="AI13" s="291"/>
      <c r="AJ13" s="291"/>
      <c r="AK13" s="291"/>
    </row>
    <row r="14" spans="4:37" hidden="1" x14ac:dyDescent="0.2">
      <c r="D14" s="290">
        <v>4</v>
      </c>
      <c r="E14" s="291">
        <v>2.11</v>
      </c>
      <c r="F14" s="291">
        <v>2.77</v>
      </c>
      <c r="G14" s="291">
        <v>3.05</v>
      </c>
      <c r="H14" s="291">
        <v>3.18</v>
      </c>
      <c r="I14" s="291">
        <v>3.58</v>
      </c>
      <c r="J14" s="291">
        <v>3.96</v>
      </c>
      <c r="K14" s="291">
        <v>4.37</v>
      </c>
      <c r="L14" s="291">
        <v>4.78</v>
      </c>
      <c r="M14" s="291">
        <v>5.16</v>
      </c>
      <c r="N14" s="291">
        <v>5.56</v>
      </c>
      <c r="O14" s="291">
        <v>6.02</v>
      </c>
      <c r="P14" s="291">
        <v>6.35</v>
      </c>
      <c r="Q14" s="291">
        <v>7.14</v>
      </c>
      <c r="R14" s="291">
        <v>7.92</v>
      </c>
      <c r="S14" s="291">
        <v>8.56</v>
      </c>
      <c r="T14" s="291">
        <v>1.1299999999999999</v>
      </c>
      <c r="U14" s="291">
        <v>13.49</v>
      </c>
      <c r="V14" s="291">
        <v>17.12</v>
      </c>
      <c r="W14" s="291"/>
      <c r="X14" s="291"/>
      <c r="Y14" s="291"/>
      <c r="Z14" s="291"/>
      <c r="AA14" s="291"/>
      <c r="AB14" s="291"/>
      <c r="AC14" s="291"/>
      <c r="AD14" s="291"/>
      <c r="AE14" s="291"/>
      <c r="AF14" s="291"/>
      <c r="AG14" s="291"/>
      <c r="AH14" s="291"/>
      <c r="AI14" s="291"/>
      <c r="AJ14" s="291"/>
      <c r="AK14" s="291"/>
    </row>
    <row r="15" spans="4:37" hidden="1" x14ac:dyDescent="0.2">
      <c r="D15" s="290">
        <v>5</v>
      </c>
      <c r="E15" s="291">
        <v>2.11</v>
      </c>
      <c r="F15" s="291">
        <v>2.77</v>
      </c>
      <c r="G15" s="291">
        <v>3.18</v>
      </c>
      <c r="H15" s="291">
        <v>3.4</v>
      </c>
      <c r="I15" s="291">
        <v>3.96</v>
      </c>
      <c r="J15" s="291">
        <v>4.78</v>
      </c>
      <c r="K15" s="291">
        <v>5.56</v>
      </c>
      <c r="L15" s="291">
        <v>6.55</v>
      </c>
      <c r="M15" s="291">
        <v>7.14</v>
      </c>
      <c r="N15" s="291">
        <v>7.92</v>
      </c>
      <c r="O15" s="291">
        <v>8.74</v>
      </c>
      <c r="P15" s="291">
        <v>9.5299999999999994</v>
      </c>
      <c r="Q15" s="291">
        <v>12.7</v>
      </c>
      <c r="R15" s="291">
        <v>15.88</v>
      </c>
      <c r="S15" s="291">
        <v>19.05</v>
      </c>
      <c r="T15" s="291"/>
      <c r="U15" s="291"/>
      <c r="V15" s="291"/>
      <c r="W15" s="291"/>
      <c r="X15" s="291"/>
      <c r="Y15" s="291"/>
      <c r="Z15" s="291"/>
      <c r="AA15" s="291"/>
      <c r="AB15" s="291"/>
      <c r="AC15" s="291"/>
      <c r="AD15" s="291"/>
      <c r="AE15" s="291"/>
      <c r="AF15" s="291"/>
      <c r="AG15" s="291"/>
      <c r="AH15" s="291"/>
      <c r="AI15" s="291"/>
      <c r="AJ15" s="291"/>
      <c r="AK15" s="291"/>
    </row>
    <row r="16" spans="4:37" hidden="1" x14ac:dyDescent="0.2">
      <c r="D16" s="290">
        <v>6</v>
      </c>
      <c r="E16" s="291">
        <v>2.11</v>
      </c>
      <c r="F16" s="291">
        <v>2.77</v>
      </c>
      <c r="G16" s="291">
        <v>3.18</v>
      </c>
      <c r="H16" s="291">
        <v>3.4</v>
      </c>
      <c r="I16" s="291">
        <v>3.58</v>
      </c>
      <c r="J16" s="291">
        <v>3.96</v>
      </c>
      <c r="K16" s="291">
        <v>4.37</v>
      </c>
      <c r="L16" s="291">
        <v>4.78</v>
      </c>
      <c r="M16" s="291">
        <v>5.16</v>
      </c>
      <c r="N16" s="291">
        <v>5.56</v>
      </c>
      <c r="O16" s="291">
        <v>6.35</v>
      </c>
      <c r="P16" s="291">
        <v>7.11</v>
      </c>
      <c r="Q16" s="291">
        <v>7.92</v>
      </c>
      <c r="R16" s="291">
        <v>8.74</v>
      </c>
      <c r="S16" s="291">
        <v>9.5299999999999994</v>
      </c>
      <c r="T16" s="291">
        <v>10.97</v>
      </c>
      <c r="U16" s="291">
        <v>12.7</v>
      </c>
      <c r="V16" s="291">
        <v>14.27</v>
      </c>
      <c r="W16" s="291">
        <v>15.88</v>
      </c>
      <c r="X16" s="291">
        <v>18.260000000000002</v>
      </c>
      <c r="Y16" s="291">
        <v>19.05</v>
      </c>
      <c r="Z16" s="291">
        <v>21.95</v>
      </c>
      <c r="AA16" s="291">
        <v>22.23</v>
      </c>
      <c r="AB16" s="291"/>
      <c r="AC16" s="291"/>
      <c r="AD16" s="291"/>
      <c r="AE16" s="291"/>
      <c r="AF16" s="291"/>
      <c r="AG16" s="291"/>
      <c r="AH16" s="291"/>
      <c r="AI16" s="291"/>
      <c r="AJ16" s="291"/>
      <c r="AK16" s="291"/>
    </row>
    <row r="17" spans="4:37" hidden="1" x14ac:dyDescent="0.2">
      <c r="D17" s="290">
        <v>8</v>
      </c>
      <c r="E17" s="291">
        <v>2.77</v>
      </c>
      <c r="F17" s="291">
        <v>3.18</v>
      </c>
      <c r="G17" s="291">
        <v>3.76</v>
      </c>
      <c r="H17" s="291">
        <v>3.96</v>
      </c>
      <c r="I17" s="291">
        <v>4.78</v>
      </c>
      <c r="J17" s="291">
        <v>5.16</v>
      </c>
      <c r="K17" s="291">
        <v>5.56</v>
      </c>
      <c r="L17" s="291">
        <v>6.35</v>
      </c>
      <c r="M17" s="291">
        <v>7.04</v>
      </c>
      <c r="N17" s="291">
        <v>7.92</v>
      </c>
      <c r="O17" s="291">
        <v>8.18</v>
      </c>
      <c r="P17" s="291">
        <v>8.74</v>
      </c>
      <c r="Q17" s="291">
        <v>9.5299999999999994</v>
      </c>
      <c r="R17" s="291">
        <v>10.31</v>
      </c>
      <c r="S17" s="291">
        <v>11.13</v>
      </c>
      <c r="T17" s="291">
        <v>12.7</v>
      </c>
      <c r="U17" s="291">
        <v>14.27</v>
      </c>
      <c r="V17" s="291">
        <v>15.09</v>
      </c>
      <c r="W17" s="291">
        <v>15.88</v>
      </c>
      <c r="X17" s="291">
        <v>18.260000000000002</v>
      </c>
      <c r="Y17" s="291">
        <v>19.05</v>
      </c>
      <c r="Z17" s="291">
        <v>20.62</v>
      </c>
      <c r="AA17" s="292">
        <v>22.23</v>
      </c>
      <c r="AB17" s="291">
        <v>23.01</v>
      </c>
      <c r="AC17" s="291">
        <v>25.4</v>
      </c>
      <c r="AD17" s="291"/>
      <c r="AE17" s="291"/>
      <c r="AF17" s="291"/>
      <c r="AG17" s="291"/>
      <c r="AH17" s="291"/>
      <c r="AI17" s="291"/>
      <c r="AJ17" s="291"/>
      <c r="AK17" s="291"/>
    </row>
    <row r="18" spans="4:37" hidden="1" x14ac:dyDescent="0.2">
      <c r="D18" s="290">
        <v>10</v>
      </c>
      <c r="E18" s="291">
        <v>3.4</v>
      </c>
      <c r="F18" s="291">
        <v>3.96</v>
      </c>
      <c r="G18" s="291">
        <v>4.1900000000000004</v>
      </c>
      <c r="H18" s="291">
        <v>4.78</v>
      </c>
      <c r="I18" s="291">
        <v>5.16</v>
      </c>
      <c r="J18" s="291">
        <v>5.56</v>
      </c>
      <c r="K18" s="291">
        <v>6.35</v>
      </c>
      <c r="L18" s="291">
        <v>7.09</v>
      </c>
      <c r="M18" s="291">
        <v>7.8</v>
      </c>
      <c r="N18" s="291">
        <v>8.74</v>
      </c>
      <c r="O18" s="291">
        <v>9.27</v>
      </c>
      <c r="P18" s="291">
        <v>11.13</v>
      </c>
      <c r="Q18" s="291">
        <v>12.7</v>
      </c>
      <c r="R18" s="291">
        <v>14.27</v>
      </c>
      <c r="S18" s="291">
        <v>15.09</v>
      </c>
      <c r="T18" s="291">
        <v>15.88</v>
      </c>
      <c r="U18" s="291">
        <v>18.260000000000002</v>
      </c>
      <c r="V18" s="291">
        <v>20.62</v>
      </c>
      <c r="W18" s="291">
        <v>21.44</v>
      </c>
      <c r="X18" s="291">
        <v>22.23</v>
      </c>
      <c r="Y18" s="291">
        <v>23.83</v>
      </c>
      <c r="Z18" s="291">
        <v>25.4</v>
      </c>
      <c r="AA18" s="291">
        <v>28.58</v>
      </c>
      <c r="AB18" s="291">
        <v>31.75</v>
      </c>
      <c r="AC18" s="291"/>
      <c r="AD18" s="291"/>
      <c r="AE18" s="291"/>
      <c r="AF18" s="291"/>
      <c r="AG18" s="291"/>
      <c r="AH18" s="291"/>
      <c r="AI18" s="291"/>
      <c r="AJ18" s="291"/>
      <c r="AK18" s="291"/>
    </row>
    <row r="19" spans="4:37" hidden="1" x14ac:dyDescent="0.2">
      <c r="D19" s="290">
        <v>12</v>
      </c>
      <c r="E19" s="291">
        <v>3.96</v>
      </c>
      <c r="F19" s="291">
        <v>4.37</v>
      </c>
      <c r="G19" s="291">
        <v>4.57</v>
      </c>
      <c r="H19" s="291">
        <v>4.78</v>
      </c>
      <c r="I19" s="291">
        <v>5.16</v>
      </c>
      <c r="J19" s="291">
        <v>5.56</v>
      </c>
      <c r="K19" s="291">
        <v>6.35</v>
      </c>
      <c r="L19" s="291">
        <v>7.14</v>
      </c>
      <c r="M19" s="291">
        <v>7.92</v>
      </c>
      <c r="N19" s="291">
        <v>8.3800000000000008</v>
      </c>
      <c r="O19" s="291">
        <v>8.74</v>
      </c>
      <c r="P19" s="291">
        <v>9.5299999999999994</v>
      </c>
      <c r="Q19" s="291">
        <v>10.31</v>
      </c>
      <c r="R19" s="291">
        <v>11.13</v>
      </c>
      <c r="S19" s="291">
        <v>12.7</v>
      </c>
      <c r="T19" s="291">
        <v>14.27</v>
      </c>
      <c r="U19" s="291">
        <v>15.88</v>
      </c>
      <c r="V19" s="291">
        <v>17.48</v>
      </c>
      <c r="W19" s="291">
        <v>19.05</v>
      </c>
      <c r="X19" s="291">
        <v>20.62</v>
      </c>
      <c r="Y19" s="291">
        <v>21.44</v>
      </c>
      <c r="Z19" s="291">
        <v>22.23</v>
      </c>
      <c r="AA19" s="291">
        <v>23.83</v>
      </c>
      <c r="AB19" s="291">
        <v>25.4</v>
      </c>
      <c r="AC19" s="291">
        <v>26.97</v>
      </c>
      <c r="AD19" s="291">
        <v>28.58</v>
      </c>
      <c r="AE19" s="291">
        <v>31.75</v>
      </c>
      <c r="AF19" s="291">
        <v>33.32</v>
      </c>
      <c r="AG19" s="291"/>
      <c r="AH19" s="291"/>
      <c r="AI19" s="291"/>
      <c r="AJ19" s="291"/>
      <c r="AK19" s="291"/>
    </row>
    <row r="20" spans="4:37" hidden="1" x14ac:dyDescent="0.2">
      <c r="D20" s="290">
        <v>14</v>
      </c>
      <c r="E20" s="291">
        <v>3.96</v>
      </c>
      <c r="F20" s="291">
        <v>4.78</v>
      </c>
      <c r="G20" s="291">
        <v>5.16</v>
      </c>
      <c r="H20" s="291">
        <v>5.33</v>
      </c>
      <c r="I20" s="291">
        <v>5.56</v>
      </c>
      <c r="J20" s="291">
        <v>6.35</v>
      </c>
      <c r="K20" s="291">
        <v>7.14</v>
      </c>
      <c r="L20" s="291">
        <v>7.92</v>
      </c>
      <c r="M20" s="291">
        <v>8.74</v>
      </c>
      <c r="N20" s="291">
        <v>9.5299999999999994</v>
      </c>
      <c r="O20" s="291">
        <v>10.31</v>
      </c>
      <c r="P20" s="291">
        <v>11.13</v>
      </c>
      <c r="Q20" s="291">
        <v>11.91</v>
      </c>
      <c r="R20" s="291">
        <v>12.7</v>
      </c>
      <c r="S20" s="291">
        <v>14.27</v>
      </c>
      <c r="T20" s="291">
        <v>15.09</v>
      </c>
      <c r="U20" s="291">
        <v>15.88</v>
      </c>
      <c r="V20" s="291">
        <v>17.48</v>
      </c>
      <c r="W20" s="291">
        <v>19.05</v>
      </c>
      <c r="X20" s="291">
        <v>20.62</v>
      </c>
      <c r="Y20" s="291">
        <v>22.23</v>
      </c>
      <c r="Z20" s="291">
        <v>23.83</v>
      </c>
      <c r="AA20" s="291">
        <v>25.4</v>
      </c>
      <c r="AB20" s="291">
        <v>26.97</v>
      </c>
      <c r="AC20" s="291">
        <v>27.79</v>
      </c>
      <c r="AD20" s="291">
        <v>28.58</v>
      </c>
      <c r="AE20" s="291">
        <v>31.75</v>
      </c>
      <c r="AF20" s="291">
        <v>35.71</v>
      </c>
      <c r="AG20" s="291">
        <v>50.8</v>
      </c>
      <c r="AH20" s="291">
        <v>53.98</v>
      </c>
      <c r="AI20" s="291">
        <v>55.88</v>
      </c>
      <c r="AJ20" s="291">
        <v>63.5</v>
      </c>
      <c r="AK20" s="291"/>
    </row>
    <row r="21" spans="4:37" hidden="1" x14ac:dyDescent="0.2">
      <c r="D21" s="290">
        <v>16</v>
      </c>
      <c r="E21" s="291">
        <v>4.1900000000000004</v>
      </c>
      <c r="F21" s="291">
        <v>4.78</v>
      </c>
      <c r="G21" s="291">
        <v>5.16</v>
      </c>
      <c r="H21" s="291">
        <v>5.56</v>
      </c>
      <c r="I21" s="291">
        <v>6.35</v>
      </c>
      <c r="J21" s="291">
        <v>7.14</v>
      </c>
      <c r="K21" s="291">
        <v>7.92</v>
      </c>
      <c r="L21" s="291">
        <v>8.74</v>
      </c>
      <c r="M21" s="291">
        <v>9.5299999999999994</v>
      </c>
      <c r="N21" s="291">
        <v>10.31</v>
      </c>
      <c r="O21" s="291">
        <v>11.13</v>
      </c>
      <c r="P21" s="291">
        <v>11.91</v>
      </c>
      <c r="Q21" s="291">
        <v>12.7</v>
      </c>
      <c r="R21" s="291">
        <v>14.27</v>
      </c>
      <c r="S21" s="291">
        <v>15.88</v>
      </c>
      <c r="T21" s="291">
        <v>16.66</v>
      </c>
      <c r="U21" s="291">
        <v>17.48</v>
      </c>
      <c r="V21" s="291">
        <v>19.05</v>
      </c>
      <c r="W21" s="291">
        <v>20.62</v>
      </c>
      <c r="X21" s="291">
        <v>21.44</v>
      </c>
      <c r="Y21" s="292">
        <v>22.23</v>
      </c>
      <c r="Z21" s="291">
        <v>23.83</v>
      </c>
      <c r="AA21" s="291">
        <v>25.4</v>
      </c>
      <c r="AB21" s="291">
        <v>26.19</v>
      </c>
      <c r="AC21" s="291">
        <v>26.97</v>
      </c>
      <c r="AD21" s="291">
        <v>28.58</v>
      </c>
      <c r="AE21" s="291">
        <v>30.18</v>
      </c>
      <c r="AF21" s="291">
        <v>30.96</v>
      </c>
      <c r="AG21" s="291">
        <v>31.73</v>
      </c>
      <c r="AH21" s="291">
        <v>36.53</v>
      </c>
      <c r="AI21" s="291">
        <v>40.49</v>
      </c>
      <c r="AJ21" s="291"/>
      <c r="AK21" s="291"/>
    </row>
    <row r="22" spans="4:37" hidden="1" x14ac:dyDescent="0.2">
      <c r="D22" s="290">
        <v>18</v>
      </c>
      <c r="E22" s="291">
        <v>4.1900000000000004</v>
      </c>
      <c r="F22" s="291">
        <v>4.78</v>
      </c>
      <c r="G22" s="291">
        <v>5.56</v>
      </c>
      <c r="H22" s="291">
        <v>6.35</v>
      </c>
      <c r="I22" s="291">
        <v>7.14</v>
      </c>
      <c r="J22" s="291">
        <v>7.92</v>
      </c>
      <c r="K22" s="291">
        <v>8.74</v>
      </c>
      <c r="L22" s="291">
        <v>9.5299999999999994</v>
      </c>
      <c r="M22" s="291">
        <v>10.31</v>
      </c>
      <c r="N22" s="291">
        <v>11.13</v>
      </c>
      <c r="O22" s="291">
        <v>11.91</v>
      </c>
      <c r="P22" s="291">
        <v>12.7</v>
      </c>
      <c r="Q22" s="291">
        <v>14.27</v>
      </c>
      <c r="R22" s="291">
        <v>15.88</v>
      </c>
      <c r="S22" s="291">
        <v>17.48</v>
      </c>
      <c r="T22" s="291">
        <v>19.05</v>
      </c>
      <c r="U22" s="291">
        <v>20.62</v>
      </c>
      <c r="V22" s="291">
        <v>22.23</v>
      </c>
      <c r="W22" s="291">
        <v>23.83</v>
      </c>
      <c r="X22" s="291">
        <v>25.4</v>
      </c>
      <c r="Y22" s="291">
        <v>26.97</v>
      </c>
      <c r="Z22" s="291">
        <v>28.58</v>
      </c>
      <c r="AA22" s="291">
        <v>29.36</v>
      </c>
      <c r="AB22" s="291">
        <v>30.18</v>
      </c>
      <c r="AC22" s="291">
        <v>31.75</v>
      </c>
      <c r="AD22" s="291">
        <v>34.93</v>
      </c>
      <c r="AE22" s="291">
        <v>39.67</v>
      </c>
      <c r="AF22" s="291">
        <v>45.24</v>
      </c>
      <c r="AG22" s="291"/>
      <c r="AH22" s="291"/>
      <c r="AI22" s="291"/>
      <c r="AJ22" s="291"/>
      <c r="AK22" s="291"/>
    </row>
    <row r="23" spans="4:37" hidden="1" x14ac:dyDescent="0.2">
      <c r="D23" s="290">
        <v>20</v>
      </c>
      <c r="E23" s="291">
        <v>4.78</v>
      </c>
      <c r="F23" s="291">
        <v>5.56</v>
      </c>
      <c r="G23" s="291">
        <v>6.35</v>
      </c>
      <c r="H23" s="291">
        <v>7.14</v>
      </c>
      <c r="I23" s="291">
        <v>7.92</v>
      </c>
      <c r="J23" s="291">
        <v>8.74</v>
      </c>
      <c r="K23" s="291">
        <v>9.5299999999999994</v>
      </c>
      <c r="L23" s="291">
        <v>10.31</v>
      </c>
      <c r="M23" s="291">
        <v>11.13</v>
      </c>
      <c r="N23" s="291">
        <v>11.91</v>
      </c>
      <c r="O23" s="291">
        <v>12.7</v>
      </c>
      <c r="P23" s="291">
        <v>14.27</v>
      </c>
      <c r="Q23" s="291">
        <v>15.09</v>
      </c>
      <c r="R23" s="292">
        <v>15.88</v>
      </c>
      <c r="S23" s="292">
        <v>17.48</v>
      </c>
      <c r="T23" s="292">
        <v>19.05</v>
      </c>
      <c r="U23" s="292">
        <v>20.62</v>
      </c>
      <c r="V23" s="292">
        <v>22.23</v>
      </c>
      <c r="W23" s="292">
        <v>23.83</v>
      </c>
      <c r="X23" s="292">
        <v>25.4</v>
      </c>
      <c r="Y23" s="291">
        <v>26.19</v>
      </c>
      <c r="Z23" s="291">
        <v>26.97</v>
      </c>
      <c r="AA23" s="291">
        <v>28.58</v>
      </c>
      <c r="AB23" s="291">
        <v>30.18</v>
      </c>
      <c r="AC23" s="291">
        <v>31.75</v>
      </c>
      <c r="AD23" s="291">
        <v>32.54</v>
      </c>
      <c r="AE23" s="291">
        <v>33.32</v>
      </c>
      <c r="AF23" s="291">
        <v>34.93</v>
      </c>
      <c r="AG23" s="291">
        <v>38.1</v>
      </c>
      <c r="AH23" s="291">
        <v>44.45</v>
      </c>
      <c r="AI23" s="291">
        <v>50.01</v>
      </c>
      <c r="AJ23" s="291"/>
      <c r="AK23" s="291"/>
    </row>
    <row r="24" spans="4:37" hidden="1" x14ac:dyDescent="0.2">
      <c r="D24" s="290">
        <v>22</v>
      </c>
      <c r="E24" s="292">
        <v>4.78</v>
      </c>
      <c r="F24" s="292">
        <v>5.56</v>
      </c>
      <c r="G24" s="292">
        <v>6.35</v>
      </c>
      <c r="H24" s="292">
        <v>7.14</v>
      </c>
      <c r="I24" s="292">
        <v>7.92</v>
      </c>
      <c r="J24" s="292">
        <v>8.74</v>
      </c>
      <c r="K24" s="292">
        <v>9.5299999999999994</v>
      </c>
      <c r="L24" s="292">
        <v>10.31</v>
      </c>
      <c r="M24" s="292">
        <v>11.13</v>
      </c>
      <c r="N24" s="292">
        <v>11.91</v>
      </c>
      <c r="O24" s="292">
        <v>12.7</v>
      </c>
      <c r="P24" s="292">
        <v>14.27</v>
      </c>
      <c r="Q24" s="291">
        <v>15.88</v>
      </c>
      <c r="R24" s="291">
        <v>17.48</v>
      </c>
      <c r="S24" s="291">
        <v>19.05</v>
      </c>
      <c r="T24" s="291">
        <v>20.62</v>
      </c>
      <c r="U24" s="291">
        <v>22.23</v>
      </c>
      <c r="V24" s="291">
        <v>23.83</v>
      </c>
      <c r="W24" s="291">
        <v>25.4</v>
      </c>
      <c r="X24" s="291">
        <v>26.97</v>
      </c>
      <c r="Y24" s="291">
        <v>28.58</v>
      </c>
      <c r="Z24" s="291">
        <v>30.18</v>
      </c>
      <c r="AA24" s="291">
        <v>31.75</v>
      </c>
      <c r="AB24" s="291">
        <v>33.92</v>
      </c>
      <c r="AC24" s="291">
        <v>34.93</v>
      </c>
      <c r="AD24" s="291">
        <v>36.53</v>
      </c>
      <c r="AE24" s="291">
        <v>38.1</v>
      </c>
      <c r="AF24" s="291">
        <v>41.28</v>
      </c>
      <c r="AG24" s="291">
        <v>47.63</v>
      </c>
      <c r="AH24" s="291">
        <v>53.98</v>
      </c>
      <c r="AI24" s="291"/>
      <c r="AJ24" s="291"/>
      <c r="AK24" s="291"/>
    </row>
    <row r="25" spans="4:37" hidden="1" x14ac:dyDescent="0.2">
      <c r="D25" s="290">
        <v>24</v>
      </c>
      <c r="E25" s="291">
        <v>5.54</v>
      </c>
      <c r="F25" s="291">
        <v>6.35</v>
      </c>
      <c r="G25" s="291">
        <v>7.14</v>
      </c>
      <c r="H25" s="291">
        <v>7.92</v>
      </c>
      <c r="I25" s="291">
        <v>8.74</v>
      </c>
      <c r="J25" s="291">
        <v>9.5299999999999994</v>
      </c>
      <c r="K25" s="291">
        <v>10.31</v>
      </c>
      <c r="L25" s="291">
        <v>11.13</v>
      </c>
      <c r="M25" s="291">
        <v>11.91</v>
      </c>
      <c r="N25" s="291">
        <v>12.7</v>
      </c>
      <c r="O25" s="291">
        <v>14.27</v>
      </c>
      <c r="P25" s="291">
        <v>15.88</v>
      </c>
      <c r="Q25" s="291">
        <v>17.48</v>
      </c>
      <c r="R25" s="291">
        <v>19.05</v>
      </c>
      <c r="S25" s="291">
        <v>20.62</v>
      </c>
      <c r="T25" s="291">
        <v>22.23</v>
      </c>
      <c r="U25" s="291">
        <v>23.83</v>
      </c>
      <c r="V25" s="291">
        <v>24.61</v>
      </c>
      <c r="W25" s="292">
        <v>25.4</v>
      </c>
      <c r="X25" s="292">
        <v>26.97</v>
      </c>
      <c r="Y25" s="292">
        <v>28.58</v>
      </c>
      <c r="Z25" s="292">
        <v>30.18</v>
      </c>
      <c r="AA25" s="291">
        <v>30.96</v>
      </c>
      <c r="AB25" s="291">
        <v>31.75</v>
      </c>
      <c r="AC25" s="291">
        <v>33.32</v>
      </c>
      <c r="AD25" s="291">
        <v>34.93</v>
      </c>
      <c r="AE25" s="291">
        <v>36.53</v>
      </c>
      <c r="AF25" s="291">
        <v>38.1</v>
      </c>
      <c r="AG25" s="291">
        <v>38.89</v>
      </c>
      <c r="AH25" s="291">
        <v>39.67</v>
      </c>
      <c r="AI25" s="291">
        <v>46.02</v>
      </c>
      <c r="AJ25" s="291">
        <v>52.37</v>
      </c>
      <c r="AK25" s="291">
        <v>59.54</v>
      </c>
    </row>
    <row r="26" spans="4:37" hidden="1" x14ac:dyDescent="0.2">
      <c r="D26" s="290">
        <v>26</v>
      </c>
      <c r="E26" s="291">
        <v>6.35</v>
      </c>
      <c r="F26" s="291">
        <v>7.14</v>
      </c>
      <c r="G26" s="291">
        <v>7.92</v>
      </c>
      <c r="H26" s="291">
        <v>8.74</v>
      </c>
      <c r="I26" s="291">
        <v>9.5299999999999994</v>
      </c>
      <c r="J26" s="291">
        <v>10.31</v>
      </c>
      <c r="K26" s="291">
        <v>11.13</v>
      </c>
      <c r="L26" s="291">
        <v>11.91</v>
      </c>
      <c r="M26" s="291">
        <v>12.7</v>
      </c>
      <c r="N26" s="291">
        <v>14.27</v>
      </c>
      <c r="O26" s="291">
        <v>15.88</v>
      </c>
      <c r="P26" s="291">
        <v>17.48</v>
      </c>
      <c r="Q26" s="291">
        <v>19.05</v>
      </c>
      <c r="R26" s="291">
        <v>20.62</v>
      </c>
      <c r="S26" s="291">
        <v>22.23</v>
      </c>
      <c r="T26" s="291">
        <v>23.83</v>
      </c>
      <c r="U26" s="291">
        <v>25.4</v>
      </c>
      <c r="V26" s="291"/>
      <c r="W26" s="291"/>
      <c r="X26" s="291"/>
      <c r="Y26" s="291"/>
      <c r="Z26" s="291"/>
      <c r="AA26" s="291"/>
      <c r="AB26" s="291"/>
      <c r="AC26" s="291"/>
      <c r="AD26" s="291"/>
      <c r="AE26" s="291"/>
      <c r="AF26" s="291"/>
      <c r="AG26" s="291"/>
      <c r="AH26" s="291"/>
      <c r="AI26" s="291"/>
      <c r="AJ26" s="291"/>
      <c r="AK26" s="291"/>
    </row>
    <row r="27" spans="4:37" hidden="1" x14ac:dyDescent="0.2">
      <c r="D27" s="290">
        <v>28</v>
      </c>
      <c r="E27" s="292">
        <v>6.35</v>
      </c>
      <c r="F27" s="292">
        <v>7.14</v>
      </c>
      <c r="G27" s="292">
        <v>7.92</v>
      </c>
      <c r="H27" s="292">
        <v>8.74</v>
      </c>
      <c r="I27" s="292">
        <v>9.5299999999999994</v>
      </c>
      <c r="J27" s="292">
        <v>10.31</v>
      </c>
      <c r="K27" s="292">
        <v>11.13</v>
      </c>
      <c r="L27" s="292">
        <v>11.91</v>
      </c>
      <c r="M27" s="292">
        <v>12.7</v>
      </c>
      <c r="N27" s="292">
        <v>14.27</v>
      </c>
      <c r="O27" s="292">
        <v>15.88</v>
      </c>
      <c r="P27" s="292">
        <v>17.48</v>
      </c>
      <c r="Q27" s="292">
        <v>19.05</v>
      </c>
      <c r="R27" s="292">
        <v>20.62</v>
      </c>
      <c r="S27" s="292">
        <v>22.23</v>
      </c>
      <c r="T27" s="292">
        <v>23.83</v>
      </c>
      <c r="U27" s="292">
        <v>25.4</v>
      </c>
      <c r="V27" s="291"/>
      <c r="W27" s="291"/>
      <c r="X27" s="291"/>
      <c r="Y27" s="291"/>
      <c r="Z27" s="291"/>
      <c r="AA27" s="291"/>
      <c r="AB27" s="291"/>
      <c r="AC27" s="291"/>
      <c r="AD27" s="291"/>
      <c r="AE27" s="291"/>
      <c r="AF27" s="291"/>
      <c r="AG27" s="291"/>
      <c r="AH27" s="291"/>
      <c r="AI27" s="291"/>
      <c r="AJ27" s="291"/>
      <c r="AK27" s="291"/>
    </row>
    <row r="28" spans="4:37" hidden="1" x14ac:dyDescent="0.2">
      <c r="D28" s="290">
        <v>30</v>
      </c>
      <c r="E28" s="292">
        <v>6.35</v>
      </c>
      <c r="F28" s="292">
        <v>7.14</v>
      </c>
      <c r="G28" s="292">
        <v>7.92</v>
      </c>
      <c r="H28" s="292">
        <v>8.74</v>
      </c>
      <c r="I28" s="292">
        <v>9.5299999999999994</v>
      </c>
      <c r="J28" s="292">
        <v>10.31</v>
      </c>
      <c r="K28" s="292">
        <v>11.13</v>
      </c>
      <c r="L28" s="292">
        <v>11.91</v>
      </c>
      <c r="M28" s="292">
        <v>12.7</v>
      </c>
      <c r="N28" s="292">
        <v>14.27</v>
      </c>
      <c r="O28" s="292">
        <v>15.88</v>
      </c>
      <c r="P28" s="292">
        <v>17.48</v>
      </c>
      <c r="Q28" s="292">
        <v>19.05</v>
      </c>
      <c r="R28" s="292">
        <v>20.62</v>
      </c>
      <c r="S28" s="292">
        <v>22.23</v>
      </c>
      <c r="T28" s="292">
        <v>23.83</v>
      </c>
      <c r="U28" s="292">
        <v>25.4</v>
      </c>
      <c r="V28" s="291">
        <v>26.97</v>
      </c>
      <c r="W28" s="291">
        <v>28.58</v>
      </c>
      <c r="X28" s="291">
        <v>30.18</v>
      </c>
      <c r="Y28" s="291">
        <v>31.75</v>
      </c>
      <c r="Z28" s="291"/>
      <c r="AA28" s="291"/>
      <c r="AB28" s="291"/>
      <c r="AC28" s="291"/>
      <c r="AD28" s="291"/>
      <c r="AE28" s="291"/>
      <c r="AF28" s="291"/>
      <c r="AG28" s="291"/>
      <c r="AH28" s="291"/>
      <c r="AI28" s="291"/>
      <c r="AJ28" s="291"/>
      <c r="AK28" s="291"/>
    </row>
    <row r="29" spans="4:37" hidden="1" x14ac:dyDescent="0.2">
      <c r="D29" s="290">
        <v>32</v>
      </c>
      <c r="E29" s="292">
        <v>6.35</v>
      </c>
      <c r="F29" s="292">
        <v>7.14</v>
      </c>
      <c r="G29" s="292">
        <v>7.92</v>
      </c>
      <c r="H29" s="292">
        <v>8.74</v>
      </c>
      <c r="I29" s="292">
        <v>9.5299999999999994</v>
      </c>
      <c r="J29" s="292">
        <v>10.31</v>
      </c>
      <c r="K29" s="292">
        <v>11.13</v>
      </c>
      <c r="L29" s="292">
        <v>11.91</v>
      </c>
      <c r="M29" s="292">
        <v>12.7</v>
      </c>
      <c r="N29" s="292">
        <v>14.27</v>
      </c>
      <c r="O29" s="292">
        <v>15.88</v>
      </c>
      <c r="P29" s="292">
        <v>17.48</v>
      </c>
      <c r="Q29" s="292">
        <v>19.05</v>
      </c>
      <c r="R29" s="292">
        <v>20.62</v>
      </c>
      <c r="S29" s="292">
        <v>22.23</v>
      </c>
      <c r="T29" s="292">
        <v>23.83</v>
      </c>
      <c r="U29" s="292">
        <v>25.4</v>
      </c>
      <c r="V29" s="292">
        <v>26.97</v>
      </c>
      <c r="W29" s="292">
        <v>28.58</v>
      </c>
      <c r="X29" s="292">
        <v>30.18</v>
      </c>
      <c r="Y29" s="292">
        <v>31.75</v>
      </c>
      <c r="Z29" s="291"/>
      <c r="AA29" s="291"/>
      <c r="AB29" s="291"/>
      <c r="AC29" s="291"/>
      <c r="AD29" s="291"/>
      <c r="AE29" s="291"/>
      <c r="AF29" s="291"/>
      <c r="AG29" s="291"/>
      <c r="AH29" s="291"/>
      <c r="AI29" s="291"/>
      <c r="AJ29" s="291"/>
      <c r="AK29" s="291"/>
    </row>
    <row r="30" spans="4:37" hidden="1" x14ac:dyDescent="0.2">
      <c r="D30" s="290">
        <v>34</v>
      </c>
      <c r="E30" s="292">
        <v>6.35</v>
      </c>
      <c r="F30" s="292">
        <v>7.14</v>
      </c>
      <c r="G30" s="292">
        <v>7.92</v>
      </c>
      <c r="H30" s="292">
        <v>8.74</v>
      </c>
      <c r="I30" s="292">
        <v>9.5299999999999994</v>
      </c>
      <c r="J30" s="292">
        <v>10.31</v>
      </c>
      <c r="K30" s="292">
        <v>11.13</v>
      </c>
      <c r="L30" s="292">
        <v>11.91</v>
      </c>
      <c r="M30" s="292">
        <v>12.7</v>
      </c>
      <c r="N30" s="292">
        <v>14.27</v>
      </c>
      <c r="O30" s="292">
        <v>15.88</v>
      </c>
      <c r="P30" s="292">
        <v>17.48</v>
      </c>
      <c r="Q30" s="292">
        <v>19.05</v>
      </c>
      <c r="R30" s="292">
        <v>20.62</v>
      </c>
      <c r="S30" s="292">
        <v>22.23</v>
      </c>
      <c r="T30" s="292">
        <v>23.83</v>
      </c>
      <c r="U30" s="292">
        <v>25.4</v>
      </c>
      <c r="V30" s="292">
        <v>26.97</v>
      </c>
      <c r="W30" s="292">
        <v>28.58</v>
      </c>
      <c r="X30" s="292">
        <v>30.18</v>
      </c>
      <c r="Y30" s="292">
        <v>31.75</v>
      </c>
      <c r="Z30" s="291"/>
      <c r="AA30" s="291"/>
      <c r="AB30" s="291"/>
      <c r="AC30" s="291"/>
      <c r="AD30" s="291"/>
      <c r="AE30" s="291"/>
      <c r="AF30" s="291"/>
      <c r="AG30" s="291"/>
      <c r="AH30" s="291"/>
      <c r="AI30" s="291"/>
      <c r="AJ30" s="291"/>
      <c r="AK30" s="291"/>
    </row>
    <row r="31" spans="4:37" hidden="1" x14ac:dyDescent="0.2">
      <c r="D31" s="290">
        <v>36</v>
      </c>
      <c r="E31" s="292">
        <v>6.35</v>
      </c>
      <c r="F31" s="292">
        <v>7.14</v>
      </c>
      <c r="G31" s="292">
        <v>7.92</v>
      </c>
      <c r="H31" s="292">
        <v>8.74</v>
      </c>
      <c r="I31" s="292">
        <v>9.5299999999999994</v>
      </c>
      <c r="J31" s="292">
        <v>10.31</v>
      </c>
      <c r="K31" s="292">
        <v>11.13</v>
      </c>
      <c r="L31" s="292">
        <v>11.91</v>
      </c>
      <c r="M31" s="292">
        <v>12.7</v>
      </c>
      <c r="N31" s="292">
        <v>14.27</v>
      </c>
      <c r="O31" s="292">
        <v>15.88</v>
      </c>
      <c r="P31" s="292">
        <v>17.48</v>
      </c>
      <c r="Q31" s="292">
        <v>19.05</v>
      </c>
      <c r="R31" s="292">
        <v>20.62</v>
      </c>
      <c r="S31" s="292">
        <v>22.23</v>
      </c>
      <c r="T31" s="292">
        <v>23.83</v>
      </c>
      <c r="U31" s="292">
        <v>25.4</v>
      </c>
      <c r="V31" s="292">
        <v>26.97</v>
      </c>
      <c r="W31" s="292">
        <v>28.58</v>
      </c>
      <c r="X31" s="292">
        <v>30.18</v>
      </c>
      <c r="Y31" s="292">
        <v>31.75</v>
      </c>
      <c r="Z31" s="291"/>
      <c r="AA31" s="291"/>
      <c r="AB31" s="291"/>
      <c r="AC31" s="291"/>
      <c r="AD31" s="291"/>
      <c r="AE31" s="291"/>
      <c r="AF31" s="291"/>
      <c r="AG31" s="291"/>
      <c r="AH31" s="291"/>
      <c r="AI31" s="291"/>
      <c r="AJ31" s="291"/>
      <c r="AK31" s="291"/>
    </row>
    <row r="32" spans="4:37" hidden="1" x14ac:dyDescent="0.2">
      <c r="D32" s="290">
        <v>38</v>
      </c>
      <c r="E32" s="291">
        <v>7.92</v>
      </c>
      <c r="F32" s="291">
        <v>8.74</v>
      </c>
      <c r="G32" s="291">
        <v>9.5299999999999994</v>
      </c>
      <c r="H32" s="291">
        <v>10.31</v>
      </c>
      <c r="I32" s="291">
        <v>11.13</v>
      </c>
      <c r="J32" s="291">
        <v>11.91</v>
      </c>
      <c r="K32" s="291">
        <v>12.7</v>
      </c>
      <c r="L32" s="291">
        <v>14.27</v>
      </c>
      <c r="M32" s="291">
        <v>15.88</v>
      </c>
      <c r="N32" s="291">
        <v>17.48</v>
      </c>
      <c r="O32" s="291">
        <v>19.05</v>
      </c>
      <c r="P32" s="291">
        <v>20.62</v>
      </c>
      <c r="Q32" s="291">
        <v>22.23</v>
      </c>
      <c r="R32" s="291">
        <v>23.83</v>
      </c>
      <c r="S32" s="291">
        <v>25.4</v>
      </c>
      <c r="T32" s="291">
        <v>26.97</v>
      </c>
      <c r="U32" s="291">
        <v>28.58</v>
      </c>
      <c r="V32" s="291">
        <v>30.18</v>
      </c>
      <c r="W32" s="291">
        <v>31.75</v>
      </c>
      <c r="X32" s="291"/>
      <c r="Y32" s="291"/>
      <c r="Z32" s="291"/>
      <c r="AA32" s="291"/>
      <c r="AB32" s="291"/>
      <c r="AC32" s="291"/>
      <c r="AD32" s="291"/>
      <c r="AE32" s="291"/>
      <c r="AF32" s="291"/>
      <c r="AG32" s="291"/>
      <c r="AH32" s="291"/>
      <c r="AI32" s="291"/>
      <c r="AJ32" s="291"/>
      <c r="AK32" s="291"/>
    </row>
    <row r="33" spans="1:47" hidden="1" x14ac:dyDescent="0.2">
      <c r="D33" s="290">
        <v>40</v>
      </c>
      <c r="E33" s="291">
        <v>7.92</v>
      </c>
      <c r="F33" s="291">
        <v>8.74</v>
      </c>
      <c r="G33" s="291">
        <v>9.5299999999999994</v>
      </c>
      <c r="H33" s="291">
        <v>10.31</v>
      </c>
      <c r="I33" s="291">
        <v>11.13</v>
      </c>
      <c r="J33" s="291">
        <v>11.91</v>
      </c>
      <c r="K33" s="291">
        <v>12.7</v>
      </c>
      <c r="L33" s="291">
        <v>14.27</v>
      </c>
      <c r="M33" s="291">
        <v>15.88</v>
      </c>
      <c r="N33" s="291">
        <v>17.48</v>
      </c>
      <c r="O33" s="291">
        <v>19.05</v>
      </c>
      <c r="P33" s="291">
        <v>20.62</v>
      </c>
      <c r="Q33" s="291">
        <v>22.23</v>
      </c>
      <c r="R33" s="291">
        <v>23.83</v>
      </c>
      <c r="S33" s="291">
        <v>25.4</v>
      </c>
      <c r="T33" s="291">
        <v>26.97</v>
      </c>
      <c r="U33" s="291">
        <v>28.58</v>
      </c>
      <c r="V33" s="291">
        <v>30.18</v>
      </c>
      <c r="W33" s="291">
        <v>31.75</v>
      </c>
      <c r="X33" s="291"/>
      <c r="Y33" s="291"/>
      <c r="Z33" s="291"/>
      <c r="AA33" s="291"/>
      <c r="AB33" s="291"/>
      <c r="AC33" s="291"/>
      <c r="AD33" s="291"/>
      <c r="AE33" s="291"/>
      <c r="AF33" s="291"/>
      <c r="AG33" s="291"/>
      <c r="AH33" s="291"/>
      <c r="AI33" s="291"/>
      <c r="AJ33" s="291"/>
      <c r="AK33" s="291"/>
    </row>
    <row r="34" spans="1:47" hidden="1" x14ac:dyDescent="0.2">
      <c r="D34" s="290">
        <v>42</v>
      </c>
      <c r="E34" s="291">
        <v>8.74</v>
      </c>
      <c r="F34" s="291">
        <v>9.5299999999999994</v>
      </c>
      <c r="G34" s="291">
        <v>10.31</v>
      </c>
      <c r="H34" s="291">
        <v>11.13</v>
      </c>
      <c r="I34" s="291">
        <v>11.91</v>
      </c>
      <c r="J34" s="291">
        <v>12.7</v>
      </c>
      <c r="K34" s="291">
        <v>14.27</v>
      </c>
      <c r="L34" s="291">
        <v>15.88</v>
      </c>
      <c r="M34" s="291">
        <v>17.48</v>
      </c>
      <c r="N34" s="291">
        <v>19.05</v>
      </c>
      <c r="O34" s="291">
        <v>20.62</v>
      </c>
      <c r="P34" s="291">
        <v>22.23</v>
      </c>
      <c r="Q34" s="291">
        <v>23.83</v>
      </c>
      <c r="R34" s="291">
        <v>25.4</v>
      </c>
      <c r="S34" s="291">
        <v>26.97</v>
      </c>
      <c r="T34" s="291">
        <v>28.58</v>
      </c>
      <c r="U34" s="291">
        <v>30.18</v>
      </c>
      <c r="V34" s="291">
        <v>31.75</v>
      </c>
      <c r="W34" s="291"/>
      <c r="X34" s="291"/>
      <c r="Y34" s="291"/>
      <c r="Z34" s="291"/>
      <c r="AA34" s="291"/>
      <c r="AB34" s="291"/>
      <c r="AC34" s="291"/>
      <c r="AD34" s="291"/>
      <c r="AE34" s="291"/>
      <c r="AF34" s="291"/>
      <c r="AG34" s="291"/>
      <c r="AH34" s="291"/>
      <c r="AI34" s="291"/>
      <c r="AJ34" s="291"/>
      <c r="AK34" s="291"/>
    </row>
    <row r="35" spans="1:47" hidden="1" x14ac:dyDescent="0.2">
      <c r="D35" s="290">
        <v>44</v>
      </c>
      <c r="E35" s="291">
        <v>8.74</v>
      </c>
      <c r="F35" s="291">
        <v>9.5299999999999994</v>
      </c>
      <c r="G35" s="291">
        <v>10.31</v>
      </c>
      <c r="H35" s="291">
        <v>11.13</v>
      </c>
      <c r="I35" s="291">
        <v>11.91</v>
      </c>
      <c r="J35" s="291">
        <v>12.7</v>
      </c>
      <c r="K35" s="291">
        <v>14.27</v>
      </c>
      <c r="L35" s="291">
        <v>15.88</v>
      </c>
      <c r="M35" s="291">
        <v>17.48</v>
      </c>
      <c r="N35" s="291">
        <v>19.05</v>
      </c>
      <c r="O35" s="291">
        <v>20.62</v>
      </c>
      <c r="P35" s="291">
        <v>22.23</v>
      </c>
      <c r="Q35" s="291">
        <v>23.83</v>
      </c>
      <c r="R35" s="291">
        <v>25.4</v>
      </c>
      <c r="S35" s="291">
        <v>26.97</v>
      </c>
      <c r="T35" s="291">
        <v>28.58</v>
      </c>
      <c r="U35" s="291">
        <v>30.18</v>
      </c>
      <c r="V35" s="291">
        <v>31.75</v>
      </c>
      <c r="W35" s="291"/>
      <c r="X35" s="291"/>
      <c r="Y35" s="291"/>
      <c r="Z35" s="291"/>
      <c r="AA35" s="291"/>
      <c r="AB35" s="291"/>
      <c r="AC35" s="291"/>
      <c r="AD35" s="291"/>
      <c r="AE35" s="291"/>
      <c r="AF35" s="291"/>
      <c r="AG35" s="291"/>
      <c r="AH35" s="291"/>
      <c r="AI35" s="291"/>
      <c r="AJ35" s="291"/>
      <c r="AK35" s="291"/>
    </row>
    <row r="36" spans="1:47" hidden="1" x14ac:dyDescent="0.2">
      <c r="D36" s="290">
        <v>46</v>
      </c>
      <c r="E36" s="291">
        <v>8.74</v>
      </c>
      <c r="F36" s="291">
        <v>9.5299999999999994</v>
      </c>
      <c r="G36" s="291">
        <v>10.31</v>
      </c>
      <c r="H36" s="291">
        <v>11.13</v>
      </c>
      <c r="I36" s="291">
        <v>11.91</v>
      </c>
      <c r="J36" s="291">
        <v>12.7</v>
      </c>
      <c r="K36" s="291">
        <v>14.27</v>
      </c>
      <c r="L36" s="291">
        <v>15.88</v>
      </c>
      <c r="M36" s="291">
        <v>17.48</v>
      </c>
      <c r="N36" s="291">
        <v>19.05</v>
      </c>
      <c r="O36" s="291">
        <v>20.62</v>
      </c>
      <c r="P36" s="291">
        <v>22.23</v>
      </c>
      <c r="Q36" s="291">
        <v>23.83</v>
      </c>
      <c r="R36" s="291">
        <v>25.4</v>
      </c>
      <c r="S36" s="291">
        <v>26.97</v>
      </c>
      <c r="T36" s="291">
        <v>28.58</v>
      </c>
      <c r="U36" s="291">
        <v>30.18</v>
      </c>
      <c r="V36" s="291">
        <v>31.75</v>
      </c>
      <c r="W36" s="291"/>
      <c r="X36" s="291"/>
      <c r="Y36" s="291"/>
      <c r="Z36" s="291"/>
      <c r="AA36" s="291"/>
      <c r="AB36" s="291"/>
      <c r="AC36" s="291"/>
      <c r="AD36" s="291"/>
      <c r="AE36" s="291"/>
      <c r="AF36" s="291"/>
      <c r="AG36" s="291"/>
      <c r="AH36" s="291"/>
      <c r="AI36" s="291"/>
      <c r="AJ36" s="291"/>
      <c r="AK36" s="291"/>
    </row>
    <row r="37" spans="1:47" hidden="1" x14ac:dyDescent="0.2">
      <c r="D37" s="290">
        <v>48</v>
      </c>
      <c r="E37" s="291">
        <v>8.74</v>
      </c>
      <c r="F37" s="291">
        <v>9.5299999999999994</v>
      </c>
      <c r="G37" s="291">
        <v>10.31</v>
      </c>
      <c r="H37" s="291">
        <v>11.13</v>
      </c>
      <c r="I37" s="291">
        <v>11.91</v>
      </c>
      <c r="J37" s="291">
        <v>12.7</v>
      </c>
      <c r="K37" s="291">
        <v>14.27</v>
      </c>
      <c r="L37" s="291">
        <v>15.88</v>
      </c>
      <c r="M37" s="291">
        <v>17.48</v>
      </c>
      <c r="N37" s="291">
        <v>19.05</v>
      </c>
      <c r="O37" s="291">
        <v>20.62</v>
      </c>
      <c r="P37" s="291">
        <v>22.23</v>
      </c>
      <c r="Q37" s="291">
        <v>23.83</v>
      </c>
      <c r="R37" s="291">
        <v>25.4</v>
      </c>
      <c r="S37" s="291">
        <v>26.97</v>
      </c>
      <c r="T37" s="291">
        <v>28.58</v>
      </c>
      <c r="U37" s="291">
        <v>30.18</v>
      </c>
      <c r="V37" s="291">
        <v>31.75</v>
      </c>
      <c r="W37" s="291"/>
      <c r="X37" s="291"/>
      <c r="Y37" s="291"/>
      <c r="Z37" s="291"/>
      <c r="AA37" s="291"/>
      <c r="AB37" s="291"/>
      <c r="AC37" s="291"/>
      <c r="AD37" s="291"/>
      <c r="AE37" s="291"/>
      <c r="AF37" s="291"/>
      <c r="AG37" s="291"/>
      <c r="AH37" s="291"/>
      <c r="AI37" s="291"/>
      <c r="AJ37" s="291"/>
      <c r="AK37" s="291"/>
    </row>
    <row r="38" spans="1:47" hidden="1" x14ac:dyDescent="0.2">
      <c r="D38" s="290">
        <v>52</v>
      </c>
      <c r="E38" s="291">
        <v>9.5299999999999994</v>
      </c>
      <c r="F38" s="291">
        <v>10.31</v>
      </c>
      <c r="G38" s="291">
        <v>11.13</v>
      </c>
      <c r="H38" s="291">
        <v>11.91</v>
      </c>
      <c r="I38" s="291">
        <v>12.7</v>
      </c>
      <c r="J38" s="291">
        <v>14.27</v>
      </c>
      <c r="K38" s="291">
        <v>15.88</v>
      </c>
      <c r="L38" s="291">
        <v>17.48</v>
      </c>
      <c r="M38" s="291">
        <v>19.05</v>
      </c>
      <c r="N38" s="291">
        <v>20.62</v>
      </c>
      <c r="O38" s="291">
        <v>22.23</v>
      </c>
      <c r="P38" s="291">
        <v>23.83</v>
      </c>
      <c r="Q38" s="291">
        <v>25.4</v>
      </c>
      <c r="R38" s="291">
        <v>26.97</v>
      </c>
      <c r="S38" s="291">
        <v>28.58</v>
      </c>
      <c r="T38" s="291">
        <v>30.18</v>
      </c>
      <c r="U38" s="291">
        <v>31.75</v>
      </c>
      <c r="V38" s="291"/>
      <c r="W38" s="291"/>
      <c r="X38" s="291"/>
      <c r="Y38" s="291"/>
      <c r="Z38" s="291"/>
      <c r="AA38" s="291"/>
      <c r="AB38" s="291"/>
      <c r="AC38" s="291"/>
      <c r="AD38" s="291"/>
      <c r="AE38" s="291"/>
      <c r="AF38" s="291"/>
      <c r="AG38" s="291"/>
      <c r="AH38" s="291"/>
      <c r="AI38" s="291"/>
      <c r="AJ38" s="291"/>
      <c r="AK38" s="291"/>
    </row>
    <row r="39" spans="1:47" hidden="1" x14ac:dyDescent="0.2">
      <c r="D39" s="290">
        <v>56</v>
      </c>
      <c r="E39" s="291">
        <v>9.5299999999999994</v>
      </c>
      <c r="F39" s="291">
        <v>10.31</v>
      </c>
      <c r="G39" s="291">
        <v>11.13</v>
      </c>
      <c r="H39" s="291">
        <v>11.91</v>
      </c>
      <c r="I39" s="291">
        <v>12.7</v>
      </c>
      <c r="J39" s="291">
        <v>14.27</v>
      </c>
      <c r="K39" s="291">
        <v>15.88</v>
      </c>
      <c r="L39" s="291">
        <v>17.48</v>
      </c>
      <c r="M39" s="291">
        <v>19.05</v>
      </c>
      <c r="N39" s="291">
        <v>20.62</v>
      </c>
      <c r="O39" s="291">
        <v>22.23</v>
      </c>
      <c r="P39" s="291">
        <v>23.83</v>
      </c>
      <c r="Q39" s="291">
        <v>25.4</v>
      </c>
      <c r="R39" s="291">
        <v>26.97</v>
      </c>
      <c r="S39" s="291">
        <v>28.58</v>
      </c>
      <c r="T39" s="291">
        <v>30.18</v>
      </c>
      <c r="U39" s="291">
        <v>31.75</v>
      </c>
      <c r="V39" s="291"/>
      <c r="W39" s="291"/>
      <c r="X39" s="291"/>
      <c r="Y39" s="291"/>
      <c r="Z39" s="291"/>
      <c r="AA39" s="291"/>
      <c r="AB39" s="291"/>
      <c r="AC39" s="291"/>
      <c r="AD39" s="291"/>
      <c r="AE39" s="291"/>
      <c r="AF39" s="291"/>
      <c r="AG39" s="291"/>
      <c r="AH39" s="291"/>
      <c r="AI39" s="291"/>
      <c r="AJ39" s="291"/>
      <c r="AK39" s="291"/>
    </row>
    <row r="40" spans="1:47" hidden="1" x14ac:dyDescent="0.2">
      <c r="D40" s="290">
        <v>60</v>
      </c>
      <c r="E40" s="291">
        <v>9.5299999999999994</v>
      </c>
      <c r="F40" s="291">
        <v>10.31</v>
      </c>
      <c r="G40" s="291">
        <v>11.13</v>
      </c>
      <c r="H40" s="291">
        <v>11.91</v>
      </c>
      <c r="I40" s="291">
        <v>12.7</v>
      </c>
      <c r="J40" s="291">
        <v>14.27</v>
      </c>
      <c r="K40" s="291">
        <v>15.88</v>
      </c>
      <c r="L40" s="291">
        <v>17.48</v>
      </c>
      <c r="M40" s="291">
        <v>19.05</v>
      </c>
      <c r="N40" s="291">
        <v>20.62</v>
      </c>
      <c r="O40" s="291">
        <v>22.23</v>
      </c>
      <c r="P40" s="291">
        <v>23.83</v>
      </c>
      <c r="Q40" s="291">
        <v>25.4</v>
      </c>
      <c r="R40" s="291">
        <v>26.97</v>
      </c>
      <c r="S40" s="291">
        <v>28.58</v>
      </c>
      <c r="T40" s="291">
        <v>30.18</v>
      </c>
      <c r="U40" s="291">
        <v>31.75</v>
      </c>
      <c r="V40" s="291"/>
      <c r="W40" s="291"/>
      <c r="X40" s="291"/>
      <c r="Y40" s="291"/>
      <c r="Z40" s="291"/>
      <c r="AA40" s="291"/>
      <c r="AB40" s="291"/>
      <c r="AC40" s="291"/>
      <c r="AD40" s="291"/>
      <c r="AE40" s="291"/>
      <c r="AF40" s="291"/>
      <c r="AG40" s="291"/>
      <c r="AH40" s="291"/>
      <c r="AI40" s="291"/>
      <c r="AJ40" s="291"/>
      <c r="AK40" s="291"/>
    </row>
    <row r="41" spans="1:47" hidden="1" x14ac:dyDescent="0.2">
      <c r="D41" s="290">
        <v>64</v>
      </c>
      <c r="E41" s="291">
        <v>9.5299999999999994</v>
      </c>
      <c r="F41" s="291">
        <v>10.31</v>
      </c>
      <c r="G41" s="291">
        <v>11.13</v>
      </c>
      <c r="H41" s="291">
        <v>11.91</v>
      </c>
      <c r="I41" s="291">
        <v>12.7</v>
      </c>
      <c r="J41" s="291">
        <v>14.27</v>
      </c>
      <c r="K41" s="291">
        <v>15.88</v>
      </c>
      <c r="L41" s="291">
        <v>17.48</v>
      </c>
      <c r="M41" s="291">
        <v>19.05</v>
      </c>
      <c r="N41" s="291">
        <v>20.62</v>
      </c>
      <c r="O41" s="291">
        <v>22.23</v>
      </c>
      <c r="P41" s="291">
        <v>23.83</v>
      </c>
      <c r="Q41" s="291">
        <v>25.4</v>
      </c>
      <c r="R41" s="291">
        <v>26.97</v>
      </c>
      <c r="S41" s="291">
        <v>28.58</v>
      </c>
      <c r="T41" s="291">
        <v>30.18</v>
      </c>
      <c r="U41" s="291">
        <v>31.75</v>
      </c>
      <c r="V41" s="291"/>
      <c r="W41" s="291"/>
      <c r="X41" s="291"/>
      <c r="Y41" s="291"/>
      <c r="Z41" s="291"/>
      <c r="AA41" s="291"/>
      <c r="AB41" s="291"/>
      <c r="AC41" s="291"/>
      <c r="AD41" s="291"/>
      <c r="AE41" s="291"/>
      <c r="AF41" s="291"/>
      <c r="AG41" s="291"/>
      <c r="AH41" s="291"/>
      <c r="AI41" s="291"/>
      <c r="AJ41" s="291"/>
      <c r="AK41" s="291"/>
    </row>
    <row r="42" spans="1:47" hidden="1" x14ac:dyDescent="0.2">
      <c r="D42" s="290">
        <v>68</v>
      </c>
      <c r="E42" s="291">
        <v>11.91</v>
      </c>
      <c r="F42" s="291">
        <v>12.7</v>
      </c>
      <c r="G42" s="291">
        <v>14.27</v>
      </c>
      <c r="H42" s="291">
        <v>15.88</v>
      </c>
      <c r="I42" s="291">
        <v>17.48</v>
      </c>
      <c r="J42" s="291">
        <v>19.05</v>
      </c>
      <c r="K42" s="291">
        <v>20.62</v>
      </c>
      <c r="L42" s="291">
        <v>22.23</v>
      </c>
      <c r="M42" s="291">
        <v>23.83</v>
      </c>
      <c r="N42" s="291">
        <v>25.4</v>
      </c>
      <c r="O42" s="291">
        <v>26.97</v>
      </c>
      <c r="P42" s="291">
        <v>28.58</v>
      </c>
      <c r="Q42" s="291">
        <v>30.18</v>
      </c>
      <c r="R42" s="291">
        <v>31.75</v>
      </c>
      <c r="S42" s="291"/>
      <c r="T42" s="291"/>
      <c r="U42" s="291"/>
      <c r="V42" s="291"/>
      <c r="W42" s="291"/>
      <c r="X42" s="291"/>
      <c r="Y42" s="291"/>
      <c r="Z42" s="291"/>
      <c r="AA42" s="291"/>
      <c r="AB42" s="291"/>
      <c r="AC42" s="291"/>
      <c r="AD42" s="291"/>
      <c r="AE42" s="291"/>
      <c r="AF42" s="291"/>
      <c r="AG42" s="291"/>
      <c r="AH42" s="291"/>
      <c r="AI42" s="291"/>
      <c r="AJ42" s="291"/>
      <c r="AK42" s="291"/>
    </row>
    <row r="43" spans="1:47" hidden="1" x14ac:dyDescent="0.2">
      <c r="D43" s="290">
        <v>72</v>
      </c>
      <c r="E43" s="291">
        <v>12.7</v>
      </c>
      <c r="F43" s="291">
        <v>14.27</v>
      </c>
      <c r="G43" s="291">
        <v>15.88</v>
      </c>
      <c r="H43" s="291">
        <v>17.48</v>
      </c>
      <c r="I43" s="291">
        <v>19.05</v>
      </c>
      <c r="J43" s="291">
        <v>20.62</v>
      </c>
      <c r="K43" s="291">
        <v>22.23</v>
      </c>
      <c r="L43" s="291">
        <v>23.83</v>
      </c>
      <c r="M43" s="291">
        <v>25.4</v>
      </c>
      <c r="N43" s="291">
        <v>26.97</v>
      </c>
      <c r="O43" s="291">
        <v>28.58</v>
      </c>
      <c r="P43" s="291">
        <v>30.18</v>
      </c>
      <c r="Q43" s="291">
        <v>31.75</v>
      </c>
      <c r="R43" s="291"/>
      <c r="S43" s="291"/>
      <c r="T43" s="291"/>
      <c r="U43" s="291"/>
      <c r="V43" s="291"/>
      <c r="W43" s="291"/>
      <c r="X43" s="291"/>
      <c r="Y43" s="291"/>
      <c r="Z43" s="291"/>
      <c r="AA43" s="291"/>
      <c r="AB43" s="291"/>
      <c r="AC43" s="291"/>
      <c r="AD43" s="291"/>
      <c r="AE43" s="291"/>
      <c r="AF43" s="291"/>
      <c r="AG43" s="291"/>
      <c r="AH43" s="291"/>
      <c r="AI43" s="291"/>
      <c r="AJ43" s="291"/>
      <c r="AK43" s="291"/>
    </row>
    <row r="44" spans="1:47" hidden="1" x14ac:dyDescent="0.2">
      <c r="D44" s="290">
        <v>76</v>
      </c>
      <c r="E44" s="291">
        <v>12.7</v>
      </c>
      <c r="F44" s="291">
        <v>14.27</v>
      </c>
      <c r="G44" s="291">
        <v>15.88</v>
      </c>
      <c r="H44" s="291">
        <v>17.48</v>
      </c>
      <c r="I44" s="291">
        <v>19.05</v>
      </c>
      <c r="J44" s="291">
        <v>20.62</v>
      </c>
      <c r="K44" s="291">
        <v>22.23</v>
      </c>
      <c r="L44" s="291">
        <v>23.83</v>
      </c>
      <c r="M44" s="291">
        <v>25.4</v>
      </c>
      <c r="N44" s="291">
        <v>26.97</v>
      </c>
      <c r="O44" s="291">
        <v>28.58</v>
      </c>
      <c r="P44" s="291">
        <v>30.18</v>
      </c>
      <c r="Q44" s="291">
        <v>31.75</v>
      </c>
      <c r="R44" s="291"/>
      <c r="S44" s="291"/>
      <c r="T44" s="291"/>
      <c r="U44" s="291"/>
      <c r="V44" s="291"/>
      <c r="W44" s="291"/>
      <c r="X44" s="291"/>
      <c r="Y44" s="291"/>
      <c r="Z44" s="291"/>
      <c r="AA44" s="291"/>
      <c r="AB44" s="291"/>
      <c r="AC44" s="291"/>
      <c r="AD44" s="291"/>
      <c r="AE44" s="291"/>
      <c r="AF44" s="291"/>
      <c r="AG44" s="291"/>
      <c r="AH44" s="291"/>
      <c r="AI44" s="291"/>
      <c r="AJ44" s="291"/>
      <c r="AK44" s="291"/>
    </row>
    <row r="45" spans="1:47" hidden="1" x14ac:dyDescent="0.2">
      <c r="D45" s="290">
        <v>80</v>
      </c>
      <c r="E45" s="291">
        <v>12.7</v>
      </c>
      <c r="F45" s="291">
        <v>14.27</v>
      </c>
      <c r="G45" s="291">
        <v>15.88</v>
      </c>
      <c r="H45" s="291">
        <v>17.48</v>
      </c>
      <c r="I45" s="291">
        <v>19.05</v>
      </c>
      <c r="J45" s="291">
        <v>20.62</v>
      </c>
      <c r="K45" s="291">
        <v>22.23</v>
      </c>
      <c r="L45" s="291">
        <v>23.83</v>
      </c>
      <c r="M45" s="291">
        <v>25.4</v>
      </c>
      <c r="N45" s="291">
        <v>26.97</v>
      </c>
      <c r="O45" s="291">
        <v>28.58</v>
      </c>
      <c r="P45" s="291">
        <v>30.18</v>
      </c>
      <c r="Q45" s="291">
        <v>31.75</v>
      </c>
      <c r="R45" s="291"/>
      <c r="S45" s="291"/>
      <c r="T45" s="291"/>
      <c r="U45" s="291"/>
      <c r="V45" s="291"/>
      <c r="W45" s="291"/>
      <c r="X45" s="291"/>
      <c r="Y45" s="291"/>
      <c r="Z45" s="291"/>
      <c r="AA45" s="291"/>
      <c r="AB45" s="291"/>
      <c r="AC45" s="291"/>
      <c r="AD45" s="291"/>
      <c r="AE45" s="291"/>
      <c r="AF45" s="291"/>
      <c r="AG45" s="291"/>
      <c r="AH45" s="291"/>
      <c r="AI45" s="291"/>
      <c r="AJ45" s="291"/>
      <c r="AK45" s="291"/>
    </row>
    <row r="46" spans="1:47" s="286" customFormat="1" hidden="1" x14ac:dyDescent="0.2">
      <c r="D46" s="290"/>
      <c r="E46" s="291"/>
      <c r="F46" s="291"/>
      <c r="G46" s="291"/>
      <c r="H46" s="291"/>
      <c r="I46" s="291"/>
      <c r="J46" s="291"/>
      <c r="K46" s="291"/>
      <c r="L46" s="291"/>
      <c r="M46" s="291"/>
      <c r="N46" s="291"/>
      <c r="O46" s="291"/>
      <c r="P46" s="291"/>
      <c r="Q46" s="291"/>
      <c r="R46" s="291"/>
      <c r="S46" s="291"/>
      <c r="T46" s="291"/>
      <c r="U46" s="291"/>
      <c r="V46" s="291"/>
      <c r="W46" s="291"/>
      <c r="X46" s="291"/>
      <c r="Y46" s="291"/>
      <c r="Z46" s="291"/>
      <c r="AA46" s="291"/>
      <c r="AB46" s="291"/>
      <c r="AC46" s="291"/>
      <c r="AD46" s="291"/>
      <c r="AE46" s="291"/>
      <c r="AF46" s="291"/>
      <c r="AG46" s="291"/>
      <c r="AH46" s="291"/>
      <c r="AI46" s="291"/>
      <c r="AJ46" s="291"/>
      <c r="AK46" s="291"/>
    </row>
    <row r="47" spans="1:47" s="286" customFormat="1" x14ac:dyDescent="0.2">
      <c r="B47" s="298">
        <f>'Et Kalınlığı Hesaplama'!$B$14</f>
        <v>2.4633620689655173</v>
      </c>
      <c r="C47" s="298"/>
      <c r="D47" s="492" t="str">
        <f>'Et Kalınlığı Hesaplama'!$C$5</f>
        <v>4"</v>
      </c>
      <c r="E47" s="492" t="str">
        <f t="shared" ref="E47:AU47" si="0">$D$47</f>
        <v>4"</v>
      </c>
      <c r="F47" s="492" t="str">
        <f t="shared" si="0"/>
        <v>4"</v>
      </c>
      <c r="G47" s="492" t="str">
        <f t="shared" si="0"/>
        <v>4"</v>
      </c>
      <c r="H47" s="492" t="str">
        <f t="shared" si="0"/>
        <v>4"</v>
      </c>
      <c r="I47" s="492" t="str">
        <f t="shared" si="0"/>
        <v>4"</v>
      </c>
      <c r="J47" s="492" t="str">
        <f t="shared" si="0"/>
        <v>4"</v>
      </c>
      <c r="K47" s="492" t="str">
        <f t="shared" si="0"/>
        <v>4"</v>
      </c>
      <c r="L47" s="492" t="str">
        <f t="shared" si="0"/>
        <v>4"</v>
      </c>
      <c r="M47" s="492" t="str">
        <f t="shared" si="0"/>
        <v>4"</v>
      </c>
      <c r="N47" s="492" t="str">
        <f t="shared" si="0"/>
        <v>4"</v>
      </c>
      <c r="O47" s="492" t="str">
        <f t="shared" si="0"/>
        <v>4"</v>
      </c>
      <c r="P47" s="492" t="str">
        <f t="shared" si="0"/>
        <v>4"</v>
      </c>
      <c r="Q47" s="492" t="str">
        <f t="shared" si="0"/>
        <v>4"</v>
      </c>
      <c r="R47" s="492" t="str">
        <f t="shared" si="0"/>
        <v>4"</v>
      </c>
      <c r="S47" s="492" t="str">
        <f t="shared" si="0"/>
        <v>4"</v>
      </c>
      <c r="T47" s="492" t="str">
        <f t="shared" si="0"/>
        <v>4"</v>
      </c>
      <c r="U47" s="492" t="str">
        <f t="shared" si="0"/>
        <v>4"</v>
      </c>
      <c r="V47" s="492" t="str">
        <f t="shared" si="0"/>
        <v>4"</v>
      </c>
      <c r="W47" s="492" t="str">
        <f t="shared" si="0"/>
        <v>4"</v>
      </c>
      <c r="X47" s="492" t="str">
        <f t="shared" si="0"/>
        <v>4"</v>
      </c>
      <c r="Y47" s="492" t="str">
        <f t="shared" si="0"/>
        <v>4"</v>
      </c>
      <c r="Z47" s="492" t="str">
        <f t="shared" si="0"/>
        <v>4"</v>
      </c>
      <c r="AA47" s="492" t="str">
        <f t="shared" si="0"/>
        <v>4"</v>
      </c>
      <c r="AB47" s="492" t="str">
        <f t="shared" si="0"/>
        <v>4"</v>
      </c>
      <c r="AC47" s="492" t="str">
        <f t="shared" si="0"/>
        <v>4"</v>
      </c>
      <c r="AD47" s="492" t="str">
        <f t="shared" si="0"/>
        <v>4"</v>
      </c>
      <c r="AE47" s="492" t="str">
        <f t="shared" si="0"/>
        <v>4"</v>
      </c>
      <c r="AF47" s="492" t="str">
        <f t="shared" si="0"/>
        <v>4"</v>
      </c>
      <c r="AG47" s="492" t="str">
        <f t="shared" si="0"/>
        <v>4"</v>
      </c>
      <c r="AH47" s="492" t="str">
        <f t="shared" si="0"/>
        <v>4"</v>
      </c>
      <c r="AI47" s="492" t="str">
        <f t="shared" si="0"/>
        <v>4"</v>
      </c>
      <c r="AJ47" s="492" t="str">
        <f t="shared" si="0"/>
        <v>4"</v>
      </c>
      <c r="AK47" s="492" t="str">
        <f t="shared" si="0"/>
        <v>4"</v>
      </c>
      <c r="AL47" s="492" t="str">
        <f t="shared" si="0"/>
        <v>4"</v>
      </c>
      <c r="AM47" s="492" t="str">
        <f t="shared" si="0"/>
        <v>4"</v>
      </c>
      <c r="AN47" s="492" t="str">
        <f t="shared" si="0"/>
        <v>4"</v>
      </c>
      <c r="AO47" s="492" t="str">
        <f t="shared" si="0"/>
        <v>4"</v>
      </c>
      <c r="AP47" s="492" t="str">
        <f t="shared" si="0"/>
        <v>4"</v>
      </c>
      <c r="AQ47" s="492" t="str">
        <f t="shared" si="0"/>
        <v>4"</v>
      </c>
      <c r="AR47" s="492" t="str">
        <f t="shared" si="0"/>
        <v>4"</v>
      </c>
      <c r="AS47" s="492" t="str">
        <f t="shared" si="0"/>
        <v>4"</v>
      </c>
      <c r="AT47" s="492" t="str">
        <f t="shared" si="0"/>
        <v>4"</v>
      </c>
      <c r="AU47" s="492" t="str">
        <f t="shared" si="0"/>
        <v>4"</v>
      </c>
    </row>
    <row r="48" spans="1:47" x14ac:dyDescent="0.2">
      <c r="A48" s="286">
        <f>MAX(D48:AU48)-1</f>
        <v>15</v>
      </c>
      <c r="B48" s="286">
        <f>MIN(B51:B83)</f>
        <v>52</v>
      </c>
      <c r="C48" s="286">
        <f>MAX(D48:AU48)-2</f>
        <v>14</v>
      </c>
      <c r="D48" s="286" t="str">
        <f>IF(D47=EtKalınlığı[[#Headers],[0,125"]],COLUMN(),"")</f>
        <v/>
      </c>
      <c r="E48" s="286" t="str">
        <f>IF(E47=EtKalınlığı[[#Headers],[0,25"]],COLUMN(),"")</f>
        <v/>
      </c>
      <c r="F48" s="286" t="str">
        <f>IF(F47=EtKalınlığı[[#Headers],[0,375"]],COLUMN(),"")</f>
        <v/>
      </c>
      <c r="G48" s="286" t="str">
        <f>IF(G47=EtKalınlığı[[#Headers],[½" ]],COLUMN(),"")</f>
        <v/>
      </c>
      <c r="H48" s="286" t="str">
        <f>IF(H47=EtKalınlığı[[#Headers],[¾"]],COLUMN(),"")</f>
        <v/>
      </c>
      <c r="I48" s="286" t="str">
        <f>IF(I47=EtKalınlığı[[#Headers],[1" ]],COLUMN(),"")</f>
        <v/>
      </c>
      <c r="J48" s="286" t="str">
        <f>IF(J47=EtKalınlığı[[#Headers],[1¼"]],COLUMN(),"")</f>
        <v/>
      </c>
      <c r="K48" s="286" t="str">
        <f>IF(K47=EtKalınlığı[[#Headers],[1½" ]],COLUMN(),"")</f>
        <v/>
      </c>
      <c r="L48" s="286" t="str">
        <f>IF(L47=EtKalınlığı[[#Headers],[2" ]],COLUMN(),"")</f>
        <v/>
      </c>
      <c r="M48" s="286" t="str">
        <f>IF(M47=EtKalınlığı[[#Headers],[2½" ]],COLUMN(),"")</f>
        <v/>
      </c>
      <c r="N48" s="286" t="str">
        <f>IF(N47=EtKalınlığı[[#Headers],[3"]],COLUMN(),"")</f>
        <v/>
      </c>
      <c r="O48" s="286" t="str">
        <f>IF(O47=EtKalınlığı[[#Headers],[3,5"]],COLUMN(),"")</f>
        <v/>
      </c>
      <c r="P48" s="286">
        <f>IF(P47=EtKalınlığı[[#Headers],[4"]],COLUMN(),"")</f>
        <v>16</v>
      </c>
      <c r="Q48" s="286" t="str">
        <f>IF(Q47=EtKalınlığı[[#Headers],[5"]],COLUMN(),"")</f>
        <v/>
      </c>
      <c r="R48" s="286" t="str">
        <f>IF(R47=EtKalınlığı[[#Headers],[6"]],COLUMN(),"")</f>
        <v/>
      </c>
      <c r="S48" s="286" t="str">
        <f>IF(S47=EtKalınlığı[[#Headers],[8"]],COLUMN(),"")</f>
        <v/>
      </c>
      <c r="T48" s="286" t="str">
        <f>IF(T47=EtKalınlığı[[#Headers],[10"]],COLUMN(),"")</f>
        <v/>
      </c>
      <c r="U48" s="286" t="str">
        <f>IF(U47=EtKalınlığı[[#Headers],[12"]],COLUMN(),"")</f>
        <v/>
      </c>
      <c r="V48" s="286" t="str">
        <f>IF(V47=EtKalınlığı[[#Headers],[14"]],COLUMN(),"")</f>
        <v/>
      </c>
      <c r="W48" s="286" t="str">
        <f>IF(W47=EtKalınlığı[[#Headers],[16"]],COLUMN(),"")</f>
        <v/>
      </c>
      <c r="X48" s="286" t="str">
        <f>IF(X47=EtKalınlığı[[#Headers],[18"]],COLUMN(),"")</f>
        <v/>
      </c>
      <c r="Y48" s="286" t="str">
        <f>IF(Y47=EtKalınlığı[[#Headers],[20"]],COLUMN(),"")</f>
        <v/>
      </c>
      <c r="Z48" s="286" t="str">
        <f>IF(Z47=EtKalınlığı[[#Headers],[22"]],COLUMN(),"")</f>
        <v/>
      </c>
      <c r="AA48" s="286" t="str">
        <f>IF(AA47=EtKalınlığı[[#Headers],[24"]],COLUMN(),"")</f>
        <v/>
      </c>
      <c r="AB48" s="286" t="str">
        <f>IF(AB47=EtKalınlığı[[#Headers],[26"]],COLUMN(),"")</f>
        <v/>
      </c>
      <c r="AC48" s="286" t="str">
        <f>IF(AC47=EtKalınlığı[[#Headers],[28"]],COLUMN(),"")</f>
        <v/>
      </c>
      <c r="AD48" s="286" t="str">
        <f>IF(AD47=EtKalınlığı[[#Headers],[30"]],COLUMN(),"")</f>
        <v/>
      </c>
      <c r="AE48" s="286" t="str">
        <f>IF(AE47=EtKalınlığı[[#Headers],[32"]],COLUMN(),"")</f>
        <v/>
      </c>
      <c r="AF48" s="286" t="str">
        <f>IF(AF47=EtKalınlığı[[#Headers],[34"]],COLUMN(),"")</f>
        <v/>
      </c>
      <c r="AG48" s="286" t="str">
        <f>IF(AG47=EtKalınlığı[[#Headers],[36"]],COLUMN(),"")</f>
        <v/>
      </c>
      <c r="AH48" s="286" t="str">
        <f>IF(AH47=EtKalınlığı[[#Headers],[38"]],COLUMN(),"")</f>
        <v/>
      </c>
      <c r="AI48" s="119" t="str">
        <f>IF(AI47=EtKalınlığı[[#Headers],[40"]],COLUMN(),"")</f>
        <v/>
      </c>
      <c r="AJ48" s="286" t="str">
        <f>IF(AJ47=EtKalınlığı[[#Headers],[42"]],COLUMN(),"")</f>
        <v/>
      </c>
      <c r="AK48" s="286" t="str">
        <f>IF(AK47=EtKalınlığı[[#Headers],[44"]],COLUMN(),"")</f>
        <v/>
      </c>
      <c r="AL48" s="286" t="str">
        <f>IF(AL47=EtKalınlığı[[#Headers],[46"]],COLUMN(),"")</f>
        <v/>
      </c>
      <c r="AM48" s="286" t="str">
        <f>IF(AM47=EtKalınlığı[[#Headers],[48"]],COLUMN(),"")</f>
        <v/>
      </c>
      <c r="AN48" s="286" t="str">
        <f>IF(AN47=EtKalınlığı[[#Headers],[52"]],COLUMN(),"")</f>
        <v/>
      </c>
      <c r="AO48" s="286" t="str">
        <f>IF(AO47=EtKalınlığı[[#Headers],[56"]],COLUMN(),"")</f>
        <v/>
      </c>
      <c r="AP48" s="286" t="str">
        <f>IF(AP47=EtKalınlığı[[#Headers],[60"]],COLUMN(),"")</f>
        <v/>
      </c>
      <c r="AQ48" s="286" t="str">
        <f>IF(AQ47=EtKalınlığı[[#Headers],[64"]],COLUMN(),"")</f>
        <v/>
      </c>
      <c r="AR48" s="286" t="str">
        <f>IF(AR47=EtKalınlığı[[#Headers],[68"]],COLUMN(),"")</f>
        <v/>
      </c>
      <c r="AS48" s="286" t="str">
        <f>IF(AS47=EtKalınlığı[[#Headers],[72"]],COLUMN(),"")</f>
        <v/>
      </c>
      <c r="AT48" s="286" t="str">
        <f>IF(AT47=EtKalınlığı[[#Headers],[76"]],COLUMN(),"")</f>
        <v/>
      </c>
      <c r="AU48" s="286" t="str">
        <f>IF(AU47=EtKalınlığı[[#Headers],[80"]],COLUMN(),"")</f>
        <v/>
      </c>
    </row>
    <row r="49" spans="1:48" ht="25.5" x14ac:dyDescent="0.2">
      <c r="D49" s="1142" t="s">
        <v>637</v>
      </c>
      <c r="E49" s="1142"/>
      <c r="F49" s="1142"/>
      <c r="G49" s="1142"/>
      <c r="H49" s="1142"/>
      <c r="I49" s="1142"/>
      <c r="J49" s="1142"/>
      <c r="K49" s="1142"/>
      <c r="L49" s="1142"/>
      <c r="M49" s="1142"/>
      <c r="N49" s="1142"/>
      <c r="O49" s="1142"/>
      <c r="P49" s="1142"/>
      <c r="Q49" s="1142"/>
      <c r="R49" s="1142"/>
      <c r="S49" s="1142"/>
      <c r="T49" s="1142"/>
      <c r="U49" s="1142"/>
      <c r="V49" s="1142"/>
      <c r="W49" s="1142"/>
      <c r="X49" s="1142"/>
      <c r="Y49" s="1142"/>
      <c r="Z49" s="1142"/>
      <c r="AA49" s="1142"/>
      <c r="AB49" s="1142"/>
      <c r="AC49" s="1142"/>
      <c r="AD49" s="1142"/>
      <c r="AE49" s="1142"/>
      <c r="AF49" s="1142"/>
      <c r="AG49" s="1142"/>
      <c r="AH49" s="1142"/>
      <c r="AI49" s="1142"/>
      <c r="AJ49" s="1142"/>
      <c r="AK49" s="1142"/>
      <c r="AL49" s="1142"/>
      <c r="AM49" s="1142"/>
      <c r="AN49" s="1142"/>
      <c r="AO49" s="1142"/>
      <c r="AP49" s="1142"/>
      <c r="AQ49" s="1142"/>
      <c r="AR49" s="1142"/>
      <c r="AS49" s="1142"/>
      <c r="AT49" s="1142"/>
      <c r="AU49" s="1142"/>
    </row>
    <row r="50" spans="1:48" x14ac:dyDescent="0.2">
      <c r="D50" s="293" t="s">
        <v>638</v>
      </c>
      <c r="E50" s="294" t="s">
        <v>639</v>
      </c>
      <c r="F50" s="295" t="s">
        <v>640</v>
      </c>
      <c r="G50" s="294" t="s">
        <v>4</v>
      </c>
      <c r="H50" s="295" t="s">
        <v>5</v>
      </c>
      <c r="I50" s="294" t="s">
        <v>6</v>
      </c>
      <c r="J50" s="295" t="s">
        <v>7</v>
      </c>
      <c r="K50" s="294" t="s">
        <v>8</v>
      </c>
      <c r="L50" s="295" t="s">
        <v>9</v>
      </c>
      <c r="M50" s="294" t="s">
        <v>10</v>
      </c>
      <c r="N50" s="295" t="s">
        <v>11</v>
      </c>
      <c r="O50" s="294" t="s">
        <v>641</v>
      </c>
      <c r="P50" s="295" t="s">
        <v>12</v>
      </c>
      <c r="Q50" s="294" t="s">
        <v>13</v>
      </c>
      <c r="R50" s="295" t="s">
        <v>14</v>
      </c>
      <c r="S50" s="294" t="s">
        <v>16</v>
      </c>
      <c r="T50" s="295" t="s">
        <v>17</v>
      </c>
      <c r="U50" s="294" t="s">
        <v>19</v>
      </c>
      <c r="V50" s="295" t="s">
        <v>21</v>
      </c>
      <c r="W50" s="294" t="s">
        <v>22</v>
      </c>
      <c r="X50" s="295" t="s">
        <v>24</v>
      </c>
      <c r="Y50" s="294" t="s">
        <v>26</v>
      </c>
      <c r="Z50" s="295" t="s">
        <v>27</v>
      </c>
      <c r="AA50" s="294" t="s">
        <v>28</v>
      </c>
      <c r="AB50" s="295" t="s">
        <v>642</v>
      </c>
      <c r="AC50" s="294" t="s">
        <v>643</v>
      </c>
      <c r="AD50" s="295" t="s">
        <v>29</v>
      </c>
      <c r="AE50" s="294" t="s">
        <v>30</v>
      </c>
      <c r="AF50" s="295" t="s">
        <v>31</v>
      </c>
      <c r="AG50" s="294" t="s">
        <v>32</v>
      </c>
      <c r="AH50" s="295" t="s">
        <v>33</v>
      </c>
      <c r="AI50" s="294" t="s">
        <v>34</v>
      </c>
      <c r="AJ50" s="295" t="s">
        <v>35</v>
      </c>
      <c r="AK50" s="294" t="s">
        <v>36</v>
      </c>
      <c r="AL50" s="295" t="s">
        <v>37</v>
      </c>
      <c r="AM50" s="294" t="s">
        <v>38</v>
      </c>
      <c r="AN50" s="295" t="s">
        <v>39</v>
      </c>
      <c r="AO50" s="294" t="s">
        <v>40</v>
      </c>
      <c r="AP50" s="295" t="s">
        <v>41</v>
      </c>
      <c r="AQ50" s="294" t="s">
        <v>648</v>
      </c>
      <c r="AR50" s="295" t="s">
        <v>647</v>
      </c>
      <c r="AS50" s="294" t="s">
        <v>646</v>
      </c>
      <c r="AT50" s="295" t="s">
        <v>645</v>
      </c>
      <c r="AU50" s="296" t="s">
        <v>644</v>
      </c>
      <c r="AV50" s="732" t="s">
        <v>1432</v>
      </c>
    </row>
    <row r="51" spans="1:48" x14ac:dyDescent="0.2">
      <c r="A51" s="286">
        <f>VLOOKUP(C51,C51:$AU$83,$C$48,0)</f>
        <v>2.11</v>
      </c>
      <c r="B51" s="286" t="str">
        <f>IF($B$47&lt;A51,ROW(),"")</f>
        <v/>
      </c>
      <c r="C51" s="286">
        <v>1</v>
      </c>
      <c r="D51" s="290">
        <v>1.24</v>
      </c>
      <c r="E51" s="290">
        <v>1.65</v>
      </c>
      <c r="F51" s="297">
        <v>1.65</v>
      </c>
      <c r="G51" s="297">
        <v>1.65</v>
      </c>
      <c r="H51" s="297">
        <v>1.65</v>
      </c>
      <c r="I51" s="297">
        <v>1.65</v>
      </c>
      <c r="J51" s="297">
        <v>1.65</v>
      </c>
      <c r="K51" s="297">
        <v>1.65</v>
      </c>
      <c r="L51" s="297">
        <v>1.65</v>
      </c>
      <c r="M51" s="290">
        <v>2.11</v>
      </c>
      <c r="N51" s="297">
        <v>2.11</v>
      </c>
      <c r="O51" s="297">
        <v>2.11</v>
      </c>
      <c r="P51" s="290">
        <v>2.11</v>
      </c>
      <c r="Q51" s="290">
        <v>2.11</v>
      </c>
      <c r="R51" s="290">
        <v>2.11</v>
      </c>
      <c r="S51" s="290">
        <v>2.77</v>
      </c>
      <c r="T51" s="290">
        <v>3.4</v>
      </c>
      <c r="U51" s="290">
        <v>3.96</v>
      </c>
      <c r="V51" s="290">
        <v>3.96</v>
      </c>
      <c r="W51" s="290">
        <v>4.1900000000000004</v>
      </c>
      <c r="X51" s="290">
        <v>4.1900000000000004</v>
      </c>
      <c r="Y51" s="290">
        <v>4.78</v>
      </c>
      <c r="Z51" s="297">
        <v>4.78</v>
      </c>
      <c r="AA51" s="290">
        <v>5.54</v>
      </c>
      <c r="AB51" s="290">
        <v>6.35</v>
      </c>
      <c r="AC51" s="297">
        <v>6.35</v>
      </c>
      <c r="AD51" s="297">
        <v>6.35</v>
      </c>
      <c r="AE51" s="297">
        <v>6.35</v>
      </c>
      <c r="AF51" s="297">
        <v>6.35</v>
      </c>
      <c r="AG51" s="297">
        <v>6.35</v>
      </c>
      <c r="AH51" s="290">
        <v>7.92</v>
      </c>
      <c r="AI51" s="290">
        <v>7.92</v>
      </c>
      <c r="AJ51" s="290">
        <v>8.74</v>
      </c>
      <c r="AK51" s="290">
        <v>8.74</v>
      </c>
      <c r="AL51" s="290">
        <v>8.74</v>
      </c>
      <c r="AM51" s="290">
        <v>8.74</v>
      </c>
      <c r="AN51" s="290">
        <v>9.5299999999999994</v>
      </c>
      <c r="AO51" s="290">
        <v>9.5299999999999994</v>
      </c>
      <c r="AP51" s="290">
        <v>9.5299999999999994</v>
      </c>
      <c r="AQ51" s="290">
        <v>9.5299999999999994</v>
      </c>
      <c r="AR51" s="290">
        <v>11.91</v>
      </c>
      <c r="AS51" s="290">
        <v>12.7</v>
      </c>
      <c r="AT51" s="290">
        <v>12.7</v>
      </c>
      <c r="AU51" s="290">
        <v>12.7</v>
      </c>
      <c r="AV51" s="730">
        <v>1.24</v>
      </c>
    </row>
    <row r="52" spans="1:48" x14ac:dyDescent="0.2">
      <c r="A52" s="286">
        <f>VLOOKUP(C52,C52:$AU$83,$C$48,0)</f>
        <v>2.77</v>
      </c>
      <c r="B52" s="286">
        <f t="shared" ref="B52:B83" si="1">IF($B$47&lt;A52,ROW(),"")</f>
        <v>52</v>
      </c>
      <c r="C52" s="286">
        <v>2</v>
      </c>
      <c r="D52" s="290">
        <v>1.45</v>
      </c>
      <c r="E52" s="290">
        <v>1.85</v>
      </c>
      <c r="F52" s="297">
        <v>1.85</v>
      </c>
      <c r="G52" s="290">
        <v>2.11</v>
      </c>
      <c r="H52" s="297">
        <v>2.11</v>
      </c>
      <c r="I52" s="290">
        <v>2.77</v>
      </c>
      <c r="J52" s="297">
        <v>2.77</v>
      </c>
      <c r="K52" s="297">
        <v>2.77</v>
      </c>
      <c r="L52" s="290">
        <v>2.11</v>
      </c>
      <c r="M52" s="290">
        <v>2.77</v>
      </c>
      <c r="N52" s="297">
        <v>2.77</v>
      </c>
      <c r="O52" s="297">
        <v>2.77</v>
      </c>
      <c r="P52" s="290">
        <v>2.77</v>
      </c>
      <c r="Q52" s="290">
        <v>2.77</v>
      </c>
      <c r="R52" s="290">
        <v>2.77</v>
      </c>
      <c r="S52" s="290">
        <v>3.18</v>
      </c>
      <c r="T52" s="290">
        <v>3.96</v>
      </c>
      <c r="U52" s="290">
        <v>4.37</v>
      </c>
      <c r="V52" s="290">
        <v>4.78</v>
      </c>
      <c r="W52" s="290">
        <v>4.78</v>
      </c>
      <c r="X52" s="290">
        <v>4.78</v>
      </c>
      <c r="Y52" s="290">
        <v>5.56</v>
      </c>
      <c r="Z52" s="297">
        <v>5.56</v>
      </c>
      <c r="AA52" s="290">
        <v>6.35</v>
      </c>
      <c r="AB52" s="290">
        <v>7.14</v>
      </c>
      <c r="AC52" s="297">
        <v>7.14</v>
      </c>
      <c r="AD52" s="297">
        <v>7.14</v>
      </c>
      <c r="AE52" s="297">
        <v>7.14</v>
      </c>
      <c r="AF52" s="297">
        <v>7.14</v>
      </c>
      <c r="AG52" s="297">
        <v>7.14</v>
      </c>
      <c r="AH52" s="290">
        <v>8.74</v>
      </c>
      <c r="AI52" s="290">
        <v>8.74</v>
      </c>
      <c r="AJ52" s="290">
        <v>9.5299999999999994</v>
      </c>
      <c r="AK52" s="290">
        <v>9.5299999999999994</v>
      </c>
      <c r="AL52" s="290">
        <v>9.5299999999999994</v>
      </c>
      <c r="AM52" s="290">
        <v>9.5299999999999994</v>
      </c>
      <c r="AN52" s="290">
        <v>10.31</v>
      </c>
      <c r="AO52" s="290">
        <v>10.31</v>
      </c>
      <c r="AP52" s="290">
        <v>10.31</v>
      </c>
      <c r="AQ52" s="290">
        <v>10.31</v>
      </c>
      <c r="AR52" s="290">
        <v>12.7</v>
      </c>
      <c r="AS52" s="290">
        <v>14.27</v>
      </c>
      <c r="AT52" s="290">
        <v>14.27</v>
      </c>
      <c r="AU52" s="290">
        <v>14.27</v>
      </c>
      <c r="AV52" s="731">
        <v>1.45</v>
      </c>
    </row>
    <row r="53" spans="1:48" x14ac:dyDescent="0.2">
      <c r="A53" s="286">
        <f>VLOOKUP(C53,C53:$AU$83,$C$48,0)</f>
        <v>3.05</v>
      </c>
      <c r="B53" s="286">
        <f t="shared" si="1"/>
        <v>53</v>
      </c>
      <c r="C53" s="286">
        <v>3</v>
      </c>
      <c r="D53" s="290">
        <v>1.73</v>
      </c>
      <c r="E53" s="290">
        <v>2.2400000000000002</v>
      </c>
      <c r="F53" s="290">
        <v>2.31</v>
      </c>
      <c r="G53" s="290">
        <v>2.41</v>
      </c>
      <c r="H53" s="290">
        <v>2.41</v>
      </c>
      <c r="I53" s="734">
        <v>2.9</v>
      </c>
      <c r="J53" s="734">
        <v>2.97</v>
      </c>
      <c r="K53" s="734">
        <v>3.18</v>
      </c>
      <c r="L53" s="734">
        <v>2.77</v>
      </c>
      <c r="M53" s="734">
        <v>3.05</v>
      </c>
      <c r="N53" s="735">
        <v>3.05</v>
      </c>
      <c r="O53" s="735">
        <v>3.05</v>
      </c>
      <c r="P53" s="734">
        <v>3.05</v>
      </c>
      <c r="Q53" s="734">
        <v>3.18</v>
      </c>
      <c r="R53" s="734">
        <v>3.18</v>
      </c>
      <c r="S53" s="734">
        <v>3.76</v>
      </c>
      <c r="T53" s="734">
        <v>4.1900000000000004</v>
      </c>
      <c r="U53" s="734">
        <v>4.57</v>
      </c>
      <c r="V53" s="734">
        <v>5.16</v>
      </c>
      <c r="W53" s="734">
        <v>5.16</v>
      </c>
      <c r="X53" s="734">
        <v>5.56</v>
      </c>
      <c r="Y53" s="734">
        <v>6.35</v>
      </c>
      <c r="Z53" s="735">
        <v>6.35</v>
      </c>
      <c r="AA53" s="734">
        <v>7.14</v>
      </c>
      <c r="AB53" s="734">
        <v>7.92</v>
      </c>
      <c r="AC53" s="735">
        <v>7.92</v>
      </c>
      <c r="AD53" s="735">
        <v>7.92</v>
      </c>
      <c r="AE53" s="735">
        <v>7.92</v>
      </c>
      <c r="AF53" s="735">
        <v>7.92</v>
      </c>
      <c r="AG53" s="735">
        <v>7.92</v>
      </c>
      <c r="AH53" s="734">
        <v>9.5299999999999994</v>
      </c>
      <c r="AI53" s="734">
        <v>9.5299999999999994</v>
      </c>
      <c r="AJ53" s="734">
        <v>10.31</v>
      </c>
      <c r="AK53" s="734">
        <v>10.31</v>
      </c>
      <c r="AL53" s="734">
        <v>10.31</v>
      </c>
      <c r="AM53" s="734">
        <v>10.31</v>
      </c>
      <c r="AN53" s="734">
        <v>11.13</v>
      </c>
      <c r="AO53" s="734">
        <v>11.13</v>
      </c>
      <c r="AP53" s="734">
        <v>11.13</v>
      </c>
      <c r="AQ53" s="734">
        <v>11.13</v>
      </c>
      <c r="AR53" s="734">
        <v>14.27</v>
      </c>
      <c r="AS53" s="734">
        <v>15.88</v>
      </c>
      <c r="AT53" s="734">
        <v>15.88</v>
      </c>
      <c r="AU53" s="734">
        <v>15.88</v>
      </c>
      <c r="AV53" s="730">
        <v>1.65</v>
      </c>
    </row>
    <row r="54" spans="1:48" x14ac:dyDescent="0.2">
      <c r="A54" s="286">
        <f>VLOOKUP(C54,C54:$AU$83,$C$48,0)</f>
        <v>3.18</v>
      </c>
      <c r="B54" s="286">
        <f t="shared" si="1"/>
        <v>54</v>
      </c>
      <c r="C54" s="286">
        <v>4</v>
      </c>
      <c r="D54" s="290">
        <v>2.41</v>
      </c>
      <c r="E54" s="290">
        <v>3.02</v>
      </c>
      <c r="F54" s="290">
        <v>3.2</v>
      </c>
      <c r="G54" s="290">
        <v>2.77</v>
      </c>
      <c r="H54" s="290">
        <v>2.87</v>
      </c>
      <c r="I54" s="734">
        <v>3.38</v>
      </c>
      <c r="J54" s="734">
        <v>3.56</v>
      </c>
      <c r="K54" s="734">
        <v>3.68</v>
      </c>
      <c r="L54" s="734">
        <v>3.18</v>
      </c>
      <c r="M54" s="734">
        <v>3.18</v>
      </c>
      <c r="N54" s="734">
        <v>3.18</v>
      </c>
      <c r="O54" s="734">
        <v>3.18</v>
      </c>
      <c r="P54" s="734">
        <v>3.18</v>
      </c>
      <c r="Q54" s="734">
        <v>3.4</v>
      </c>
      <c r="R54" s="734">
        <v>3.4</v>
      </c>
      <c r="S54" s="734">
        <v>3.96</v>
      </c>
      <c r="T54" s="734">
        <v>4.78</v>
      </c>
      <c r="U54" s="734">
        <v>4.78</v>
      </c>
      <c r="V54" s="734">
        <v>5.33</v>
      </c>
      <c r="W54" s="734">
        <v>5.56</v>
      </c>
      <c r="X54" s="734">
        <v>6.35</v>
      </c>
      <c r="Y54" s="734">
        <v>7.14</v>
      </c>
      <c r="Z54" s="735">
        <v>7.14</v>
      </c>
      <c r="AA54" s="734">
        <v>7.92</v>
      </c>
      <c r="AB54" s="734">
        <v>8.74</v>
      </c>
      <c r="AC54" s="735">
        <v>8.74</v>
      </c>
      <c r="AD54" s="735">
        <v>8.74</v>
      </c>
      <c r="AE54" s="735">
        <v>8.74</v>
      </c>
      <c r="AF54" s="735">
        <v>8.74</v>
      </c>
      <c r="AG54" s="735">
        <v>8.74</v>
      </c>
      <c r="AH54" s="734">
        <v>10.31</v>
      </c>
      <c r="AI54" s="734">
        <v>10.31</v>
      </c>
      <c r="AJ54" s="734">
        <v>11.13</v>
      </c>
      <c r="AK54" s="734">
        <v>11.13</v>
      </c>
      <c r="AL54" s="734">
        <v>11.13</v>
      </c>
      <c r="AM54" s="734">
        <v>11.13</v>
      </c>
      <c r="AN54" s="734">
        <v>11.91</v>
      </c>
      <c r="AO54" s="734">
        <v>11.91</v>
      </c>
      <c r="AP54" s="734">
        <v>11.91</v>
      </c>
      <c r="AQ54" s="734">
        <v>11.91</v>
      </c>
      <c r="AR54" s="734">
        <v>15.88</v>
      </c>
      <c r="AS54" s="734">
        <v>17.48</v>
      </c>
      <c r="AT54" s="734">
        <v>17.48</v>
      </c>
      <c r="AU54" s="734">
        <v>17.48</v>
      </c>
      <c r="AV54" s="731">
        <v>1.73</v>
      </c>
    </row>
    <row r="55" spans="1:48" x14ac:dyDescent="0.2">
      <c r="A55" s="286">
        <f>VLOOKUP(C55,C55:$AU$83,$C$48,0)</f>
        <v>3.58</v>
      </c>
      <c r="B55" s="286">
        <f t="shared" si="1"/>
        <v>55</v>
      </c>
      <c r="C55" s="286">
        <v>5</v>
      </c>
      <c r="D55" s="290">
        <v>3.15</v>
      </c>
      <c r="E55" s="290">
        <v>3.68</v>
      </c>
      <c r="F55" s="290">
        <v>4.01</v>
      </c>
      <c r="G55" s="290">
        <v>3.73</v>
      </c>
      <c r="H55" s="290">
        <v>3.91</v>
      </c>
      <c r="I55" s="734">
        <v>4.55</v>
      </c>
      <c r="J55" s="734">
        <v>4.8499999999999996</v>
      </c>
      <c r="K55" s="734">
        <v>5.08</v>
      </c>
      <c r="L55" s="734">
        <v>3.91</v>
      </c>
      <c r="M55" s="734">
        <v>3.58</v>
      </c>
      <c r="N55" s="735">
        <v>3.58</v>
      </c>
      <c r="O55" s="735">
        <v>3.58</v>
      </c>
      <c r="P55" s="734">
        <v>3.58</v>
      </c>
      <c r="Q55" s="734">
        <v>3.96</v>
      </c>
      <c r="R55" s="734">
        <v>3.58</v>
      </c>
      <c r="S55" s="734">
        <v>4.78</v>
      </c>
      <c r="T55" s="734">
        <v>5.16</v>
      </c>
      <c r="U55" s="734">
        <v>5.16</v>
      </c>
      <c r="V55" s="734">
        <v>5.56</v>
      </c>
      <c r="W55" s="734">
        <v>6.35</v>
      </c>
      <c r="X55" s="734">
        <v>7.14</v>
      </c>
      <c r="Y55" s="734">
        <v>7.92</v>
      </c>
      <c r="Z55" s="735">
        <v>7.92</v>
      </c>
      <c r="AA55" s="734">
        <v>8.74</v>
      </c>
      <c r="AB55" s="734">
        <v>9.5299999999999994</v>
      </c>
      <c r="AC55" s="735">
        <v>9.5299999999999994</v>
      </c>
      <c r="AD55" s="735">
        <v>9.5299999999999994</v>
      </c>
      <c r="AE55" s="735">
        <v>9.5299999999999994</v>
      </c>
      <c r="AF55" s="735">
        <v>9.5299999999999994</v>
      </c>
      <c r="AG55" s="735">
        <v>9.5299999999999994</v>
      </c>
      <c r="AH55" s="734">
        <v>11.13</v>
      </c>
      <c r="AI55" s="734">
        <v>11.13</v>
      </c>
      <c r="AJ55" s="734">
        <v>11.91</v>
      </c>
      <c r="AK55" s="734">
        <v>11.91</v>
      </c>
      <c r="AL55" s="734">
        <v>11.91</v>
      </c>
      <c r="AM55" s="734">
        <v>11.91</v>
      </c>
      <c r="AN55" s="734">
        <v>12.7</v>
      </c>
      <c r="AO55" s="734">
        <v>12.7</v>
      </c>
      <c r="AP55" s="734">
        <v>12.7</v>
      </c>
      <c r="AQ55" s="734">
        <v>12.7</v>
      </c>
      <c r="AR55" s="734">
        <v>17.48</v>
      </c>
      <c r="AS55" s="734">
        <v>19.05</v>
      </c>
      <c r="AT55" s="734">
        <v>19.05</v>
      </c>
      <c r="AU55" s="734">
        <v>19.05</v>
      </c>
      <c r="AV55" s="730">
        <v>1.85</v>
      </c>
    </row>
    <row r="56" spans="1:48" x14ac:dyDescent="0.2">
      <c r="A56" s="286">
        <f>VLOOKUP(C56,C56:$AU$83,$C$48,0)</f>
        <v>3.96</v>
      </c>
      <c r="B56" s="286">
        <f t="shared" si="1"/>
        <v>56</v>
      </c>
      <c r="C56" s="286">
        <v>6</v>
      </c>
      <c r="D56" s="290">
        <v>4.83</v>
      </c>
      <c r="E56" s="290">
        <v>6.05</v>
      </c>
      <c r="F56" s="290">
        <v>6.4</v>
      </c>
      <c r="G56" s="290">
        <v>4.78</v>
      </c>
      <c r="H56" s="290">
        <v>5.56</v>
      </c>
      <c r="I56" s="734">
        <v>6.35</v>
      </c>
      <c r="J56" s="734">
        <v>6.35</v>
      </c>
      <c r="K56" s="734">
        <v>7.14</v>
      </c>
      <c r="L56" s="734">
        <v>4.37</v>
      </c>
      <c r="M56" s="734">
        <v>3.96</v>
      </c>
      <c r="N56" s="735">
        <v>3.96</v>
      </c>
      <c r="O56" s="735">
        <v>3.96</v>
      </c>
      <c r="P56" s="734">
        <v>3.96</v>
      </c>
      <c r="Q56" s="734">
        <v>4.78</v>
      </c>
      <c r="R56" s="734">
        <v>3.96</v>
      </c>
      <c r="S56" s="734">
        <v>5.16</v>
      </c>
      <c r="T56" s="734">
        <v>5.56</v>
      </c>
      <c r="U56" s="734">
        <v>5.56</v>
      </c>
      <c r="V56" s="734">
        <v>6.35</v>
      </c>
      <c r="W56" s="734">
        <v>7.14</v>
      </c>
      <c r="X56" s="734">
        <v>7.92</v>
      </c>
      <c r="Y56" s="734">
        <v>8.74</v>
      </c>
      <c r="Z56" s="735">
        <v>8.74</v>
      </c>
      <c r="AA56" s="734">
        <v>9.5299999999999994</v>
      </c>
      <c r="AB56" s="734">
        <v>10.31</v>
      </c>
      <c r="AC56" s="735">
        <v>10.31</v>
      </c>
      <c r="AD56" s="735">
        <v>10.31</v>
      </c>
      <c r="AE56" s="735">
        <v>10.31</v>
      </c>
      <c r="AF56" s="735">
        <v>10.31</v>
      </c>
      <c r="AG56" s="735">
        <v>10.31</v>
      </c>
      <c r="AH56" s="734">
        <v>11.91</v>
      </c>
      <c r="AI56" s="734">
        <v>11.91</v>
      </c>
      <c r="AJ56" s="734">
        <v>12.7</v>
      </c>
      <c r="AK56" s="734">
        <v>12.7</v>
      </c>
      <c r="AL56" s="734">
        <v>12.7</v>
      </c>
      <c r="AM56" s="734">
        <v>12.7</v>
      </c>
      <c r="AN56" s="734">
        <v>14.27</v>
      </c>
      <c r="AO56" s="734">
        <v>14.27</v>
      </c>
      <c r="AP56" s="734">
        <v>14.27</v>
      </c>
      <c r="AQ56" s="734">
        <v>14.27</v>
      </c>
      <c r="AR56" s="734">
        <v>19.05</v>
      </c>
      <c r="AS56" s="734">
        <v>20.62</v>
      </c>
      <c r="AT56" s="734">
        <v>20.62</v>
      </c>
      <c r="AU56" s="734">
        <v>20.62</v>
      </c>
      <c r="AV56" s="731">
        <v>2.11</v>
      </c>
    </row>
    <row r="57" spans="1:48" x14ac:dyDescent="0.2">
      <c r="A57" s="286">
        <f>VLOOKUP(C57,C57:$AU$83,$C$48,0)</f>
        <v>4.37</v>
      </c>
      <c r="B57" s="286">
        <f t="shared" si="1"/>
        <v>57</v>
      </c>
      <c r="C57" s="286">
        <v>7</v>
      </c>
      <c r="D57" s="290"/>
      <c r="E57" s="290"/>
      <c r="F57" s="290"/>
      <c r="G57" s="290">
        <v>7.47</v>
      </c>
      <c r="H57" s="290">
        <v>7.82</v>
      </c>
      <c r="I57" s="734">
        <v>9.09</v>
      </c>
      <c r="J57" s="734">
        <v>9.6999999999999993</v>
      </c>
      <c r="K57" s="734">
        <v>10.16</v>
      </c>
      <c r="L57" s="734">
        <v>4.78</v>
      </c>
      <c r="M57" s="734">
        <v>4.37</v>
      </c>
      <c r="N57" s="735">
        <v>4.37</v>
      </c>
      <c r="O57" s="735">
        <v>4.37</v>
      </c>
      <c r="P57" s="734">
        <v>4.37</v>
      </c>
      <c r="Q57" s="734">
        <v>5.56</v>
      </c>
      <c r="R57" s="734">
        <v>4.37</v>
      </c>
      <c r="S57" s="734">
        <v>5.56</v>
      </c>
      <c r="T57" s="734">
        <v>6.35</v>
      </c>
      <c r="U57" s="734">
        <v>6.35</v>
      </c>
      <c r="V57" s="734">
        <v>7.14</v>
      </c>
      <c r="W57" s="734">
        <v>7.92</v>
      </c>
      <c r="X57" s="734">
        <v>8.74</v>
      </c>
      <c r="Y57" s="734">
        <v>9.5299999999999994</v>
      </c>
      <c r="Z57" s="735">
        <v>9.5299999999999994</v>
      </c>
      <c r="AA57" s="734">
        <v>10.31</v>
      </c>
      <c r="AB57" s="734">
        <v>11.13</v>
      </c>
      <c r="AC57" s="735">
        <v>11.13</v>
      </c>
      <c r="AD57" s="735">
        <v>11.13</v>
      </c>
      <c r="AE57" s="735">
        <v>11.13</v>
      </c>
      <c r="AF57" s="735">
        <v>11.13</v>
      </c>
      <c r="AG57" s="735">
        <v>11.13</v>
      </c>
      <c r="AH57" s="734">
        <v>12.7</v>
      </c>
      <c r="AI57" s="734">
        <v>12.7</v>
      </c>
      <c r="AJ57" s="734">
        <v>14.27</v>
      </c>
      <c r="AK57" s="734">
        <v>14.27</v>
      </c>
      <c r="AL57" s="734">
        <v>14.27</v>
      </c>
      <c r="AM57" s="734">
        <v>14.27</v>
      </c>
      <c r="AN57" s="734">
        <v>15.88</v>
      </c>
      <c r="AO57" s="734">
        <v>15.88</v>
      </c>
      <c r="AP57" s="734">
        <v>15.88</v>
      </c>
      <c r="AQ57" s="734">
        <v>15.88</v>
      </c>
      <c r="AR57" s="734">
        <v>20.62</v>
      </c>
      <c r="AS57" s="734">
        <v>22.23</v>
      </c>
      <c r="AT57" s="734">
        <v>22.23</v>
      </c>
      <c r="AU57" s="734">
        <v>22.23</v>
      </c>
      <c r="AV57" s="730">
        <v>2.2400000000000002</v>
      </c>
    </row>
    <row r="58" spans="1:48" x14ac:dyDescent="0.2">
      <c r="A58" s="286">
        <f>VLOOKUP(C58,C58:$AU$83,$C$48,0)</f>
        <v>4.78</v>
      </c>
      <c r="B58" s="286">
        <f t="shared" si="1"/>
        <v>58</v>
      </c>
      <c r="C58" s="286">
        <v>8</v>
      </c>
      <c r="D58" s="290"/>
      <c r="E58" s="290"/>
      <c r="F58" s="290"/>
      <c r="G58" s="290"/>
      <c r="H58" s="290"/>
      <c r="I58" s="734"/>
      <c r="J58" s="734"/>
      <c r="K58" s="734"/>
      <c r="L58" s="734">
        <v>5.54</v>
      </c>
      <c r="M58" s="734">
        <v>4.78</v>
      </c>
      <c r="N58" s="735">
        <v>4.78</v>
      </c>
      <c r="O58" s="735">
        <v>4.78</v>
      </c>
      <c r="P58" s="734">
        <v>4.78</v>
      </c>
      <c r="Q58" s="734">
        <v>6.55</v>
      </c>
      <c r="R58" s="734">
        <v>4.78</v>
      </c>
      <c r="S58" s="734">
        <v>6.35</v>
      </c>
      <c r="T58" s="734">
        <v>7.09</v>
      </c>
      <c r="U58" s="734">
        <v>7.14</v>
      </c>
      <c r="V58" s="734">
        <v>7.92</v>
      </c>
      <c r="W58" s="734">
        <v>8.74</v>
      </c>
      <c r="X58" s="734">
        <v>9.5299999999999994</v>
      </c>
      <c r="Y58" s="734">
        <v>10.31</v>
      </c>
      <c r="Z58" s="735">
        <v>10.31</v>
      </c>
      <c r="AA58" s="734">
        <v>11.13</v>
      </c>
      <c r="AB58" s="734">
        <v>11.91</v>
      </c>
      <c r="AC58" s="735">
        <v>11.91</v>
      </c>
      <c r="AD58" s="735">
        <v>11.91</v>
      </c>
      <c r="AE58" s="735">
        <v>11.91</v>
      </c>
      <c r="AF58" s="735">
        <v>11.91</v>
      </c>
      <c r="AG58" s="735">
        <v>11.91</v>
      </c>
      <c r="AH58" s="734">
        <v>14.27</v>
      </c>
      <c r="AI58" s="734">
        <v>14.27</v>
      </c>
      <c r="AJ58" s="734">
        <v>15.88</v>
      </c>
      <c r="AK58" s="734">
        <v>15.88</v>
      </c>
      <c r="AL58" s="734">
        <v>15.88</v>
      </c>
      <c r="AM58" s="734">
        <v>15.88</v>
      </c>
      <c r="AN58" s="734">
        <v>17.48</v>
      </c>
      <c r="AO58" s="734">
        <v>17.48</v>
      </c>
      <c r="AP58" s="734">
        <v>17.48</v>
      </c>
      <c r="AQ58" s="734">
        <v>17.48</v>
      </c>
      <c r="AR58" s="734">
        <v>22.23</v>
      </c>
      <c r="AS58" s="734">
        <v>23.83</v>
      </c>
      <c r="AT58" s="734">
        <v>23.83</v>
      </c>
      <c r="AU58" s="734">
        <v>23.83</v>
      </c>
      <c r="AV58" s="731">
        <v>2.31</v>
      </c>
    </row>
    <row r="59" spans="1:48" x14ac:dyDescent="0.2">
      <c r="A59" s="286">
        <f>VLOOKUP(C59,C59:$AU$83,$C$48,0)</f>
        <v>5.16</v>
      </c>
      <c r="B59" s="286">
        <f t="shared" si="1"/>
        <v>59</v>
      </c>
      <c r="C59" s="286">
        <v>9</v>
      </c>
      <c r="D59" s="290"/>
      <c r="E59" s="290"/>
      <c r="F59" s="290"/>
      <c r="G59" s="290"/>
      <c r="H59" s="290"/>
      <c r="I59" s="734"/>
      <c r="J59" s="734"/>
      <c r="K59" s="734"/>
      <c r="L59" s="734">
        <v>6.35</v>
      </c>
      <c r="M59" s="734">
        <v>5.16</v>
      </c>
      <c r="N59" s="734">
        <v>5.49</v>
      </c>
      <c r="O59" s="734">
        <v>5.74</v>
      </c>
      <c r="P59" s="734">
        <v>5.16</v>
      </c>
      <c r="Q59" s="734">
        <v>7.14</v>
      </c>
      <c r="R59" s="734">
        <v>5.16</v>
      </c>
      <c r="S59" s="734">
        <v>7.04</v>
      </c>
      <c r="T59" s="734">
        <v>7.8</v>
      </c>
      <c r="U59" s="734">
        <v>7.92</v>
      </c>
      <c r="V59" s="734">
        <v>8.74</v>
      </c>
      <c r="W59" s="734">
        <v>9.5299999999999994</v>
      </c>
      <c r="X59" s="734">
        <v>10.31</v>
      </c>
      <c r="Y59" s="734">
        <v>11.13</v>
      </c>
      <c r="Z59" s="735">
        <v>11.13</v>
      </c>
      <c r="AA59" s="734">
        <v>11.91</v>
      </c>
      <c r="AB59" s="734">
        <v>12.7</v>
      </c>
      <c r="AC59" s="735">
        <v>12.7</v>
      </c>
      <c r="AD59" s="735">
        <v>12.7</v>
      </c>
      <c r="AE59" s="735">
        <v>12.7</v>
      </c>
      <c r="AF59" s="735">
        <v>12.7</v>
      </c>
      <c r="AG59" s="735">
        <v>12.7</v>
      </c>
      <c r="AH59" s="734">
        <v>15.88</v>
      </c>
      <c r="AI59" s="734">
        <v>15.88</v>
      </c>
      <c r="AJ59" s="734">
        <v>17.48</v>
      </c>
      <c r="AK59" s="734">
        <v>17.48</v>
      </c>
      <c r="AL59" s="734">
        <v>17.48</v>
      </c>
      <c r="AM59" s="734">
        <v>17.48</v>
      </c>
      <c r="AN59" s="734">
        <v>19.05</v>
      </c>
      <c r="AO59" s="734">
        <v>19.05</v>
      </c>
      <c r="AP59" s="734">
        <v>19.05</v>
      </c>
      <c r="AQ59" s="734">
        <v>19.05</v>
      </c>
      <c r="AR59" s="734">
        <v>23.83</v>
      </c>
      <c r="AS59" s="734">
        <v>25.4</v>
      </c>
      <c r="AT59" s="734">
        <v>25.4</v>
      </c>
      <c r="AU59" s="734">
        <v>25.4</v>
      </c>
      <c r="AV59" s="730">
        <v>2.41</v>
      </c>
    </row>
    <row r="60" spans="1:48" x14ac:dyDescent="0.2">
      <c r="A60" s="286">
        <f>VLOOKUP(C60,C60:$AU$83,$C$48,0)</f>
        <v>5.56</v>
      </c>
      <c r="B60" s="286">
        <f t="shared" si="1"/>
        <v>60</v>
      </c>
      <c r="C60" s="286">
        <v>10</v>
      </c>
      <c r="D60" s="290"/>
      <c r="E60" s="290"/>
      <c r="F60" s="290"/>
      <c r="G60" s="290"/>
      <c r="H60" s="290"/>
      <c r="I60" s="734"/>
      <c r="J60" s="734"/>
      <c r="K60" s="734"/>
      <c r="L60" s="734">
        <v>7.14</v>
      </c>
      <c r="M60" s="734">
        <v>5.49</v>
      </c>
      <c r="N60" s="734">
        <v>6.35</v>
      </c>
      <c r="O60" s="734">
        <v>6.35</v>
      </c>
      <c r="P60" s="734">
        <v>5.56</v>
      </c>
      <c r="Q60" s="734">
        <v>7.92</v>
      </c>
      <c r="R60" s="734">
        <v>5.56</v>
      </c>
      <c r="S60" s="734">
        <v>7.92</v>
      </c>
      <c r="T60" s="734">
        <v>8.74</v>
      </c>
      <c r="U60" s="734">
        <v>8.3800000000000008</v>
      </c>
      <c r="V60" s="734">
        <v>9.5299999999999994</v>
      </c>
      <c r="W60" s="734">
        <v>10.31</v>
      </c>
      <c r="X60" s="734">
        <v>11.13</v>
      </c>
      <c r="Y60" s="734">
        <v>11.91</v>
      </c>
      <c r="Z60" s="735">
        <v>11.91</v>
      </c>
      <c r="AA60" s="734">
        <v>12.7</v>
      </c>
      <c r="AB60" s="734">
        <v>14.27</v>
      </c>
      <c r="AC60" s="735">
        <v>14.27</v>
      </c>
      <c r="AD60" s="735">
        <v>14.27</v>
      </c>
      <c r="AE60" s="735">
        <v>14.27</v>
      </c>
      <c r="AF60" s="735">
        <v>14.27</v>
      </c>
      <c r="AG60" s="735">
        <v>14.27</v>
      </c>
      <c r="AH60" s="734">
        <v>17.48</v>
      </c>
      <c r="AI60" s="734">
        <v>17.48</v>
      </c>
      <c r="AJ60" s="734">
        <v>19.05</v>
      </c>
      <c r="AK60" s="734">
        <v>19.05</v>
      </c>
      <c r="AL60" s="734">
        <v>19.05</v>
      </c>
      <c r="AM60" s="734">
        <v>19.05</v>
      </c>
      <c r="AN60" s="734">
        <v>20.62</v>
      </c>
      <c r="AO60" s="734">
        <v>20.62</v>
      </c>
      <c r="AP60" s="734">
        <v>20.62</v>
      </c>
      <c r="AQ60" s="734">
        <v>20.62</v>
      </c>
      <c r="AR60" s="734">
        <v>25.4</v>
      </c>
      <c r="AS60" s="734">
        <v>26.97</v>
      </c>
      <c r="AT60" s="734">
        <v>26.97</v>
      </c>
      <c r="AU60" s="734">
        <v>26.97</v>
      </c>
      <c r="AV60" s="731">
        <v>2.77</v>
      </c>
    </row>
    <row r="61" spans="1:48" x14ac:dyDescent="0.2">
      <c r="A61" s="286">
        <f>VLOOKUP(C61,C61:$AU$83,$C$48,0)</f>
        <v>6.02</v>
      </c>
      <c r="B61" s="286">
        <f t="shared" si="1"/>
        <v>61</v>
      </c>
      <c r="C61" s="286">
        <v>11</v>
      </c>
      <c r="D61" s="290"/>
      <c r="E61" s="290"/>
      <c r="F61" s="290"/>
      <c r="G61" s="290"/>
      <c r="H61" s="290"/>
      <c r="I61" s="734"/>
      <c r="J61" s="734"/>
      <c r="K61" s="734"/>
      <c r="L61" s="734">
        <v>8.74</v>
      </c>
      <c r="M61" s="734">
        <v>6.35</v>
      </c>
      <c r="N61" s="734">
        <v>7.14</v>
      </c>
      <c r="O61" s="734">
        <v>7.14</v>
      </c>
      <c r="P61" s="734">
        <v>6.02</v>
      </c>
      <c r="Q61" s="734">
        <v>8.74</v>
      </c>
      <c r="R61" s="734">
        <v>6.35</v>
      </c>
      <c r="S61" s="734">
        <v>8.18</v>
      </c>
      <c r="T61" s="734">
        <v>9.27</v>
      </c>
      <c r="U61" s="734">
        <v>8.74</v>
      </c>
      <c r="V61" s="734">
        <v>10.31</v>
      </c>
      <c r="W61" s="734">
        <v>11.13</v>
      </c>
      <c r="X61" s="734">
        <v>11.91</v>
      </c>
      <c r="Y61" s="734">
        <v>12.7</v>
      </c>
      <c r="Z61" s="735">
        <v>12.7</v>
      </c>
      <c r="AA61" s="734">
        <v>14.27</v>
      </c>
      <c r="AB61" s="734">
        <v>15.88</v>
      </c>
      <c r="AC61" s="735">
        <v>15.88</v>
      </c>
      <c r="AD61" s="735">
        <v>15.88</v>
      </c>
      <c r="AE61" s="735">
        <v>15.88</v>
      </c>
      <c r="AF61" s="735">
        <v>15.88</v>
      </c>
      <c r="AG61" s="735">
        <v>15.88</v>
      </c>
      <c r="AH61" s="734">
        <v>19.05</v>
      </c>
      <c r="AI61" s="734">
        <v>19.05</v>
      </c>
      <c r="AJ61" s="734">
        <v>20.62</v>
      </c>
      <c r="AK61" s="734">
        <v>20.62</v>
      </c>
      <c r="AL61" s="734">
        <v>20.62</v>
      </c>
      <c r="AM61" s="734">
        <v>20.62</v>
      </c>
      <c r="AN61" s="734">
        <v>22.23</v>
      </c>
      <c r="AO61" s="734">
        <v>22.23</v>
      </c>
      <c r="AP61" s="734">
        <v>22.23</v>
      </c>
      <c r="AQ61" s="734">
        <v>22.23</v>
      </c>
      <c r="AR61" s="734">
        <v>26.97</v>
      </c>
      <c r="AS61" s="734">
        <v>28.58</v>
      </c>
      <c r="AT61" s="734">
        <v>28.58</v>
      </c>
      <c r="AU61" s="734">
        <v>28.58</v>
      </c>
      <c r="AV61" s="730">
        <v>2.87</v>
      </c>
    </row>
    <row r="62" spans="1:48" x14ac:dyDescent="0.2">
      <c r="A62" s="286">
        <f>VLOOKUP(C62,C62:$AU$83,$C$48,0)</f>
        <v>6.35</v>
      </c>
      <c r="B62" s="286">
        <f t="shared" si="1"/>
        <v>62</v>
      </c>
      <c r="C62" s="286">
        <v>12</v>
      </c>
      <c r="D62" s="290"/>
      <c r="E62" s="290"/>
      <c r="F62" s="290"/>
      <c r="G62" s="290"/>
      <c r="H62" s="290"/>
      <c r="I62" s="734"/>
      <c r="J62" s="734"/>
      <c r="K62" s="734"/>
      <c r="L62" s="734">
        <v>11.07</v>
      </c>
      <c r="M62" s="734">
        <v>7.01</v>
      </c>
      <c r="N62" s="734">
        <v>7.62</v>
      </c>
      <c r="O62" s="734">
        <v>8.08</v>
      </c>
      <c r="P62" s="734">
        <v>6.35</v>
      </c>
      <c r="Q62" s="734">
        <v>9.5299999999999994</v>
      </c>
      <c r="R62" s="734">
        <v>7.11</v>
      </c>
      <c r="S62" s="734">
        <v>8.74</v>
      </c>
      <c r="T62" s="734">
        <v>11.13</v>
      </c>
      <c r="U62" s="734">
        <v>9.5299999999999994</v>
      </c>
      <c r="V62" s="734">
        <v>11.13</v>
      </c>
      <c r="W62" s="734">
        <v>11.91</v>
      </c>
      <c r="X62" s="734">
        <v>12.7</v>
      </c>
      <c r="Y62" s="734">
        <v>14.27</v>
      </c>
      <c r="Z62" s="735">
        <v>14.27</v>
      </c>
      <c r="AA62" s="734">
        <v>15.88</v>
      </c>
      <c r="AB62" s="734">
        <v>17.48</v>
      </c>
      <c r="AC62" s="735">
        <v>17.48</v>
      </c>
      <c r="AD62" s="735">
        <v>17.48</v>
      </c>
      <c r="AE62" s="735">
        <v>17.48</v>
      </c>
      <c r="AF62" s="735">
        <v>17.48</v>
      </c>
      <c r="AG62" s="735">
        <v>17.48</v>
      </c>
      <c r="AH62" s="734">
        <v>20.62</v>
      </c>
      <c r="AI62" s="734">
        <v>20.62</v>
      </c>
      <c r="AJ62" s="734">
        <v>22.23</v>
      </c>
      <c r="AK62" s="734">
        <v>22.23</v>
      </c>
      <c r="AL62" s="734">
        <v>22.23</v>
      </c>
      <c r="AM62" s="734">
        <v>22.23</v>
      </c>
      <c r="AN62" s="734">
        <v>23.83</v>
      </c>
      <c r="AO62" s="734">
        <v>23.83</v>
      </c>
      <c r="AP62" s="734">
        <v>23.83</v>
      </c>
      <c r="AQ62" s="734">
        <v>23.83</v>
      </c>
      <c r="AR62" s="734">
        <v>28.58</v>
      </c>
      <c r="AS62" s="734">
        <v>30.18</v>
      </c>
      <c r="AT62" s="734">
        <v>30.18</v>
      </c>
      <c r="AU62" s="734">
        <v>30.18</v>
      </c>
      <c r="AV62" s="731">
        <v>2.9</v>
      </c>
    </row>
    <row r="63" spans="1:48" x14ac:dyDescent="0.2">
      <c r="A63" s="286">
        <f>VLOOKUP(C63,C63:$AU$83,$C$48,0)</f>
        <v>7.14</v>
      </c>
      <c r="B63" s="286">
        <f t="shared" si="1"/>
        <v>63</v>
      </c>
      <c r="C63" s="286">
        <v>13</v>
      </c>
      <c r="D63" s="290"/>
      <c r="E63" s="290"/>
      <c r="F63" s="290"/>
      <c r="G63" s="290"/>
      <c r="H63" s="290"/>
      <c r="I63" s="734"/>
      <c r="J63" s="734"/>
      <c r="K63" s="734"/>
      <c r="L63" s="734"/>
      <c r="M63" s="734">
        <v>9.5299999999999994</v>
      </c>
      <c r="N63" s="734">
        <v>11.13</v>
      </c>
      <c r="O63" s="734"/>
      <c r="P63" s="734">
        <v>7.14</v>
      </c>
      <c r="Q63" s="734">
        <v>12.7</v>
      </c>
      <c r="R63" s="734">
        <v>7.92</v>
      </c>
      <c r="S63" s="734">
        <v>9.5299999999999994</v>
      </c>
      <c r="T63" s="734">
        <v>12.7</v>
      </c>
      <c r="U63" s="734">
        <v>10.31</v>
      </c>
      <c r="V63" s="734">
        <v>11.91</v>
      </c>
      <c r="W63" s="734">
        <v>12.7</v>
      </c>
      <c r="X63" s="734">
        <v>14.27</v>
      </c>
      <c r="Y63" s="734">
        <v>15.09</v>
      </c>
      <c r="Z63" s="734">
        <v>15.88</v>
      </c>
      <c r="AA63" s="734">
        <v>17.48</v>
      </c>
      <c r="AB63" s="734">
        <v>19.05</v>
      </c>
      <c r="AC63" s="735">
        <v>19.05</v>
      </c>
      <c r="AD63" s="735">
        <v>19.05</v>
      </c>
      <c r="AE63" s="735">
        <v>19.05</v>
      </c>
      <c r="AF63" s="735">
        <v>19.05</v>
      </c>
      <c r="AG63" s="735">
        <v>19.05</v>
      </c>
      <c r="AH63" s="734">
        <v>22.23</v>
      </c>
      <c r="AI63" s="734">
        <v>22.23</v>
      </c>
      <c r="AJ63" s="734">
        <v>23.83</v>
      </c>
      <c r="AK63" s="734">
        <v>23.83</v>
      </c>
      <c r="AL63" s="734">
        <v>23.83</v>
      </c>
      <c r="AM63" s="734">
        <v>23.83</v>
      </c>
      <c r="AN63" s="734">
        <v>25.4</v>
      </c>
      <c r="AO63" s="734">
        <v>25.4</v>
      </c>
      <c r="AP63" s="734">
        <v>25.4</v>
      </c>
      <c r="AQ63" s="734">
        <v>25.4</v>
      </c>
      <c r="AR63" s="734">
        <v>30.18</v>
      </c>
      <c r="AS63" s="734">
        <v>31.75</v>
      </c>
      <c r="AT63" s="734">
        <v>31.75</v>
      </c>
      <c r="AU63" s="734">
        <v>31.75</v>
      </c>
      <c r="AV63" s="730">
        <v>2.97</v>
      </c>
    </row>
    <row r="64" spans="1:48" x14ac:dyDescent="0.2">
      <c r="A64" s="286">
        <f>VLOOKUP(C64,C64:$AU$83,$C$48,0)</f>
        <v>7.92</v>
      </c>
      <c r="B64" s="286">
        <f t="shared" si="1"/>
        <v>64</v>
      </c>
      <c r="C64" s="286">
        <v>14</v>
      </c>
      <c r="D64" s="290"/>
      <c r="E64" s="290"/>
      <c r="F64" s="290"/>
      <c r="G64" s="290"/>
      <c r="H64" s="290"/>
      <c r="I64" s="734"/>
      <c r="J64" s="734"/>
      <c r="K64" s="734"/>
      <c r="L64" s="734"/>
      <c r="M64" s="734">
        <v>14.02</v>
      </c>
      <c r="N64" s="734">
        <v>15.24</v>
      </c>
      <c r="O64" s="734"/>
      <c r="P64" s="734">
        <v>7.92</v>
      </c>
      <c r="Q64" s="734">
        <v>15.88</v>
      </c>
      <c r="R64" s="734">
        <v>8.74</v>
      </c>
      <c r="S64" s="734">
        <v>10.31</v>
      </c>
      <c r="T64" s="734">
        <v>14.27</v>
      </c>
      <c r="U64" s="734">
        <v>11.13</v>
      </c>
      <c r="V64" s="734">
        <v>12.7</v>
      </c>
      <c r="W64" s="734">
        <v>14.27</v>
      </c>
      <c r="X64" s="734">
        <v>15.88</v>
      </c>
      <c r="Y64" s="735">
        <v>15.88</v>
      </c>
      <c r="Z64" s="734">
        <v>17.48</v>
      </c>
      <c r="AA64" s="734">
        <v>19.05</v>
      </c>
      <c r="AB64" s="734">
        <v>20.62</v>
      </c>
      <c r="AC64" s="735">
        <v>20.62</v>
      </c>
      <c r="AD64" s="735">
        <v>20.62</v>
      </c>
      <c r="AE64" s="735">
        <v>20.62</v>
      </c>
      <c r="AF64" s="735">
        <v>20.62</v>
      </c>
      <c r="AG64" s="735">
        <v>20.62</v>
      </c>
      <c r="AH64" s="734">
        <v>23.83</v>
      </c>
      <c r="AI64" s="734">
        <v>23.83</v>
      </c>
      <c r="AJ64" s="734">
        <v>25.4</v>
      </c>
      <c r="AK64" s="734">
        <v>25.4</v>
      </c>
      <c r="AL64" s="734">
        <v>25.4</v>
      </c>
      <c r="AM64" s="734">
        <v>25.4</v>
      </c>
      <c r="AN64" s="734">
        <v>26.97</v>
      </c>
      <c r="AO64" s="734">
        <v>26.97</v>
      </c>
      <c r="AP64" s="734">
        <v>26.97</v>
      </c>
      <c r="AQ64" s="734">
        <v>26.97</v>
      </c>
      <c r="AR64" s="734">
        <v>31.75</v>
      </c>
      <c r="AS64" s="734"/>
      <c r="AT64" s="734"/>
      <c r="AU64" s="734"/>
      <c r="AV64" s="731">
        <v>3.02</v>
      </c>
    </row>
    <row r="65" spans="1:48" x14ac:dyDescent="0.2">
      <c r="A65" s="286">
        <f>VLOOKUP(C65,C65:$AU$83,$C$48,0)</f>
        <v>8.56</v>
      </c>
      <c r="B65" s="286">
        <f t="shared" si="1"/>
        <v>65</v>
      </c>
      <c r="C65" s="286">
        <v>15</v>
      </c>
      <c r="D65" s="290"/>
      <c r="E65" s="290"/>
      <c r="F65" s="290"/>
      <c r="G65" s="290"/>
      <c r="H65" s="290"/>
      <c r="I65" s="734"/>
      <c r="J65" s="734"/>
      <c r="K65" s="734"/>
      <c r="L65" s="734"/>
      <c r="M65" s="734"/>
      <c r="N65" s="734"/>
      <c r="O65" s="734"/>
      <c r="P65" s="734">
        <v>8.56</v>
      </c>
      <c r="Q65" s="734">
        <v>19.05</v>
      </c>
      <c r="R65" s="734">
        <v>9.5299999999999994</v>
      </c>
      <c r="S65" s="734">
        <v>11.13</v>
      </c>
      <c r="T65" s="734">
        <v>15.09</v>
      </c>
      <c r="U65" s="734">
        <v>12.7</v>
      </c>
      <c r="V65" s="734">
        <v>14.27</v>
      </c>
      <c r="W65" s="734">
        <v>15.88</v>
      </c>
      <c r="X65" s="734">
        <v>17.48</v>
      </c>
      <c r="Y65" s="735">
        <v>17.48</v>
      </c>
      <c r="Z65" s="734">
        <v>19.05</v>
      </c>
      <c r="AA65" s="734">
        <v>20.62</v>
      </c>
      <c r="AB65" s="734">
        <v>22.23</v>
      </c>
      <c r="AC65" s="735">
        <v>22.23</v>
      </c>
      <c r="AD65" s="735">
        <v>22.23</v>
      </c>
      <c r="AE65" s="735">
        <v>22.23</v>
      </c>
      <c r="AF65" s="735">
        <v>22.23</v>
      </c>
      <c r="AG65" s="735">
        <v>22.23</v>
      </c>
      <c r="AH65" s="734">
        <v>25.4</v>
      </c>
      <c r="AI65" s="734">
        <v>25.4</v>
      </c>
      <c r="AJ65" s="734">
        <v>26.97</v>
      </c>
      <c r="AK65" s="734">
        <v>26.97</v>
      </c>
      <c r="AL65" s="734">
        <v>26.97</v>
      </c>
      <c r="AM65" s="734">
        <v>26.97</v>
      </c>
      <c r="AN65" s="734">
        <v>28.58</v>
      </c>
      <c r="AO65" s="734">
        <v>28.58</v>
      </c>
      <c r="AP65" s="734">
        <v>28.58</v>
      </c>
      <c r="AQ65" s="734">
        <v>28.58</v>
      </c>
      <c r="AR65" s="734"/>
      <c r="AS65" s="734"/>
      <c r="AT65" s="734"/>
      <c r="AU65" s="734"/>
      <c r="AV65" s="730">
        <v>3.05</v>
      </c>
    </row>
    <row r="66" spans="1:48" x14ac:dyDescent="0.2">
      <c r="A66" s="286">
        <f>VLOOKUP(C66,C66:$AU$83,$C$48,0)</f>
        <v>11.13</v>
      </c>
      <c r="B66" s="286">
        <f t="shared" si="1"/>
        <v>66</v>
      </c>
      <c r="C66" s="286">
        <v>16</v>
      </c>
      <c r="D66" s="290"/>
      <c r="E66" s="290"/>
      <c r="F66" s="290"/>
      <c r="G66" s="290"/>
      <c r="H66" s="290"/>
      <c r="I66" s="734"/>
      <c r="J66" s="734"/>
      <c r="K66" s="734"/>
      <c r="L66" s="734"/>
      <c r="M66" s="734"/>
      <c r="N66" s="734"/>
      <c r="O66" s="734"/>
      <c r="P66" s="734">
        <v>11.13</v>
      </c>
      <c r="Q66" s="734"/>
      <c r="R66" s="734">
        <v>10.97</v>
      </c>
      <c r="S66" s="734">
        <v>12.7</v>
      </c>
      <c r="T66" s="734">
        <v>15.88</v>
      </c>
      <c r="U66" s="734">
        <v>14.27</v>
      </c>
      <c r="V66" s="734">
        <v>15.09</v>
      </c>
      <c r="W66" s="734">
        <v>16.66</v>
      </c>
      <c r="X66" s="734">
        <v>19.05</v>
      </c>
      <c r="Y66" s="735">
        <v>19.05</v>
      </c>
      <c r="Z66" s="734">
        <v>20.62</v>
      </c>
      <c r="AA66" s="734">
        <v>22.23</v>
      </c>
      <c r="AB66" s="734">
        <v>23.83</v>
      </c>
      <c r="AC66" s="735">
        <v>23.83</v>
      </c>
      <c r="AD66" s="735">
        <v>23.83</v>
      </c>
      <c r="AE66" s="735">
        <v>23.83</v>
      </c>
      <c r="AF66" s="735">
        <v>23.83</v>
      </c>
      <c r="AG66" s="735">
        <v>23.83</v>
      </c>
      <c r="AH66" s="734">
        <v>26.97</v>
      </c>
      <c r="AI66" s="734">
        <v>26.97</v>
      </c>
      <c r="AJ66" s="734">
        <v>28.58</v>
      </c>
      <c r="AK66" s="734">
        <v>28.58</v>
      </c>
      <c r="AL66" s="734">
        <v>28.58</v>
      </c>
      <c r="AM66" s="734">
        <v>28.58</v>
      </c>
      <c r="AN66" s="734">
        <v>30.18</v>
      </c>
      <c r="AO66" s="734">
        <v>30.18</v>
      </c>
      <c r="AP66" s="734">
        <v>30.18</v>
      </c>
      <c r="AQ66" s="734">
        <v>30.18</v>
      </c>
      <c r="AR66" s="734"/>
      <c r="AS66" s="734"/>
      <c r="AT66" s="734"/>
      <c r="AU66" s="734"/>
      <c r="AV66" s="731">
        <v>3.18</v>
      </c>
    </row>
    <row r="67" spans="1:48" x14ac:dyDescent="0.2">
      <c r="A67" s="286">
        <f>VLOOKUP(C67,C67:$AU$83,$C$48,0)</f>
        <v>13.49</v>
      </c>
      <c r="B67" s="286">
        <f t="shared" si="1"/>
        <v>67</v>
      </c>
      <c r="C67" s="286">
        <v>17</v>
      </c>
      <c r="D67" s="290"/>
      <c r="E67" s="290"/>
      <c r="F67" s="290"/>
      <c r="G67" s="290"/>
      <c r="H67" s="290"/>
      <c r="I67" s="734"/>
      <c r="J67" s="734"/>
      <c r="K67" s="734"/>
      <c r="L67" s="734"/>
      <c r="M67" s="734"/>
      <c r="N67" s="734"/>
      <c r="O67" s="734"/>
      <c r="P67" s="734">
        <v>13.49</v>
      </c>
      <c r="Q67" s="734"/>
      <c r="R67" s="734">
        <v>12.7</v>
      </c>
      <c r="S67" s="734">
        <v>14.27</v>
      </c>
      <c r="T67" s="734">
        <v>18.260000000000002</v>
      </c>
      <c r="U67" s="734">
        <v>15.88</v>
      </c>
      <c r="V67" s="734">
        <v>15.88</v>
      </c>
      <c r="W67" s="734">
        <v>17.48</v>
      </c>
      <c r="X67" s="734">
        <v>20.62</v>
      </c>
      <c r="Y67" s="735">
        <v>20.62</v>
      </c>
      <c r="Z67" s="734">
        <v>22.23</v>
      </c>
      <c r="AA67" s="734">
        <v>23.83</v>
      </c>
      <c r="AB67" s="734">
        <v>25.4</v>
      </c>
      <c r="AC67" s="735">
        <v>25.4</v>
      </c>
      <c r="AD67" s="735">
        <v>25.4</v>
      </c>
      <c r="AE67" s="735">
        <v>25.4</v>
      </c>
      <c r="AF67" s="735">
        <v>25.4</v>
      </c>
      <c r="AG67" s="735">
        <v>25.4</v>
      </c>
      <c r="AH67" s="734">
        <v>28.58</v>
      </c>
      <c r="AI67" s="734">
        <v>28.58</v>
      </c>
      <c r="AJ67" s="734">
        <v>30.18</v>
      </c>
      <c r="AK67" s="734">
        <v>30.18</v>
      </c>
      <c r="AL67" s="734">
        <v>30.18</v>
      </c>
      <c r="AM67" s="734">
        <v>30.18</v>
      </c>
      <c r="AN67" s="734">
        <v>31.75</v>
      </c>
      <c r="AO67" s="734">
        <v>31.75</v>
      </c>
      <c r="AP67" s="734">
        <v>31.75</v>
      </c>
      <c r="AQ67" s="734">
        <v>31.75</v>
      </c>
      <c r="AR67" s="734"/>
      <c r="AS67" s="734"/>
      <c r="AT67" s="734"/>
      <c r="AU67" s="734"/>
      <c r="AV67" s="730">
        <v>3.2</v>
      </c>
    </row>
    <row r="68" spans="1:48" x14ac:dyDescent="0.2">
      <c r="A68" s="286">
        <f>VLOOKUP(C68,C68:$AU$83,$C$48,0)</f>
        <v>17.12</v>
      </c>
      <c r="B68" s="286">
        <f t="shared" si="1"/>
        <v>68</v>
      </c>
      <c r="C68" s="286">
        <v>18</v>
      </c>
      <c r="D68" s="290"/>
      <c r="E68" s="290"/>
      <c r="F68" s="290"/>
      <c r="G68" s="290"/>
      <c r="H68" s="290"/>
      <c r="I68" s="734"/>
      <c r="J68" s="734"/>
      <c r="K68" s="734"/>
      <c r="L68" s="734"/>
      <c r="M68" s="734"/>
      <c r="N68" s="734"/>
      <c r="O68" s="734"/>
      <c r="P68" s="734">
        <v>17.12</v>
      </c>
      <c r="Q68" s="734"/>
      <c r="R68" s="734">
        <v>14.27</v>
      </c>
      <c r="S68" s="734">
        <v>15.09</v>
      </c>
      <c r="T68" s="734">
        <v>20.62</v>
      </c>
      <c r="U68" s="734">
        <v>17.48</v>
      </c>
      <c r="V68" s="734">
        <v>17.48</v>
      </c>
      <c r="W68" s="734">
        <v>19.05</v>
      </c>
      <c r="X68" s="734">
        <v>22.23</v>
      </c>
      <c r="Y68" s="735">
        <v>22.23</v>
      </c>
      <c r="Z68" s="734">
        <v>23.83</v>
      </c>
      <c r="AA68" s="734">
        <v>24.61</v>
      </c>
      <c r="AB68" s="734"/>
      <c r="AC68" s="734">
        <v>26.97</v>
      </c>
      <c r="AD68" s="734">
        <v>26.97</v>
      </c>
      <c r="AE68" s="735">
        <v>26.97</v>
      </c>
      <c r="AF68" s="735">
        <v>26.97</v>
      </c>
      <c r="AG68" s="735">
        <v>26.97</v>
      </c>
      <c r="AH68" s="734">
        <v>30.18</v>
      </c>
      <c r="AI68" s="734">
        <v>30.18</v>
      </c>
      <c r="AJ68" s="734">
        <v>31.75</v>
      </c>
      <c r="AK68" s="734">
        <v>31.75</v>
      </c>
      <c r="AL68" s="734">
        <v>31.75</v>
      </c>
      <c r="AM68" s="734">
        <v>31.75</v>
      </c>
      <c r="AN68" s="734"/>
      <c r="AO68" s="734"/>
      <c r="AP68" s="734"/>
      <c r="AQ68" s="734"/>
      <c r="AR68" s="734"/>
      <c r="AS68" s="734"/>
      <c r="AT68" s="734"/>
      <c r="AU68" s="734"/>
      <c r="AV68" s="731">
        <v>3.38</v>
      </c>
    </row>
    <row r="69" spans="1:48" x14ac:dyDescent="0.2">
      <c r="A69" s="286">
        <f>VLOOKUP(C69,C69:$AU$83,$C$48,0)</f>
        <v>0</v>
      </c>
      <c r="B69" s="286" t="str">
        <f t="shared" si="1"/>
        <v/>
      </c>
      <c r="C69" s="286">
        <v>19</v>
      </c>
      <c r="D69" s="290"/>
      <c r="E69" s="290"/>
      <c r="F69" s="290"/>
      <c r="G69" s="290"/>
      <c r="H69" s="290"/>
      <c r="I69" s="734"/>
      <c r="J69" s="734"/>
      <c r="K69" s="734"/>
      <c r="L69" s="734"/>
      <c r="M69" s="734"/>
      <c r="N69" s="734"/>
      <c r="O69" s="734"/>
      <c r="P69" s="734"/>
      <c r="Q69" s="734"/>
      <c r="R69" s="734">
        <v>15.88</v>
      </c>
      <c r="S69" s="734">
        <v>15.88</v>
      </c>
      <c r="T69" s="734">
        <v>21.44</v>
      </c>
      <c r="U69" s="734">
        <v>19.05</v>
      </c>
      <c r="V69" s="734">
        <v>19.05</v>
      </c>
      <c r="W69" s="734">
        <v>20.62</v>
      </c>
      <c r="X69" s="734">
        <v>23.83</v>
      </c>
      <c r="Y69" s="735">
        <v>23.83</v>
      </c>
      <c r="Z69" s="734">
        <v>25.4</v>
      </c>
      <c r="AA69" s="735">
        <v>25.4</v>
      </c>
      <c r="AB69" s="734"/>
      <c r="AC69" s="734"/>
      <c r="AD69" s="734">
        <v>28.58</v>
      </c>
      <c r="AE69" s="735">
        <v>28.58</v>
      </c>
      <c r="AF69" s="735">
        <v>28.58</v>
      </c>
      <c r="AG69" s="735">
        <v>28.58</v>
      </c>
      <c r="AH69" s="734">
        <v>31.75</v>
      </c>
      <c r="AI69" s="734">
        <v>31.75</v>
      </c>
      <c r="AJ69" s="734"/>
      <c r="AK69" s="734"/>
      <c r="AL69" s="734"/>
      <c r="AM69" s="734"/>
      <c r="AN69" s="734"/>
      <c r="AO69" s="734"/>
      <c r="AP69" s="734"/>
      <c r="AQ69" s="734"/>
      <c r="AR69" s="734"/>
      <c r="AS69" s="734"/>
      <c r="AT69" s="734"/>
      <c r="AU69" s="734"/>
      <c r="AV69" s="730">
        <v>3.4</v>
      </c>
    </row>
    <row r="70" spans="1:48" x14ac:dyDescent="0.2">
      <c r="A70" s="286">
        <f>VLOOKUP(C70,C70:$AU$83,$C$48,0)</f>
        <v>0</v>
      </c>
      <c r="B70" s="286" t="str">
        <f t="shared" si="1"/>
        <v/>
      </c>
      <c r="C70" s="286">
        <v>20</v>
      </c>
      <c r="D70" s="290"/>
      <c r="E70" s="290"/>
      <c r="F70" s="290"/>
      <c r="G70" s="290"/>
      <c r="H70" s="290"/>
      <c r="I70" s="734"/>
      <c r="J70" s="734"/>
      <c r="K70" s="734"/>
      <c r="L70" s="734"/>
      <c r="M70" s="734"/>
      <c r="N70" s="734"/>
      <c r="O70" s="734"/>
      <c r="P70" s="734"/>
      <c r="Q70" s="734"/>
      <c r="R70" s="734">
        <v>18.260000000000002</v>
      </c>
      <c r="S70" s="734">
        <v>18.260000000000002</v>
      </c>
      <c r="T70" s="734">
        <v>22.23</v>
      </c>
      <c r="U70" s="734">
        <v>20.62</v>
      </c>
      <c r="V70" s="734">
        <v>20.62</v>
      </c>
      <c r="W70" s="734">
        <v>21.44</v>
      </c>
      <c r="X70" s="734">
        <v>25.4</v>
      </c>
      <c r="Y70" s="735">
        <v>25.4</v>
      </c>
      <c r="Z70" s="734">
        <v>26.97</v>
      </c>
      <c r="AA70" s="735">
        <v>26.97</v>
      </c>
      <c r="AB70" s="734"/>
      <c r="AC70" s="734"/>
      <c r="AD70" s="734">
        <v>30.18</v>
      </c>
      <c r="AE70" s="735">
        <v>30.18</v>
      </c>
      <c r="AF70" s="735">
        <v>30.18</v>
      </c>
      <c r="AG70" s="735">
        <v>30.18</v>
      </c>
      <c r="AH70" s="734"/>
      <c r="AI70" s="734"/>
      <c r="AJ70" s="734"/>
      <c r="AK70" s="734"/>
      <c r="AL70" s="734"/>
      <c r="AM70" s="734"/>
      <c r="AN70" s="734"/>
      <c r="AO70" s="734"/>
      <c r="AP70" s="734"/>
      <c r="AQ70" s="734"/>
      <c r="AR70" s="734"/>
      <c r="AS70" s="734"/>
      <c r="AT70" s="734"/>
      <c r="AU70" s="734"/>
      <c r="AV70" s="731">
        <v>3.56</v>
      </c>
    </row>
    <row r="71" spans="1:48" x14ac:dyDescent="0.2">
      <c r="A71" s="286">
        <f>VLOOKUP(C71,C71:$AU$83,$C$48,0)</f>
        <v>0</v>
      </c>
      <c r="B71" s="286" t="str">
        <f t="shared" si="1"/>
        <v/>
      </c>
      <c r="C71" s="286">
        <v>21</v>
      </c>
      <c r="D71" s="290"/>
      <c r="E71" s="290"/>
      <c r="F71" s="290"/>
      <c r="G71" s="290"/>
      <c r="H71" s="290"/>
      <c r="I71" s="734"/>
      <c r="J71" s="734"/>
      <c r="K71" s="734"/>
      <c r="L71" s="734"/>
      <c r="M71" s="734"/>
      <c r="N71" s="734"/>
      <c r="O71" s="734"/>
      <c r="P71" s="734"/>
      <c r="Q71" s="734"/>
      <c r="R71" s="734">
        <v>19.05</v>
      </c>
      <c r="S71" s="734">
        <v>19.05</v>
      </c>
      <c r="T71" s="734">
        <v>23.83</v>
      </c>
      <c r="U71" s="734">
        <v>21.44</v>
      </c>
      <c r="V71" s="734">
        <v>22.23</v>
      </c>
      <c r="W71" s="735">
        <v>22.23</v>
      </c>
      <c r="X71" s="734">
        <v>26.97</v>
      </c>
      <c r="Y71" s="734">
        <v>26.19</v>
      </c>
      <c r="Z71" s="734">
        <v>28.58</v>
      </c>
      <c r="AA71" s="735">
        <v>28.58</v>
      </c>
      <c r="AB71" s="734"/>
      <c r="AC71" s="734"/>
      <c r="AD71" s="734">
        <v>31.75</v>
      </c>
      <c r="AE71" s="735">
        <v>31.75</v>
      </c>
      <c r="AF71" s="735">
        <v>31.75</v>
      </c>
      <c r="AG71" s="735">
        <v>31.75</v>
      </c>
      <c r="AH71" s="734"/>
      <c r="AI71" s="734"/>
      <c r="AJ71" s="734"/>
      <c r="AK71" s="734"/>
      <c r="AL71" s="734"/>
      <c r="AM71" s="734"/>
      <c r="AN71" s="734"/>
      <c r="AO71" s="734"/>
      <c r="AP71" s="734"/>
      <c r="AQ71" s="734"/>
      <c r="AR71" s="734"/>
      <c r="AS71" s="734"/>
      <c r="AT71" s="734"/>
      <c r="AU71" s="734"/>
      <c r="AV71" s="730">
        <v>3.58</v>
      </c>
    </row>
    <row r="72" spans="1:48" x14ac:dyDescent="0.2">
      <c r="A72" s="286">
        <f>VLOOKUP(C72,C72:$AU$83,$C$48,0)</f>
        <v>0</v>
      </c>
      <c r="B72" s="286" t="str">
        <f t="shared" si="1"/>
        <v/>
      </c>
      <c r="C72" s="286">
        <v>22</v>
      </c>
      <c r="D72" s="290"/>
      <c r="E72" s="290"/>
      <c r="F72" s="290"/>
      <c r="G72" s="290"/>
      <c r="H72" s="290"/>
      <c r="I72" s="734"/>
      <c r="J72" s="734"/>
      <c r="K72" s="734"/>
      <c r="L72" s="734"/>
      <c r="M72" s="734"/>
      <c r="N72" s="734"/>
      <c r="O72" s="734"/>
      <c r="P72" s="734"/>
      <c r="Q72" s="734"/>
      <c r="R72" s="734">
        <v>21.95</v>
      </c>
      <c r="S72" s="734">
        <v>20.62</v>
      </c>
      <c r="T72" s="734">
        <v>25.4</v>
      </c>
      <c r="U72" s="734">
        <v>22.23</v>
      </c>
      <c r="V72" s="734">
        <v>23.83</v>
      </c>
      <c r="W72" s="734">
        <v>23.83</v>
      </c>
      <c r="X72" s="734">
        <v>28.58</v>
      </c>
      <c r="Y72" s="734">
        <v>26.97</v>
      </c>
      <c r="Z72" s="734">
        <v>30.18</v>
      </c>
      <c r="AA72" s="735">
        <v>30.18</v>
      </c>
      <c r="AB72" s="734"/>
      <c r="AC72" s="734"/>
      <c r="AD72" s="734"/>
      <c r="AE72" s="734"/>
      <c r="AF72" s="734"/>
      <c r="AG72" s="734"/>
      <c r="AH72" s="734"/>
      <c r="AI72" s="734"/>
      <c r="AJ72" s="734"/>
      <c r="AK72" s="734"/>
      <c r="AL72" s="734"/>
      <c r="AM72" s="734"/>
      <c r="AN72" s="734"/>
      <c r="AO72" s="734"/>
      <c r="AP72" s="734"/>
      <c r="AQ72" s="734"/>
      <c r="AR72" s="734"/>
      <c r="AS72" s="734"/>
      <c r="AT72" s="734"/>
      <c r="AU72" s="734"/>
      <c r="AV72" s="731">
        <v>3.68</v>
      </c>
    </row>
    <row r="73" spans="1:48" x14ac:dyDescent="0.2">
      <c r="A73" s="286">
        <f>VLOOKUP(C73,C73:$AU$83,$C$48,0)</f>
        <v>0</v>
      </c>
      <c r="B73" s="286" t="str">
        <f t="shared" si="1"/>
        <v/>
      </c>
      <c r="C73" s="286">
        <v>23</v>
      </c>
      <c r="D73" s="290"/>
      <c r="E73" s="290"/>
      <c r="F73" s="290"/>
      <c r="G73" s="290"/>
      <c r="H73" s="290"/>
      <c r="I73" s="734"/>
      <c r="J73" s="734"/>
      <c r="K73" s="734"/>
      <c r="L73" s="734"/>
      <c r="M73" s="734"/>
      <c r="N73" s="734"/>
      <c r="O73" s="734"/>
      <c r="P73" s="734"/>
      <c r="Q73" s="734"/>
      <c r="R73" s="734">
        <v>22.22</v>
      </c>
      <c r="S73" s="735">
        <v>22.23</v>
      </c>
      <c r="T73" s="734">
        <v>28.58</v>
      </c>
      <c r="U73" s="734">
        <v>23.83</v>
      </c>
      <c r="V73" s="734">
        <v>25.4</v>
      </c>
      <c r="W73" s="734">
        <v>25.4</v>
      </c>
      <c r="X73" s="734">
        <v>29.36</v>
      </c>
      <c r="Y73" s="734">
        <v>28.58</v>
      </c>
      <c r="Z73" s="734">
        <v>31.75</v>
      </c>
      <c r="AA73" s="734">
        <v>30.96</v>
      </c>
      <c r="AB73" s="734"/>
      <c r="AC73" s="734"/>
      <c r="AD73" s="734"/>
      <c r="AE73" s="734"/>
      <c r="AF73" s="734"/>
      <c r="AG73" s="734"/>
      <c r="AH73" s="734"/>
      <c r="AI73" s="734"/>
      <c r="AJ73" s="734"/>
      <c r="AK73" s="734"/>
      <c r="AL73" s="734"/>
      <c r="AM73" s="734"/>
      <c r="AN73" s="734"/>
      <c r="AO73" s="734"/>
      <c r="AP73" s="734"/>
      <c r="AQ73" s="734"/>
      <c r="AR73" s="734"/>
      <c r="AS73" s="734"/>
      <c r="AT73" s="734"/>
      <c r="AU73" s="734"/>
      <c r="AV73" s="730">
        <v>3.73</v>
      </c>
    </row>
    <row r="74" spans="1:48" x14ac:dyDescent="0.2">
      <c r="A74" s="286">
        <f>VLOOKUP(C74,C74:$AU$83,$C$48,0)</f>
        <v>0</v>
      </c>
      <c r="B74" s="286" t="str">
        <f t="shared" si="1"/>
        <v/>
      </c>
      <c r="C74" s="286">
        <v>24</v>
      </c>
      <c r="D74" s="290"/>
      <c r="E74" s="290"/>
      <c r="F74" s="290"/>
      <c r="G74" s="290"/>
      <c r="H74" s="290"/>
      <c r="I74" s="734"/>
      <c r="J74" s="734"/>
      <c r="K74" s="734"/>
      <c r="L74" s="734"/>
      <c r="M74" s="734"/>
      <c r="N74" s="734"/>
      <c r="O74" s="734"/>
      <c r="P74" s="734"/>
      <c r="Q74" s="734"/>
      <c r="R74" s="734"/>
      <c r="S74" s="734">
        <v>23.01</v>
      </c>
      <c r="T74" s="734">
        <v>31.75</v>
      </c>
      <c r="U74" s="734">
        <v>25.4</v>
      </c>
      <c r="V74" s="734">
        <v>26.97</v>
      </c>
      <c r="W74" s="734">
        <v>26.19</v>
      </c>
      <c r="X74" s="734">
        <v>30.18</v>
      </c>
      <c r="Y74" s="734">
        <v>30.18</v>
      </c>
      <c r="Z74" s="734">
        <v>33.92</v>
      </c>
      <c r="AA74" s="734">
        <v>31.75</v>
      </c>
      <c r="AB74" s="734"/>
      <c r="AC74" s="734"/>
      <c r="AD74" s="734"/>
      <c r="AE74" s="734"/>
      <c r="AF74" s="734"/>
      <c r="AG74" s="734"/>
      <c r="AH74" s="734"/>
      <c r="AI74" s="734"/>
      <c r="AJ74" s="734"/>
      <c r="AK74" s="734"/>
      <c r="AL74" s="734"/>
      <c r="AM74" s="734"/>
      <c r="AN74" s="734"/>
      <c r="AO74" s="734"/>
      <c r="AP74" s="734"/>
      <c r="AQ74" s="734"/>
      <c r="AR74" s="734"/>
      <c r="AS74" s="734"/>
      <c r="AT74" s="734"/>
      <c r="AU74" s="734"/>
      <c r="AV74" s="731">
        <v>3.76</v>
      </c>
    </row>
    <row r="75" spans="1:48" x14ac:dyDescent="0.2">
      <c r="A75" s="286">
        <f>VLOOKUP(C75,C75:$AU$83,$C$48,0)</f>
        <v>0</v>
      </c>
      <c r="B75" s="286" t="str">
        <f t="shared" si="1"/>
        <v/>
      </c>
      <c r="C75" s="286">
        <v>25</v>
      </c>
      <c r="D75" s="290"/>
      <c r="E75" s="290"/>
      <c r="F75" s="290"/>
      <c r="G75" s="290"/>
      <c r="H75" s="290"/>
      <c r="I75" s="734"/>
      <c r="J75" s="734"/>
      <c r="K75" s="734"/>
      <c r="L75" s="734"/>
      <c r="M75" s="734"/>
      <c r="N75" s="734"/>
      <c r="O75" s="734"/>
      <c r="P75" s="734"/>
      <c r="Q75" s="734"/>
      <c r="R75" s="734"/>
      <c r="S75" s="734">
        <v>25.4</v>
      </c>
      <c r="T75" s="734">
        <v>34.92</v>
      </c>
      <c r="U75" s="734">
        <v>26.97</v>
      </c>
      <c r="V75" s="734">
        <v>27.79</v>
      </c>
      <c r="W75" s="734">
        <v>26.97</v>
      </c>
      <c r="X75" s="734">
        <v>31.75</v>
      </c>
      <c r="Y75" s="734">
        <v>31.75</v>
      </c>
      <c r="Z75" s="734">
        <v>34.93</v>
      </c>
      <c r="AA75" s="734">
        <v>33.32</v>
      </c>
      <c r="AB75" s="734"/>
      <c r="AC75" s="734"/>
      <c r="AD75" s="734"/>
      <c r="AE75" s="734"/>
      <c r="AF75" s="734"/>
      <c r="AG75" s="734"/>
      <c r="AH75" s="734"/>
      <c r="AI75" s="734"/>
      <c r="AJ75" s="734"/>
      <c r="AK75" s="734"/>
      <c r="AL75" s="734"/>
      <c r="AM75" s="734"/>
      <c r="AN75" s="734"/>
      <c r="AO75" s="734"/>
      <c r="AP75" s="734"/>
      <c r="AQ75" s="734"/>
      <c r="AR75" s="734"/>
      <c r="AS75" s="734"/>
      <c r="AT75" s="734"/>
      <c r="AU75" s="734"/>
      <c r="AV75" s="730">
        <v>3.91</v>
      </c>
    </row>
    <row r="76" spans="1:48" x14ac:dyDescent="0.2">
      <c r="A76" s="286">
        <f>VLOOKUP(C76,C76:$AU$83,$C$48,0)</f>
        <v>0</v>
      </c>
      <c r="B76" s="286" t="str">
        <f t="shared" si="1"/>
        <v/>
      </c>
      <c r="C76" s="286">
        <v>26</v>
      </c>
      <c r="D76" s="290"/>
      <c r="E76" s="290"/>
      <c r="F76" s="290"/>
      <c r="G76" s="290"/>
      <c r="H76" s="290"/>
      <c r="I76" s="734"/>
      <c r="J76" s="734"/>
      <c r="K76" s="734"/>
      <c r="L76" s="734"/>
      <c r="M76" s="734"/>
      <c r="N76" s="734"/>
      <c r="O76" s="734"/>
      <c r="P76" s="734"/>
      <c r="Q76" s="734"/>
      <c r="R76" s="734"/>
      <c r="S76" s="734">
        <v>25.58</v>
      </c>
      <c r="T76" s="734">
        <v>36.53</v>
      </c>
      <c r="U76" s="734">
        <v>28.58</v>
      </c>
      <c r="V76" s="734">
        <v>28.58</v>
      </c>
      <c r="W76" s="734">
        <v>28.58</v>
      </c>
      <c r="X76" s="734">
        <v>34.93</v>
      </c>
      <c r="Y76" s="734">
        <v>32.54</v>
      </c>
      <c r="Z76" s="734">
        <v>36.53</v>
      </c>
      <c r="AA76" s="734">
        <v>34.93</v>
      </c>
      <c r="AB76" s="734"/>
      <c r="AC76" s="734"/>
      <c r="AD76" s="734"/>
      <c r="AE76" s="734"/>
      <c r="AF76" s="734"/>
      <c r="AG76" s="734"/>
      <c r="AH76" s="734"/>
      <c r="AI76" s="734"/>
      <c r="AJ76" s="734"/>
      <c r="AK76" s="734"/>
      <c r="AL76" s="734"/>
      <c r="AM76" s="734"/>
      <c r="AN76" s="734"/>
      <c r="AO76" s="734"/>
      <c r="AP76" s="734"/>
      <c r="AQ76" s="734"/>
      <c r="AR76" s="734"/>
      <c r="AS76" s="734"/>
      <c r="AT76" s="734"/>
      <c r="AU76" s="734"/>
      <c r="AV76" s="731">
        <v>3.96</v>
      </c>
    </row>
    <row r="77" spans="1:48" x14ac:dyDescent="0.2">
      <c r="A77" s="286">
        <f>VLOOKUP(C77,C77:$AU$83,$C$48,0)</f>
        <v>0</v>
      </c>
      <c r="B77" s="286" t="str">
        <f t="shared" si="1"/>
        <v/>
      </c>
      <c r="C77" s="286">
        <v>27</v>
      </c>
      <c r="D77" s="290"/>
      <c r="E77" s="290"/>
      <c r="F77" s="290"/>
      <c r="G77" s="290"/>
      <c r="H77" s="290"/>
      <c r="I77" s="734"/>
      <c r="J77" s="734"/>
      <c r="K77" s="734"/>
      <c r="L77" s="734"/>
      <c r="M77" s="734"/>
      <c r="N77" s="734"/>
      <c r="O77" s="734"/>
      <c r="P77" s="734"/>
      <c r="Q77" s="734"/>
      <c r="R77" s="734"/>
      <c r="S77" s="734"/>
      <c r="T77" s="734"/>
      <c r="U77" s="734">
        <v>31.75</v>
      </c>
      <c r="V77" s="734">
        <v>31.75</v>
      </c>
      <c r="W77" s="734">
        <v>30.18</v>
      </c>
      <c r="X77" s="734">
        <v>39.67</v>
      </c>
      <c r="Y77" s="734">
        <v>33.32</v>
      </c>
      <c r="Z77" s="734">
        <v>38.1</v>
      </c>
      <c r="AA77" s="734">
        <v>36.53</v>
      </c>
      <c r="AB77" s="734"/>
      <c r="AC77" s="734"/>
      <c r="AD77" s="734"/>
      <c r="AE77" s="734"/>
      <c r="AF77" s="734"/>
      <c r="AG77" s="734"/>
      <c r="AH77" s="734"/>
      <c r="AI77" s="734"/>
      <c r="AJ77" s="734"/>
      <c r="AK77" s="734"/>
      <c r="AL77" s="734"/>
      <c r="AM77" s="734"/>
      <c r="AN77" s="734"/>
      <c r="AO77" s="734"/>
      <c r="AP77" s="734"/>
      <c r="AQ77" s="734"/>
      <c r="AR77" s="734"/>
      <c r="AS77" s="734"/>
      <c r="AT77" s="734"/>
      <c r="AU77" s="734"/>
      <c r="AV77" s="730">
        <v>4.1900000000000004</v>
      </c>
    </row>
    <row r="78" spans="1:48" x14ac:dyDescent="0.2">
      <c r="A78" s="286">
        <f>VLOOKUP(C78,C78:$AU$83,$C$48,0)</f>
        <v>0</v>
      </c>
      <c r="B78" s="286" t="str">
        <f t="shared" si="1"/>
        <v/>
      </c>
      <c r="C78" s="286">
        <v>28</v>
      </c>
      <c r="D78" s="290"/>
      <c r="E78" s="290"/>
      <c r="F78" s="290"/>
      <c r="G78" s="290"/>
      <c r="H78" s="290"/>
      <c r="I78" s="734"/>
      <c r="J78" s="734"/>
      <c r="K78" s="734"/>
      <c r="L78" s="734"/>
      <c r="M78" s="734"/>
      <c r="N78" s="734"/>
      <c r="O78" s="734"/>
      <c r="P78" s="734"/>
      <c r="Q78" s="734"/>
      <c r="R78" s="734"/>
      <c r="S78" s="734"/>
      <c r="T78" s="734"/>
      <c r="U78" s="734">
        <v>33.32</v>
      </c>
      <c r="V78" s="734">
        <v>35.71</v>
      </c>
      <c r="W78" s="734">
        <v>30.96</v>
      </c>
      <c r="X78" s="734">
        <v>45.24</v>
      </c>
      <c r="Y78" s="734">
        <v>34.93</v>
      </c>
      <c r="Z78" s="734">
        <v>41.28</v>
      </c>
      <c r="AA78" s="734">
        <v>38.1</v>
      </c>
      <c r="AB78" s="734"/>
      <c r="AC78" s="734"/>
      <c r="AD78" s="734"/>
      <c r="AE78" s="734"/>
      <c r="AF78" s="734"/>
      <c r="AG78" s="734"/>
      <c r="AH78" s="734"/>
      <c r="AI78" s="734"/>
      <c r="AJ78" s="734"/>
      <c r="AK78" s="734"/>
      <c r="AL78" s="734"/>
      <c r="AM78" s="734"/>
      <c r="AN78" s="734"/>
      <c r="AO78" s="734"/>
      <c r="AP78" s="734"/>
      <c r="AQ78" s="734"/>
      <c r="AR78" s="734"/>
      <c r="AS78" s="734"/>
      <c r="AT78" s="734"/>
      <c r="AU78" s="734"/>
      <c r="AV78" s="731">
        <v>4.37</v>
      </c>
    </row>
    <row r="79" spans="1:48" x14ac:dyDescent="0.2">
      <c r="A79" s="286">
        <f>VLOOKUP(C79,C79:$AU$83,$C$48,0)</f>
        <v>0</v>
      </c>
      <c r="B79" s="286" t="str">
        <f t="shared" si="1"/>
        <v/>
      </c>
      <c r="C79" s="286">
        <v>29</v>
      </c>
      <c r="D79" s="290"/>
      <c r="E79" s="290"/>
      <c r="F79" s="290"/>
      <c r="G79" s="290"/>
      <c r="H79" s="290"/>
      <c r="I79" s="734"/>
      <c r="J79" s="734"/>
      <c r="K79" s="734"/>
      <c r="L79" s="734"/>
      <c r="M79" s="734"/>
      <c r="N79" s="734"/>
      <c r="O79" s="734"/>
      <c r="P79" s="734"/>
      <c r="Q79" s="734"/>
      <c r="R79" s="734"/>
      <c r="S79" s="734"/>
      <c r="T79" s="734"/>
      <c r="U79" s="734">
        <v>34.92</v>
      </c>
      <c r="V79" s="734">
        <v>50.8</v>
      </c>
      <c r="W79" s="734">
        <v>31.73</v>
      </c>
      <c r="X79" s="734"/>
      <c r="Y79" s="734">
        <v>38.1</v>
      </c>
      <c r="Z79" s="734">
        <v>47.62</v>
      </c>
      <c r="AA79" s="734">
        <v>38.89</v>
      </c>
      <c r="AB79" s="734"/>
      <c r="AC79" s="734"/>
      <c r="AD79" s="734"/>
      <c r="AE79" s="734"/>
      <c r="AF79" s="734"/>
      <c r="AG79" s="734"/>
      <c r="AH79" s="734"/>
      <c r="AI79" s="734"/>
      <c r="AJ79" s="734"/>
      <c r="AK79" s="734"/>
      <c r="AL79" s="734"/>
      <c r="AM79" s="734"/>
      <c r="AN79" s="734"/>
      <c r="AO79" s="734"/>
      <c r="AP79" s="734"/>
      <c r="AQ79" s="734"/>
      <c r="AR79" s="734"/>
      <c r="AS79" s="734"/>
      <c r="AT79" s="734"/>
      <c r="AU79" s="734"/>
      <c r="AV79" s="730">
        <v>4.55</v>
      </c>
    </row>
    <row r="80" spans="1:48" x14ac:dyDescent="0.2">
      <c r="A80" s="286">
        <f>VLOOKUP(C80,C80:$AU$83,$C$48,0)</f>
        <v>0</v>
      </c>
      <c r="B80" s="286" t="str">
        <f t="shared" si="1"/>
        <v/>
      </c>
      <c r="C80" s="286">
        <v>30</v>
      </c>
      <c r="D80" s="290"/>
      <c r="E80" s="290"/>
      <c r="F80" s="290"/>
      <c r="G80" s="290"/>
      <c r="H80" s="290"/>
      <c r="I80" s="734"/>
      <c r="J80" s="734"/>
      <c r="K80" s="734"/>
      <c r="L80" s="734"/>
      <c r="M80" s="734"/>
      <c r="N80" s="734"/>
      <c r="O80" s="734"/>
      <c r="P80" s="734"/>
      <c r="Q80" s="734"/>
      <c r="R80" s="734"/>
      <c r="S80" s="734"/>
      <c r="T80" s="734"/>
      <c r="U80" s="734">
        <v>38.1</v>
      </c>
      <c r="V80" s="734">
        <v>53.98</v>
      </c>
      <c r="W80" s="734">
        <v>36.53</v>
      </c>
      <c r="X80" s="734"/>
      <c r="Y80" s="734">
        <v>44.45</v>
      </c>
      <c r="Z80" s="734">
        <v>53.98</v>
      </c>
      <c r="AA80" s="734">
        <v>39.67</v>
      </c>
      <c r="AB80" s="734"/>
      <c r="AC80" s="734"/>
      <c r="AD80" s="734"/>
      <c r="AE80" s="734"/>
      <c r="AF80" s="734"/>
      <c r="AG80" s="734"/>
      <c r="AH80" s="734"/>
      <c r="AI80" s="734"/>
      <c r="AJ80" s="734"/>
      <c r="AK80" s="734"/>
      <c r="AL80" s="734"/>
      <c r="AM80" s="734"/>
      <c r="AN80" s="734"/>
      <c r="AO80" s="734"/>
      <c r="AP80" s="734"/>
      <c r="AQ80" s="734"/>
      <c r="AR80" s="734"/>
      <c r="AS80" s="734"/>
      <c r="AT80" s="734"/>
      <c r="AU80" s="734"/>
      <c r="AV80" s="731">
        <v>4.57</v>
      </c>
    </row>
    <row r="81" spans="1:48" x14ac:dyDescent="0.2">
      <c r="A81" s="286">
        <f>VLOOKUP(C81,C81:$AU$83,$C$48,0)</f>
        <v>0</v>
      </c>
      <c r="B81" s="286" t="str">
        <f t="shared" si="1"/>
        <v/>
      </c>
      <c r="C81" s="286">
        <v>31</v>
      </c>
      <c r="D81" s="290"/>
      <c r="E81" s="290"/>
      <c r="F81" s="290"/>
      <c r="G81" s="290"/>
      <c r="H81" s="290"/>
      <c r="I81" s="734"/>
      <c r="J81" s="734"/>
      <c r="K81" s="734"/>
      <c r="L81" s="734"/>
      <c r="M81" s="734"/>
      <c r="N81" s="734"/>
      <c r="O81" s="734"/>
      <c r="P81" s="734"/>
      <c r="Q81" s="734"/>
      <c r="R81" s="734"/>
      <c r="S81" s="734"/>
      <c r="T81" s="734"/>
      <c r="U81" s="734"/>
      <c r="V81" s="734">
        <v>55.88</v>
      </c>
      <c r="W81" s="734">
        <v>40.49</v>
      </c>
      <c r="X81" s="734"/>
      <c r="Y81" s="734">
        <v>50.01</v>
      </c>
      <c r="Z81" s="734"/>
      <c r="AA81" s="734">
        <v>46.02</v>
      </c>
      <c r="AB81" s="734"/>
      <c r="AC81" s="734"/>
      <c r="AD81" s="734"/>
      <c r="AE81" s="734"/>
      <c r="AF81" s="734"/>
      <c r="AG81" s="734"/>
      <c r="AH81" s="734"/>
      <c r="AI81" s="734"/>
      <c r="AJ81" s="734"/>
      <c r="AK81" s="734"/>
      <c r="AL81" s="734"/>
      <c r="AM81" s="734"/>
      <c r="AN81" s="734"/>
      <c r="AO81" s="734"/>
      <c r="AP81" s="734"/>
      <c r="AQ81" s="734"/>
      <c r="AR81" s="734"/>
      <c r="AS81" s="734"/>
      <c r="AT81" s="734"/>
      <c r="AU81" s="734"/>
      <c r="AV81" s="730">
        <v>4.78</v>
      </c>
    </row>
    <row r="82" spans="1:48" x14ac:dyDescent="0.2">
      <c r="A82" s="286">
        <f>VLOOKUP(C82,C82:$AU$83,$C$48,0)</f>
        <v>0</v>
      </c>
      <c r="B82" s="286" t="str">
        <f t="shared" si="1"/>
        <v/>
      </c>
      <c r="C82" s="286">
        <v>32</v>
      </c>
      <c r="D82" s="290"/>
      <c r="E82" s="290"/>
      <c r="F82" s="290"/>
      <c r="G82" s="290"/>
      <c r="H82" s="290"/>
      <c r="I82" s="734"/>
      <c r="J82" s="734"/>
      <c r="K82" s="734"/>
      <c r="L82" s="734"/>
      <c r="M82" s="734"/>
      <c r="N82" s="734"/>
      <c r="O82" s="734"/>
      <c r="P82" s="734"/>
      <c r="Q82" s="734"/>
      <c r="R82" s="734"/>
      <c r="S82" s="734"/>
      <c r="T82" s="734"/>
      <c r="U82" s="734"/>
      <c r="V82" s="734">
        <v>63.5</v>
      </c>
      <c r="W82" s="734">
        <v>44.45</v>
      </c>
      <c r="X82" s="734"/>
      <c r="Y82" s="734"/>
      <c r="Z82" s="734"/>
      <c r="AA82" s="734">
        <v>52.37</v>
      </c>
      <c r="AB82" s="734"/>
      <c r="AC82" s="734"/>
      <c r="AD82" s="734"/>
      <c r="AE82" s="734"/>
      <c r="AF82" s="734"/>
      <c r="AG82" s="734"/>
      <c r="AH82" s="734"/>
      <c r="AI82" s="734"/>
      <c r="AJ82" s="734"/>
      <c r="AK82" s="734"/>
      <c r="AL82" s="734"/>
      <c r="AM82" s="734"/>
      <c r="AN82" s="734"/>
      <c r="AO82" s="734"/>
      <c r="AP82" s="734"/>
      <c r="AQ82" s="734"/>
      <c r="AR82" s="734"/>
      <c r="AS82" s="734"/>
      <c r="AT82" s="734"/>
      <c r="AU82" s="734"/>
      <c r="AV82" s="731">
        <v>4.8499999999999996</v>
      </c>
    </row>
    <row r="83" spans="1:48" x14ac:dyDescent="0.2">
      <c r="A83" s="286">
        <f>VLOOKUP(C83,C83:$AU$83,$C$48,0)</f>
        <v>0</v>
      </c>
      <c r="B83" s="286" t="str">
        <f t="shared" si="1"/>
        <v/>
      </c>
      <c r="C83" s="286">
        <v>33</v>
      </c>
      <c r="D83" s="290"/>
      <c r="E83" s="290"/>
      <c r="F83" s="290"/>
      <c r="G83" s="290"/>
      <c r="H83" s="290"/>
      <c r="I83" s="734"/>
      <c r="J83" s="734"/>
      <c r="K83" s="734"/>
      <c r="L83" s="734"/>
      <c r="M83" s="734"/>
      <c r="N83" s="734"/>
      <c r="O83" s="734"/>
      <c r="P83" s="734"/>
      <c r="Q83" s="734"/>
      <c r="R83" s="734"/>
      <c r="S83" s="734"/>
      <c r="T83" s="734"/>
      <c r="U83" s="734"/>
      <c r="V83" s="734"/>
      <c r="W83" s="734"/>
      <c r="X83" s="734"/>
      <c r="Y83" s="734"/>
      <c r="Z83" s="734"/>
      <c r="AA83" s="734">
        <v>59.54</v>
      </c>
      <c r="AB83" s="734"/>
      <c r="AC83" s="734"/>
      <c r="AD83" s="734"/>
      <c r="AE83" s="734"/>
      <c r="AF83" s="734"/>
      <c r="AG83" s="734"/>
      <c r="AH83" s="734"/>
      <c r="AI83" s="734"/>
      <c r="AJ83" s="734"/>
      <c r="AK83" s="734"/>
      <c r="AL83" s="734"/>
      <c r="AM83" s="734"/>
      <c r="AN83" s="734"/>
      <c r="AO83" s="734"/>
      <c r="AP83" s="734"/>
      <c r="AQ83" s="734"/>
      <c r="AR83" s="734"/>
      <c r="AS83" s="734"/>
      <c r="AT83" s="734"/>
      <c r="AU83" s="734"/>
      <c r="AV83" s="730">
        <v>5.08</v>
      </c>
    </row>
    <row r="84" spans="1:48" x14ac:dyDescent="0.2">
      <c r="AV84" s="731">
        <v>5.16</v>
      </c>
    </row>
    <row r="85" spans="1:48" x14ac:dyDescent="0.2">
      <c r="AV85" s="730">
        <v>5.33</v>
      </c>
    </row>
    <row r="86" spans="1:48" x14ac:dyDescent="0.2">
      <c r="AV86" s="731">
        <v>5.49</v>
      </c>
    </row>
    <row r="87" spans="1:48" x14ac:dyDescent="0.2">
      <c r="AV87" s="730">
        <v>5.54</v>
      </c>
    </row>
    <row r="88" spans="1:48" x14ac:dyDescent="0.2">
      <c r="AV88" s="731">
        <v>5.56</v>
      </c>
    </row>
    <row r="89" spans="1:48" x14ac:dyDescent="0.2">
      <c r="AV89" s="730">
        <v>5.74</v>
      </c>
    </row>
    <row r="90" spans="1:48" x14ac:dyDescent="0.2">
      <c r="AV90" s="731">
        <v>6.02</v>
      </c>
    </row>
    <row r="91" spans="1:48" x14ac:dyDescent="0.2">
      <c r="AV91" s="730">
        <v>6.35</v>
      </c>
    </row>
    <row r="92" spans="1:48" x14ac:dyDescent="0.2">
      <c r="AV92" s="731">
        <v>6.55</v>
      </c>
    </row>
    <row r="93" spans="1:48" x14ac:dyDescent="0.2">
      <c r="AV93" s="730">
        <v>7.01</v>
      </c>
    </row>
    <row r="94" spans="1:48" x14ac:dyDescent="0.2">
      <c r="AV94" s="731">
        <v>7.04</v>
      </c>
    </row>
    <row r="95" spans="1:48" x14ac:dyDescent="0.2">
      <c r="AV95" s="730">
        <v>7.09</v>
      </c>
    </row>
    <row r="96" spans="1:48" x14ac:dyDescent="0.2">
      <c r="AV96" s="731">
        <v>7.11</v>
      </c>
    </row>
    <row r="97" spans="48:48" x14ac:dyDescent="0.2">
      <c r="AV97" s="730">
        <v>7.14</v>
      </c>
    </row>
    <row r="98" spans="48:48" x14ac:dyDescent="0.2">
      <c r="AV98" s="731">
        <v>7.47</v>
      </c>
    </row>
    <row r="99" spans="48:48" x14ac:dyDescent="0.2">
      <c r="AV99" s="730">
        <v>7.62</v>
      </c>
    </row>
    <row r="100" spans="48:48" x14ac:dyDescent="0.2">
      <c r="AV100" s="731">
        <v>7.8</v>
      </c>
    </row>
    <row r="101" spans="48:48" x14ac:dyDescent="0.2">
      <c r="AV101" s="730">
        <v>7.82</v>
      </c>
    </row>
    <row r="102" spans="48:48" x14ac:dyDescent="0.2">
      <c r="AV102" s="731">
        <v>7.92</v>
      </c>
    </row>
    <row r="103" spans="48:48" x14ac:dyDescent="0.2">
      <c r="AV103" s="730">
        <v>8.08</v>
      </c>
    </row>
    <row r="104" spans="48:48" x14ac:dyDescent="0.2">
      <c r="AV104" s="731">
        <v>8.18</v>
      </c>
    </row>
    <row r="105" spans="48:48" x14ac:dyDescent="0.2">
      <c r="AV105" s="730">
        <v>8.3800000000000008</v>
      </c>
    </row>
    <row r="106" spans="48:48" x14ac:dyDescent="0.2">
      <c r="AV106" s="731">
        <v>8.56</v>
      </c>
    </row>
    <row r="107" spans="48:48" x14ac:dyDescent="0.2">
      <c r="AV107" s="730">
        <v>8.74</v>
      </c>
    </row>
    <row r="108" spans="48:48" x14ac:dyDescent="0.2">
      <c r="AV108" s="731">
        <v>9.09</v>
      </c>
    </row>
    <row r="109" spans="48:48" x14ac:dyDescent="0.2">
      <c r="AV109" s="730">
        <v>9.27</v>
      </c>
    </row>
    <row r="110" spans="48:48" x14ac:dyDescent="0.2">
      <c r="AV110" s="731">
        <v>9.5299999999999994</v>
      </c>
    </row>
    <row r="111" spans="48:48" x14ac:dyDescent="0.2">
      <c r="AV111" s="730">
        <v>9.6999999999999993</v>
      </c>
    </row>
    <row r="112" spans="48:48" x14ac:dyDescent="0.2">
      <c r="AV112" s="731">
        <v>10.15</v>
      </c>
    </row>
    <row r="113" spans="48:48" x14ac:dyDescent="0.2">
      <c r="AV113" s="730">
        <v>10.31</v>
      </c>
    </row>
    <row r="114" spans="48:48" x14ac:dyDescent="0.2">
      <c r="AV114" s="731">
        <v>10.97</v>
      </c>
    </row>
    <row r="115" spans="48:48" x14ac:dyDescent="0.2">
      <c r="AV115" s="730">
        <v>11.07</v>
      </c>
    </row>
    <row r="116" spans="48:48" x14ac:dyDescent="0.2">
      <c r="AV116" s="731">
        <v>11.13</v>
      </c>
    </row>
    <row r="117" spans="48:48" x14ac:dyDescent="0.2">
      <c r="AV117" s="730">
        <v>11.91</v>
      </c>
    </row>
    <row r="118" spans="48:48" x14ac:dyDescent="0.2">
      <c r="AV118" s="731">
        <v>12.7</v>
      </c>
    </row>
    <row r="119" spans="48:48" x14ac:dyDescent="0.2">
      <c r="AV119" s="730">
        <v>13.49</v>
      </c>
    </row>
    <row r="120" spans="48:48" x14ac:dyDescent="0.2">
      <c r="AV120" s="731">
        <v>14.02</v>
      </c>
    </row>
    <row r="121" spans="48:48" x14ac:dyDescent="0.2">
      <c r="AV121" s="730">
        <v>14.27</v>
      </c>
    </row>
    <row r="122" spans="48:48" x14ac:dyDescent="0.2">
      <c r="AV122" s="731">
        <v>15.09</v>
      </c>
    </row>
    <row r="123" spans="48:48" x14ac:dyDescent="0.2">
      <c r="AV123" s="730">
        <v>15.24</v>
      </c>
    </row>
    <row r="124" spans="48:48" x14ac:dyDescent="0.2">
      <c r="AV124" s="731">
        <v>15.88</v>
      </c>
    </row>
    <row r="125" spans="48:48" x14ac:dyDescent="0.2">
      <c r="AV125" s="730">
        <v>16.66</v>
      </c>
    </row>
    <row r="126" spans="48:48" x14ac:dyDescent="0.2">
      <c r="AV126" s="731">
        <v>17.12</v>
      </c>
    </row>
    <row r="127" spans="48:48" x14ac:dyDescent="0.2">
      <c r="AV127" s="730">
        <v>17.48</v>
      </c>
    </row>
    <row r="128" spans="48:48" x14ac:dyDescent="0.2">
      <c r="AV128" s="731">
        <v>18.260000000000002</v>
      </c>
    </row>
    <row r="129" spans="48:48" x14ac:dyDescent="0.2">
      <c r="AV129" s="730">
        <v>19.05</v>
      </c>
    </row>
    <row r="130" spans="48:48" x14ac:dyDescent="0.2">
      <c r="AV130" s="731">
        <v>20.62</v>
      </c>
    </row>
    <row r="131" spans="48:48" x14ac:dyDescent="0.2">
      <c r="AV131" s="730">
        <v>21.44</v>
      </c>
    </row>
    <row r="132" spans="48:48" x14ac:dyDescent="0.2">
      <c r="AV132" s="731">
        <v>21.95</v>
      </c>
    </row>
    <row r="133" spans="48:48" x14ac:dyDescent="0.2">
      <c r="AV133" s="730">
        <v>22.23</v>
      </c>
    </row>
    <row r="134" spans="48:48" x14ac:dyDescent="0.2">
      <c r="AV134" s="731">
        <v>23.01</v>
      </c>
    </row>
    <row r="135" spans="48:48" x14ac:dyDescent="0.2">
      <c r="AV135" s="730">
        <v>23.83</v>
      </c>
    </row>
    <row r="136" spans="48:48" x14ac:dyDescent="0.2">
      <c r="AV136" s="731">
        <v>24.61</v>
      </c>
    </row>
    <row r="137" spans="48:48" x14ac:dyDescent="0.2">
      <c r="AV137" s="730">
        <v>25.4</v>
      </c>
    </row>
    <row r="138" spans="48:48" x14ac:dyDescent="0.2">
      <c r="AV138" s="731">
        <v>26.19</v>
      </c>
    </row>
    <row r="139" spans="48:48" x14ac:dyDescent="0.2">
      <c r="AV139" s="730">
        <v>26.97</v>
      </c>
    </row>
    <row r="140" spans="48:48" x14ac:dyDescent="0.2">
      <c r="AV140" s="731">
        <v>27.79</v>
      </c>
    </row>
    <row r="141" spans="48:48" x14ac:dyDescent="0.2">
      <c r="AV141" s="730">
        <v>28.58</v>
      </c>
    </row>
    <row r="142" spans="48:48" x14ac:dyDescent="0.2">
      <c r="AV142" s="731">
        <v>29.36</v>
      </c>
    </row>
    <row r="143" spans="48:48" x14ac:dyDescent="0.2">
      <c r="AV143" s="730">
        <v>30.18</v>
      </c>
    </row>
    <row r="144" spans="48:48" x14ac:dyDescent="0.2">
      <c r="AV144" s="731">
        <v>30.96</v>
      </c>
    </row>
    <row r="145" spans="48:48" x14ac:dyDescent="0.2">
      <c r="AV145" s="730">
        <v>31.73</v>
      </c>
    </row>
    <row r="146" spans="48:48" x14ac:dyDescent="0.2">
      <c r="AV146" s="731">
        <v>31.75</v>
      </c>
    </row>
    <row r="147" spans="48:48" x14ac:dyDescent="0.2">
      <c r="AV147" s="730">
        <v>32.54</v>
      </c>
    </row>
    <row r="148" spans="48:48" x14ac:dyDescent="0.2">
      <c r="AV148" s="731">
        <v>33.32</v>
      </c>
    </row>
    <row r="149" spans="48:48" x14ac:dyDescent="0.2">
      <c r="AV149" s="730">
        <v>33.92</v>
      </c>
    </row>
    <row r="150" spans="48:48" x14ac:dyDescent="0.2">
      <c r="AV150" s="731">
        <v>34.93</v>
      </c>
    </row>
    <row r="151" spans="48:48" x14ac:dyDescent="0.2">
      <c r="AV151" s="730">
        <v>35.71</v>
      </c>
    </row>
    <row r="152" spans="48:48" x14ac:dyDescent="0.2">
      <c r="AV152" s="731">
        <v>36.53</v>
      </c>
    </row>
    <row r="153" spans="48:48" x14ac:dyDescent="0.2">
      <c r="AV153" s="730">
        <v>38.1</v>
      </c>
    </row>
    <row r="154" spans="48:48" x14ac:dyDescent="0.2">
      <c r="AV154" s="731">
        <v>38.89</v>
      </c>
    </row>
    <row r="155" spans="48:48" x14ac:dyDescent="0.2">
      <c r="AV155" s="730">
        <v>39.67</v>
      </c>
    </row>
    <row r="156" spans="48:48" x14ac:dyDescent="0.2">
      <c r="AV156" s="731">
        <v>40.49</v>
      </c>
    </row>
    <row r="157" spans="48:48" x14ac:dyDescent="0.2">
      <c r="AV157" s="730">
        <v>41.28</v>
      </c>
    </row>
    <row r="158" spans="48:48" x14ac:dyDescent="0.2">
      <c r="AV158" s="731">
        <v>44.45</v>
      </c>
    </row>
    <row r="159" spans="48:48" x14ac:dyDescent="0.2">
      <c r="AV159" s="730">
        <v>45.24</v>
      </c>
    </row>
    <row r="160" spans="48:48" x14ac:dyDescent="0.2">
      <c r="AV160" s="731">
        <v>46.02</v>
      </c>
    </row>
    <row r="161" spans="48:48" x14ac:dyDescent="0.2">
      <c r="AV161" s="730">
        <v>47.63</v>
      </c>
    </row>
    <row r="162" spans="48:48" x14ac:dyDescent="0.2">
      <c r="AV162" s="731">
        <v>50.01</v>
      </c>
    </row>
    <row r="163" spans="48:48" x14ac:dyDescent="0.2">
      <c r="AV163" s="730">
        <v>50.8</v>
      </c>
    </row>
    <row r="164" spans="48:48" x14ac:dyDescent="0.2">
      <c r="AV164" s="731">
        <v>52.37</v>
      </c>
    </row>
    <row r="165" spans="48:48" x14ac:dyDescent="0.2">
      <c r="AV165" s="730">
        <v>53.98</v>
      </c>
    </row>
    <row r="166" spans="48:48" x14ac:dyDescent="0.2">
      <c r="AV166" s="731">
        <v>55.88</v>
      </c>
    </row>
    <row r="167" spans="48:48" x14ac:dyDescent="0.2">
      <c r="AV167" s="730">
        <v>59.54</v>
      </c>
    </row>
    <row r="168" spans="48:48" x14ac:dyDescent="0.2">
      <c r="AV168" s="733">
        <v>63.5</v>
      </c>
    </row>
  </sheetData>
  <mergeCells count="1">
    <mergeCell ref="D49:AU49"/>
  </mergeCells>
  <pageMargins left="0.7" right="0.7" top="0.75" bottom="0.75" header="0.3" footer="0.3"/>
  <pageSetup paperSize="9" orientation="portrait" r:id="rId1"/>
  <tableParts count="3">
    <tablePart r:id="rId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ublished="0" codeName="Sayfa8"/>
  <dimension ref="B2:C8"/>
  <sheetViews>
    <sheetView workbookViewId="0">
      <selection activeCell="D53" sqref="D53:F53"/>
    </sheetView>
  </sheetViews>
  <sheetFormatPr defaultRowHeight="15" x14ac:dyDescent="0.2"/>
  <cols>
    <col min="2" max="2" width="16.140625" bestFit="1" customWidth="1"/>
    <col min="3" max="3" width="16.94921875" bestFit="1" customWidth="1"/>
  </cols>
  <sheetData>
    <row r="2" spans="2:3" ht="15.75" thickBot="1" x14ac:dyDescent="0.25"/>
    <row r="3" spans="2:3" x14ac:dyDescent="0.2">
      <c r="B3" s="78" t="s">
        <v>139</v>
      </c>
      <c r="C3" s="77" t="s">
        <v>138</v>
      </c>
    </row>
    <row r="4" spans="2:3" x14ac:dyDescent="0.2">
      <c r="B4" s="75">
        <v>75</v>
      </c>
      <c r="C4" s="76">
        <v>0.8</v>
      </c>
    </row>
    <row r="5" spans="2:3" x14ac:dyDescent="0.2">
      <c r="B5" s="75">
        <v>82.5</v>
      </c>
      <c r="C5" s="76">
        <v>0.72</v>
      </c>
    </row>
    <row r="6" spans="2:3" ht="15.75" thickBot="1" x14ac:dyDescent="0.25">
      <c r="B6" s="74">
        <v>100</v>
      </c>
      <c r="C6" s="76">
        <v>0.6</v>
      </c>
    </row>
    <row r="7" spans="2:3" x14ac:dyDescent="0.2">
      <c r="B7" s="31"/>
      <c r="C7" s="75">
        <v>0.5</v>
      </c>
    </row>
    <row r="8" spans="2:3" ht="15.75" thickBot="1" x14ac:dyDescent="0.25">
      <c r="B8" s="31"/>
      <c r="C8" s="74">
        <v>0.4</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 /></Relationships>
</file>

<file path=customXml/item1.xml>��
</file>

<file path=customXml/itemProps1.xml><?xml version="1.0" encoding="utf-8"?>
<ds:datastoreItem xmlns:ds="http://schemas.openxmlformats.org/officeDocument/2006/customXml" ds:itemID="{0C814D97-935C-4AC2-B1FA-3EEC13A3389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Çalışma Sayfaları</vt:lpstr>
      </vt:variant>
      <vt:variant>
        <vt:i4>15</vt:i4>
      </vt:variant>
      <vt:variant>
        <vt:lpstr>Adlandırılmış Aralıklar</vt:lpstr>
      </vt:variant>
      <vt:variant>
        <vt:i4>12</vt:i4>
      </vt:variant>
    </vt:vector>
  </HeadingPairs>
  <TitlesOfParts>
    <vt:vector size="27" baseType="lpstr">
      <vt:lpstr>Et Kalınlığı Hesaplama</vt:lpstr>
      <vt:lpstr>Boru Seçim-Kontrol Aracı</vt:lpstr>
      <vt:lpstr>Boru SMYS Tablosu</vt:lpstr>
      <vt:lpstr>Reinforcement Pad</vt:lpstr>
      <vt:lpstr>Boru Kontrol Tablosu BOTAŞ</vt:lpstr>
      <vt:lpstr>Boru Kontrol Tablosu ASME</vt:lpstr>
      <vt:lpstr>Fitting Seçim Aracı</vt:lpstr>
      <vt:lpstr>Flanş Seçim Aracı</vt:lpstr>
      <vt:lpstr>Forging Fittings</vt:lpstr>
      <vt:lpstr>Forging Fittings Özellikleri</vt:lpstr>
      <vt:lpstr>Wrought Fittings</vt:lpstr>
      <vt:lpstr>Casting Fittings</vt:lpstr>
      <vt:lpstr>Low Temp. Pipe&amp;Fittings</vt:lpstr>
      <vt:lpstr>ASME B36.10</vt:lpstr>
      <vt:lpstr>Design P F</vt:lpstr>
      <vt:lpstr>Low Temp. Pipe&amp;Fittings!ASTM_A350_LF2</vt:lpstr>
      <vt:lpstr>Boru Kontrol Tablosu BOTAŞ!Chemical_Comp._A105_A350</vt:lpstr>
      <vt:lpstr>Chemical_Comp._A105_A350</vt:lpstr>
      <vt:lpstr>Boru Kontrol Tablosu BOTAŞ!Fitting_TAblosu</vt:lpstr>
      <vt:lpstr>Fitting_TAblosu</vt:lpstr>
      <vt:lpstr>Boru Kontrol Tablosu BOTAŞ!MSS_SP_44_Pressure_Temperature_Ratings</vt:lpstr>
      <vt:lpstr>MSS_SP_44_Pressure_Temperature_Ratings</vt:lpstr>
      <vt:lpstr>Boru Kontrol Tablosu BOTAŞ!MSS_SP_44_Ratings</vt:lpstr>
      <vt:lpstr>MSS_SP_44_Ratings</vt:lpstr>
      <vt:lpstr>Boru Kontrol Tablosu ASME!Yazdırma_Alanı</vt:lpstr>
      <vt:lpstr>Boru Kontrol Tablosu BOTAŞ!Yazdırma_Alanı</vt:lpstr>
      <vt:lpstr>Et Kalınlığı Hesaplama!Yazdırma_Alanı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Ömer ERBAŞ</cp:lastModifiedBy>
  <dcterms:created xsi:type="dcterms:W3CDTF">2021-01-12T15:59:35Z</dcterms:created>
  <dcterms:modified xsi:type="dcterms:W3CDTF">2025-07-23T09:06:08Z</dcterms:modified>
  <cp:contentStatus/>
</cp:coreProperties>
</file>