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6.xml" ContentType="application/vnd.openxmlformats-officedocument.spreadsheetml.worksheet+xml"/>
  <Override PartName="/xl/drawings/drawing5.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7.xml" ContentType="application/vnd.openxmlformats-officedocument.spreadsheetml.worksheet+xml"/>
  <Override PartName="/xl/drawings/drawing6.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8.xml" ContentType="application/vnd.openxmlformats-officedocument.spreadsheetml.worksheet+xml"/>
  <Override PartName="/xl/drawings/drawing7.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9.xml" ContentType="application/vnd.openxmlformats-officedocument.spreadsheetml.worksheet+xml"/>
  <Override PartName="/xl/drawings/drawing8.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10.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worksheets/sheet11.xml" ContentType="application/vnd.openxmlformats-officedocument.spreadsheetml.worksheet+xml"/>
  <Override PartName="/xl/drawings/drawing9.xml" ContentType="application/vnd.openxmlformats-officedocument.drawing+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worksheets/sheet12.xml" ContentType="application/vnd.openxmlformats-officedocument.spreadsheetml.worksheet+xml"/>
  <Override PartName="/xl/drawings/drawing10.xml" ContentType="application/vnd.openxmlformats-officedocument.drawing+xml"/>
  <Override PartName="/xl/tables/table58.xml" ContentType="application/vnd.openxmlformats-officedocument.spreadsheetml.table+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worksheets/sheet15.xml" ContentType="application/vnd.openxmlformats-officedocument.spreadsheetml.worksheet+xml"/>
  <Override PartName="/xl/drawings/drawing1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BuÇalışmaKitabı"/>
  <bookViews>
    <workbookView visibility="visible" minimized="0" showHorizontalScroll="1" showVerticalScroll="1" showSheetTabs="1" xWindow="0" yWindow="0" windowWidth="25128" windowHeight="11388" tabRatio="948" firstSheet="0" activeTab="1" autoFilterDateGrouping="1"/>
  </bookViews>
  <sheets>
    <sheet name="Et Kalınlığı Hesaplama" sheetId="1" state="visible" r:id="rId1"/>
    <sheet name="Boru Seçim-Kontrol Aracı" sheetId="2" state="visible" r:id="rId2"/>
    <sheet name="Boru SMYS Tablosu" sheetId="3" state="visible" r:id="rId3"/>
    <sheet name="Reinforcement Pad" sheetId="4" state="visible" r:id="rId4"/>
    <sheet name="Boru Kontrol Tablosu BOTAŞ" sheetId="5" state="visible" r:id="rId5"/>
    <sheet name="Boru Kontrol Tablosu ASME" sheetId="6" state="hidden" r:id="rId6"/>
    <sheet name="Fitting Seçim Aracı" sheetId="7" state="visible" r:id="rId7"/>
    <sheet name="Flanş Seçim Aracı" sheetId="8" state="visible" r:id="rId8"/>
    <sheet name="Forging Fittings" sheetId="9" state="visible" r:id="rId9"/>
    <sheet name="Forging Fittings Özellikleri" sheetId="10" state="visible" r:id="rId10"/>
    <sheet name="Wrought Fittings" sheetId="11" state="visible" r:id="rId11"/>
    <sheet name="Casting Fittings" sheetId="12" state="visible" r:id="rId12"/>
    <sheet name="Low Temp. Pipe&amp;Fittings" sheetId="13" state="visible" r:id="rId13"/>
    <sheet name="ASME B36.10" sheetId="14" state="hidden" r:id="rId14"/>
    <sheet name="Design P F" sheetId="15" state="hidden" r:id="rId15"/>
  </sheets>
  <definedNames>
    <definedName name="Chemical_Comp._A105_A350">Tablo11[]</definedName>
    <definedName name="Fitting_TAblosu">Fitting_Flanş[]</definedName>
    <definedName name="MSS_SP_44_Pressure_Temperature_Ratings">Tablo48[]</definedName>
    <definedName name="MSS_SP_44_Ratings">Tablo48[]</definedName>
    <definedName name="_xlnm.Print_Area" localSheetId="0">'Et Kalınlığı Hesaplama'!$A$1:$J$18</definedName>
    <definedName name="Chemical_Comp._A105_A350" localSheetId="4">Tablo11[]</definedName>
    <definedName name="Fitting_TAblosu" localSheetId="4">Fitting_Flanş[]</definedName>
    <definedName name="MSS_SP_44_Pressure_Temperature_Ratings" localSheetId="4">Tablo48[]</definedName>
    <definedName name="MSS_SP_44_Ratings" localSheetId="4">Tablo48[]</definedName>
    <definedName name="_xlnm.Print_Area" localSheetId="4">'Boru Kontrol Tablosu BOTAŞ'!$A$1:$BD$151</definedName>
    <definedName name="_xlnm.Print_Area" localSheetId="5">'Boru Kontrol Tablosu ASME'!$A$1:$BD$151</definedName>
    <definedName name="ASTM_A350_LF2" localSheetId="12">'Low Temp. Pipe&amp;Fittings'!$AW$52:$AW$54</definedName>
  </definedNames>
  <calcPr calcId="191028" fullCalcOnLoad="1"/>
</workbook>
</file>

<file path=xl/styles.xml><?xml version="1.0" encoding="utf-8"?>
<styleSheet xmlns="http://schemas.openxmlformats.org/spreadsheetml/2006/main">
  <numFmts count="3">
    <numFmt numFmtId="164" formatCode="0.0"/>
    <numFmt numFmtId="165" formatCode="0.000"/>
    <numFmt numFmtId="166" formatCode="0.0%"/>
  </numFmts>
  <fonts count="68">
    <font>
      <name val="Calibri"/>
      <charset val="162"/>
      <family val="2"/>
      <color theme="1"/>
      <sz val="11"/>
      <scheme val="minor"/>
    </font>
    <font>
      <name val="Calibri"/>
      <charset val="162"/>
      <family val="2"/>
      <b val="1"/>
      <color theme="0"/>
      <sz val="11"/>
      <scheme val="minor"/>
    </font>
    <font>
      <name val="Calibri"/>
      <charset val="162"/>
      <family val="2"/>
      <b val="1"/>
      <color theme="1"/>
      <sz val="11"/>
      <scheme val="minor"/>
    </font>
    <font>
      <name val="Calibri"/>
      <charset val="162"/>
      <family val="2"/>
      <color theme="0"/>
      <sz val="11"/>
      <scheme val="minor"/>
    </font>
    <font>
      <name val="Arial"/>
      <charset val="162"/>
      <family val="2"/>
      <color theme="1"/>
      <sz val="11"/>
    </font>
    <font>
      <name val="Arial"/>
      <charset val="162"/>
      <family val="2"/>
      <b val="1"/>
      <color rgb="FF0000CC"/>
      <sz val="11"/>
    </font>
    <font>
      <name val="Arial"/>
      <charset val="162"/>
      <family val="2"/>
      <sz val="11"/>
    </font>
    <font>
      <name val="Calibri"/>
      <charset val="162"/>
      <family val="2"/>
      <color theme="1"/>
      <sz val="8"/>
      <scheme val="minor"/>
    </font>
    <font>
      <name val="Calibri"/>
      <charset val="162"/>
      <family val="2"/>
      <color theme="1"/>
      <sz val="12"/>
      <scheme val="minor"/>
    </font>
    <font>
      <name val="Arial"/>
      <charset val="162"/>
      <family val="2"/>
      <b val="1"/>
      <color rgb="FF666666"/>
      <sz val="9"/>
    </font>
    <font>
      <name val="Arial"/>
      <charset val="162"/>
      <family val="2"/>
      <b val="1"/>
      <color rgb="FF666666"/>
      <sz val="11"/>
    </font>
    <font>
      <name val="Arial"/>
      <charset val="162"/>
      <family val="2"/>
      <color rgb="FF666666"/>
      <sz val="9"/>
    </font>
    <font>
      <name val="Calibri"/>
      <charset val="162"/>
      <family val="2"/>
      <b val="1"/>
      <color theme="1"/>
      <sz val="14"/>
      <scheme val="minor"/>
    </font>
    <font>
      <name val="Calibri"/>
      <charset val="162"/>
      <family val="2"/>
      <b val="1"/>
      <color theme="1"/>
      <sz val="10"/>
      <scheme val="minor"/>
    </font>
    <font>
      <name val="Calibri"/>
      <charset val="162"/>
      <family val="2"/>
      <b val="1"/>
      <color theme="1"/>
      <sz val="9"/>
      <scheme val="minor"/>
    </font>
    <font>
      <name val="Calibri"/>
      <charset val="162"/>
      <family val="2"/>
      <color rgb="FF006100"/>
      <sz val="11"/>
      <scheme val="minor"/>
    </font>
    <font>
      <name val="Calibri"/>
      <charset val="162"/>
      <family val="2"/>
      <color theme="10"/>
      <sz val="11"/>
      <u val="single"/>
      <scheme val="minor"/>
    </font>
    <font>
      <name val="Arial"/>
      <charset val="162"/>
      <family val="2"/>
      <b val="1"/>
      <i val="1"/>
      <color rgb="FF62646A"/>
      <sz val="12"/>
    </font>
    <font>
      <name val="Arial"/>
      <charset val="162"/>
      <family val="2"/>
      <b val="1"/>
      <color rgb="FF62646A"/>
      <sz val="18"/>
    </font>
    <font>
      <name val="Arial"/>
      <charset val="162"/>
      <family val="2"/>
      <color rgb="FF62646A"/>
      <sz val="12"/>
    </font>
    <font>
      <name val="Arial"/>
      <charset val="162"/>
      <family val="2"/>
      <b val="1"/>
      <color rgb="FF62646A"/>
      <sz val="13.5"/>
    </font>
    <font>
      <name val="Arial"/>
      <charset val="162"/>
      <family val="2"/>
      <color theme="1"/>
      <sz val="9.9"/>
    </font>
    <font>
      <name val="Arial"/>
      <charset val="162"/>
      <family val="2"/>
      <b val="1"/>
      <color theme="1"/>
      <sz val="9.9"/>
    </font>
    <font>
      <name val="Arial"/>
      <charset val="162"/>
      <family val="2"/>
      <i val="1"/>
      <color theme="1"/>
      <sz val="9.9"/>
    </font>
    <font>
      <name val="Arial"/>
      <charset val="162"/>
      <family val="2"/>
      <color rgb="FF62646A"/>
      <sz val="10"/>
    </font>
    <font>
      <name val="Arial"/>
      <charset val="162"/>
      <family val="2"/>
      <color rgb="FFFF0000"/>
      <sz val="9.9"/>
    </font>
    <font>
      <name val="Calibri"/>
      <charset val="162"/>
      <family val="2"/>
      <color theme="1"/>
      <sz val="11"/>
      <scheme val="minor"/>
    </font>
    <font>
      <name val="Arial"/>
      <family val="2"/>
      <b val="1"/>
      <i val="1"/>
      <sz val="10"/>
      <u val="single"/>
    </font>
    <font>
      <name val="Arial"/>
      <charset val="162"/>
      <family val="2"/>
      <b val="1"/>
      <i val="1"/>
      <sz val="10"/>
    </font>
    <font>
      <name val="Arial"/>
      <family val="2"/>
      <b val="1"/>
      <color indexed="8"/>
      <sz val="10"/>
    </font>
    <font>
      <name val="Arial"/>
      <family val="2"/>
      <color indexed="8"/>
      <sz val="10"/>
    </font>
    <font>
      <name val="Arial"/>
      <charset val="162"/>
      <family val="2"/>
      <b val="1"/>
      <sz val="10"/>
    </font>
    <font>
      <name val="Arial"/>
      <family val="2"/>
      <b val="1"/>
      <i val="1"/>
      <sz val="9"/>
    </font>
    <font>
      <name val="Arial"/>
      <charset val="162"/>
      <family val="2"/>
      <sz val="8"/>
    </font>
    <font>
      <name val="Arial"/>
      <family val="2"/>
      <sz val="8"/>
      <vertAlign val="subscript"/>
    </font>
    <font>
      <name val="Arial"/>
      <family val="2"/>
      <sz val="8"/>
    </font>
    <font>
      <name val="Arial"/>
      <charset val="162"/>
      <family val="2"/>
      <b val="1"/>
      <sz val="8"/>
    </font>
    <font>
      <name val="Bookman Old Style"/>
      <charset val="162"/>
      <family val="1"/>
      <b val="1"/>
      <i val="1"/>
      <sz val="9"/>
    </font>
    <font>
      <name val="Arial"/>
      <charset val="162"/>
      <family val="2"/>
      <b val="1"/>
      <color indexed="8"/>
      <sz val="10"/>
    </font>
    <font>
      <name val="Arial"/>
      <charset val="162"/>
      <family val="2"/>
      <b val="1"/>
      <i val="1"/>
      <sz val="8"/>
    </font>
    <font>
      <name val="Arial"/>
      <family val="2"/>
      <b val="1"/>
      <i val="1"/>
      <sz val="8"/>
      <vertAlign val="subscript"/>
    </font>
    <font>
      <name val="symbol"/>
      <charset val="2"/>
      <family val="1"/>
      <color indexed="22"/>
      <sz val="10"/>
    </font>
    <font>
      <name val="Arial"/>
      <family val="2"/>
      <sz val="8"/>
      <vertAlign val="superscript"/>
    </font>
    <font>
      <name val="Symbol"/>
      <charset val="2"/>
      <family val="1"/>
      <sz val="8"/>
    </font>
    <font>
      <name val="Arial"/>
      <charset val="162"/>
      <family val="2"/>
      <b val="1"/>
      <color indexed="22"/>
      <sz val="10"/>
    </font>
    <font>
      <name val="Arial"/>
      <family val="2"/>
      <b val="1"/>
      <sz val="8"/>
      <vertAlign val="subscript"/>
    </font>
    <font>
      <name val="Arial"/>
      <family val="2"/>
      <b val="1"/>
      <sz val="8"/>
    </font>
    <font>
      <name val="Arial"/>
      <charset val="162"/>
      <family val="2"/>
      <b val="1"/>
      <sz val="11"/>
    </font>
    <font>
      <name val="Arial"/>
      <charset val="162"/>
      <family val="2"/>
      <b val="1"/>
      <sz val="9"/>
    </font>
    <font>
      <name val="Arial"/>
      <family val="2"/>
      <sz val="9"/>
    </font>
    <font>
      <name val="Arial"/>
      <family val="2"/>
      <sz val="7"/>
    </font>
    <font>
      <name val="Arial Black"/>
      <charset val="162"/>
      <family val="2"/>
      <b val="1"/>
      <color rgb="FF000000"/>
      <sz val="12"/>
    </font>
    <font>
      <name val="Arial"/>
      <charset val="162"/>
      <family val="2"/>
      <sz val="8"/>
    </font>
    <font>
      <name val="Calibri"/>
      <family val="2"/>
      <color theme="1"/>
      <sz val="11"/>
      <scheme val="minor"/>
    </font>
    <font>
      <name val="Calibri"/>
      <charset val="162"/>
      <family val="2"/>
      <i val="1"/>
      <color theme="1"/>
      <sz val="11"/>
      <scheme val="minor"/>
    </font>
    <font>
      <name val="Calibri"/>
      <charset val="162"/>
      <family val="2"/>
      <b val="1"/>
      <i val="1"/>
      <color theme="1"/>
      <sz val="11"/>
      <scheme val="minor"/>
    </font>
    <font>
      <name val="Calibri"/>
      <charset val="162"/>
      <family val="2"/>
      <b val="1"/>
      <color theme="1"/>
      <sz val="20"/>
      <scheme val="minor"/>
    </font>
    <font>
      <name val="Arial"/>
      <charset val="162"/>
      <family val="2"/>
      <color rgb="FF000000"/>
      <sz val="8"/>
    </font>
    <font>
      <name val="Arial"/>
      <charset val="162"/>
      <family val="2"/>
      <b val="1"/>
      <color rgb="FF000000"/>
      <sz val="8"/>
    </font>
    <font>
      <name val="Calibri"/>
      <charset val="162"/>
      <family val="2"/>
      <i val="1"/>
      <color theme="1"/>
      <sz val="8"/>
      <scheme val="minor"/>
    </font>
    <font>
      <name val="Calibri"/>
      <charset val="162"/>
      <family val="2"/>
      <i val="1"/>
      <color rgb="FFFF0000"/>
      <sz val="8"/>
      <scheme val="minor"/>
    </font>
    <font>
      <name val="Calibri"/>
      <charset val="162"/>
      <family val="2"/>
      <sz val="11"/>
      <scheme val="minor"/>
    </font>
    <font>
      <name val="Calibri"/>
      <charset val="162"/>
      <family val="2"/>
      <color theme="1"/>
      <sz val="9"/>
      <scheme val="minor"/>
    </font>
    <font>
      <name val="Calibri"/>
      <charset val="162"/>
      <family val="2"/>
      <i val="1"/>
      <color theme="0"/>
      <sz val="11"/>
      <scheme val="minor"/>
    </font>
    <font>
      <name val="Calibri"/>
      <charset val="162"/>
      <family val="2"/>
      <b val="1"/>
      <color theme="0"/>
      <sz val="8"/>
      <scheme val="minor"/>
    </font>
    <font>
      <name val="Calibri"/>
      <charset val="162"/>
      <family val="2"/>
      <b val="1"/>
      <color theme="1"/>
      <sz val="12"/>
      <scheme val="minor"/>
    </font>
    <font>
      <name val="Calibri"/>
      <charset val="162"/>
      <family val="2"/>
      <color theme="0" tint="-0.3499862666707358"/>
      <sz val="11"/>
      <scheme val="minor"/>
    </font>
    <font>
      <name val="Calibri"/>
      <charset val="162"/>
      <family val="2"/>
      <color theme="1"/>
      <sz val="14"/>
      <scheme val="minor"/>
    </font>
  </fonts>
  <fills count="39">
    <fill>
      <patternFill/>
    </fill>
    <fill>
      <patternFill patternType="gray125"/>
    </fill>
    <fill>
      <patternFill patternType="solid">
        <fgColor rgb="FFFFFF00"/>
        <bgColor indexed="64"/>
      </patternFill>
    </fill>
    <fill>
      <patternFill patternType="solid">
        <fgColor theme="4"/>
        <bgColor indexed="64"/>
      </patternFill>
    </fill>
    <fill>
      <patternFill patternType="solid">
        <fgColor rgb="FF92D050"/>
        <bgColor indexed="64"/>
      </patternFill>
    </fill>
    <fill>
      <patternFill patternType="solid">
        <fgColor theme="5"/>
        <bgColor indexed="64"/>
      </patternFill>
    </fill>
    <fill>
      <patternFill patternType="solid">
        <fgColor theme="4" tint="0.5999938962981048"/>
        <bgColor indexed="64"/>
      </patternFill>
    </fill>
    <fill>
      <patternFill patternType="solid">
        <fgColor theme="0" tint="-0.1499984740745262"/>
        <bgColor indexed="64"/>
      </patternFill>
    </fill>
    <fill>
      <patternFill patternType="solid">
        <fgColor theme="5" tint="0.3999755851924192"/>
        <bgColor indexed="64"/>
      </patternFill>
    </fill>
    <fill>
      <patternFill patternType="solid">
        <fgColor theme="0"/>
        <bgColor indexed="64"/>
      </patternFill>
    </fill>
    <fill>
      <patternFill patternType="solid">
        <fgColor theme="7" tint="0.5999938962981048"/>
        <bgColor indexed="64"/>
      </patternFill>
    </fill>
    <fill>
      <patternFill patternType="solid">
        <fgColor theme="4" tint="0.3999755851924192"/>
        <bgColor indexed="64"/>
      </patternFill>
    </fill>
    <fill>
      <patternFill patternType="solid">
        <fgColor theme="8" tint="-0.249977111117893"/>
        <bgColor indexed="64"/>
      </patternFill>
    </fill>
    <fill>
      <patternFill patternType="solid">
        <fgColor theme="1"/>
        <bgColor indexed="64"/>
      </patternFill>
    </fill>
    <fill>
      <patternFill patternType="solid">
        <fgColor rgb="FFC6EFCE"/>
      </patternFill>
    </fill>
    <fill>
      <patternFill patternType="solid">
        <fgColor theme="5" tint="0.5999938962981048"/>
        <bgColor indexed="64"/>
      </patternFill>
    </fill>
    <fill>
      <patternFill patternType="solid">
        <fgColor theme="0" tint="-0.1499984740745262"/>
        <bgColor theme="0" tint="-0.1499984740745262"/>
      </patternFill>
    </fill>
    <fill>
      <patternFill patternType="solid">
        <fgColor rgb="FFEEEEEE"/>
        <bgColor indexed="64"/>
      </patternFill>
    </fill>
    <fill>
      <patternFill patternType="solid">
        <fgColor rgb="FFE9E9E9"/>
        <bgColor indexed="64"/>
      </patternFill>
    </fill>
    <fill>
      <patternFill patternType="solid">
        <fgColor indexed="9"/>
        <bgColor indexed="64"/>
      </patternFill>
    </fill>
    <fill>
      <patternFill patternType="solid">
        <fgColor indexed="49"/>
        <bgColor indexed="64"/>
      </patternFill>
    </fill>
    <fill>
      <patternFill patternType="solid">
        <fgColor indexed="26"/>
        <bgColor indexed="64"/>
      </patternFill>
    </fill>
    <fill>
      <patternFill patternType="solid">
        <fgColor theme="0" tint="-0.3499862666707358"/>
        <bgColor theme="0" tint="-0.3499862666707358"/>
      </patternFill>
    </fill>
    <fill>
      <patternFill patternType="solid">
        <fgColor theme="4" tint="0.7999816888943144"/>
        <bgColor theme="4" tint="0.7999816888943144"/>
      </patternFill>
    </fill>
    <fill>
      <patternFill patternType="solid">
        <fgColor theme="6"/>
        <bgColor theme="6"/>
      </patternFill>
    </fill>
    <fill>
      <patternFill patternType="solid">
        <fgColor theme="5" tint="-0.249977111117893"/>
        <bgColor indexed="64"/>
      </patternFill>
    </fill>
    <fill>
      <patternFill patternType="solid">
        <fgColor theme="1"/>
        <bgColor theme="1"/>
      </patternFill>
    </fill>
    <fill>
      <patternFill patternType="solid">
        <fgColor rgb="FFFFC000"/>
        <bgColor indexed="64"/>
      </patternFill>
    </fill>
    <fill>
      <patternFill patternType="solid">
        <fgColor rgb="FF00B0F0"/>
        <bgColor indexed="64"/>
      </patternFill>
    </fill>
    <fill>
      <patternFill patternType="solid">
        <fgColor theme="7" tint="0.7999816888943144"/>
        <bgColor indexed="64"/>
      </patternFill>
    </fill>
    <fill>
      <patternFill patternType="solid">
        <fgColor theme="0" tint="-0.0499893185216834"/>
        <bgColor indexed="64"/>
      </patternFill>
    </fill>
    <fill>
      <patternFill patternType="solid">
        <fgColor theme="0" tint="-0.3499862666707358"/>
        <bgColor indexed="64"/>
      </patternFill>
    </fill>
    <fill>
      <patternFill patternType="solid">
        <fgColor theme="1" tint="0.0499893185216834"/>
        <bgColor indexed="64"/>
      </patternFill>
    </fill>
    <fill>
      <patternFill patternType="solid">
        <fgColor theme="3" tint="0.7999816888943144"/>
        <bgColor indexed="64"/>
      </patternFill>
    </fill>
    <fill>
      <patternFill patternType="solid">
        <fgColor theme="6" tint="0.7999816888943144"/>
        <bgColor indexed="64"/>
      </patternFill>
    </fill>
    <fill>
      <patternFill patternType="solid">
        <fgColor theme="0" tint="-0.499984740745262"/>
        <bgColor indexed="64"/>
      </patternFill>
    </fill>
    <fill>
      <patternFill patternType="solid">
        <fgColor theme="3" tint="0.5999938962981048"/>
        <bgColor indexed="64"/>
      </patternFill>
    </fill>
    <fill>
      <patternFill patternType="solid">
        <fgColor theme="2" tint="-0.09997863704336681"/>
        <bgColor indexed="64"/>
      </patternFill>
    </fill>
    <fill>
      <patternFill patternType="solid">
        <fgColor theme="1" tint="0.499984740745262"/>
        <bgColor indexed="64"/>
      </patternFill>
    </fill>
  </fills>
  <borders count="18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thin">
        <color indexed="64"/>
      </left>
      <right/>
      <top style="medium">
        <color indexed="64"/>
      </top>
      <bottom style="medium">
        <color indexed="64"/>
      </bottom>
      <diagonal/>
    </border>
    <border>
      <left style="medium">
        <color rgb="FFAACCCC"/>
      </left>
      <right/>
      <top style="medium">
        <color rgb="FFAACCCC"/>
      </top>
      <bottom style="medium">
        <color rgb="FFAACCCC"/>
      </bottom>
      <diagonal/>
    </border>
    <border>
      <left/>
      <right style="medium">
        <color rgb="FFAACCCC"/>
      </right>
      <top style="medium">
        <color rgb="FFAACCCC"/>
      </top>
      <bottom style="medium">
        <color rgb="FFAACCCC"/>
      </bottom>
      <diagonal/>
    </border>
    <border>
      <left style="medium">
        <color rgb="FFAACCCC"/>
      </left>
      <right style="medium">
        <color rgb="FFAACCCC"/>
      </right>
      <top/>
      <bottom style="medium">
        <color rgb="FFAACCCC"/>
      </bottom>
      <diagonal/>
    </border>
    <border>
      <left style="medium">
        <color rgb="FFAACCCC"/>
      </left>
      <right style="medium">
        <color rgb="FFAACCCC"/>
      </right>
      <top style="medium">
        <color rgb="FFDDDDDD"/>
      </top>
      <bottom style="medium">
        <color rgb="FFAACCCC"/>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thin">
        <color indexed="64"/>
      </top>
      <bottom/>
      <diagonal/>
    </border>
    <border>
      <left/>
      <right/>
      <top style="thin">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
      <left style="thin">
        <color indexed="64"/>
      </left>
      <right/>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theme="4" tint="0.3999755851924192"/>
      </left>
      <right style="thin">
        <color theme="1"/>
      </right>
      <top style="thin">
        <color theme="1"/>
      </top>
      <bottom style="thin">
        <color theme="1"/>
      </bottom>
      <diagonal/>
    </border>
    <border>
      <left style="thin">
        <color theme="4" tint="0.3999755851924192"/>
      </left>
      <right style="thin">
        <color theme="1"/>
      </right>
      <top style="thin">
        <color theme="1"/>
      </top>
      <bottom style="thin">
        <color theme="4" tint="0.3999755851924192"/>
      </bottom>
      <diagonal/>
    </border>
    <border>
      <left style="thin">
        <color theme="4" tint="0.3999755851924192"/>
      </left>
      <right style="thin">
        <color theme="1"/>
      </right>
      <top style="thin">
        <color theme="4" tint="0.3999755851924192"/>
      </top>
      <bottom style="thin">
        <color theme="1"/>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CCCCCC"/>
      </left>
      <right/>
      <top style="medium">
        <color rgb="FFCCCCCC"/>
      </top>
      <bottom/>
      <diagonal/>
    </border>
    <border>
      <left/>
      <right style="medium">
        <color rgb="FFCCCCCC"/>
      </right>
      <top style="medium">
        <color rgb="FFCCCCCC"/>
      </top>
      <bottom/>
      <diagonal/>
    </border>
    <border>
      <left/>
      <right style="medium">
        <color rgb="FFCCCCCC"/>
      </right>
      <top/>
      <bottom style="medium">
        <color rgb="FFCCCCCC"/>
      </bottom>
      <diagonal/>
    </border>
    <border>
      <left style="medium">
        <color rgb="FFCCCCCC"/>
      </left>
      <right/>
      <top/>
      <bottom style="medium">
        <color rgb="FFCCCCCC"/>
      </bottom>
      <diagonal/>
    </border>
    <border>
      <left/>
      <right style="thin">
        <color indexed="64"/>
      </right>
      <top/>
      <bottom/>
      <diagonal/>
    </border>
    <border>
      <left/>
      <right style="medium">
        <color rgb="FFAACCCC"/>
      </right>
      <top/>
      <bottom style="medium">
        <color rgb="FFAACCCC"/>
      </bottom>
      <diagonal/>
    </border>
    <border>
      <left style="medium">
        <color rgb="FFAACCCC"/>
      </left>
      <right/>
      <top style="medium">
        <color rgb="FFDDDDDD"/>
      </top>
      <bottom style="medium">
        <color rgb="FFAACCCC"/>
      </bottom>
      <diagonal/>
    </border>
    <border>
      <left/>
      <right style="medium">
        <color rgb="FFAACCCC"/>
      </right>
      <top/>
      <bottom/>
      <diagonal/>
    </border>
    <border>
      <left style="medium">
        <color rgb="FFAACCCC"/>
      </left>
      <right style="medium">
        <color rgb="FFAACCCC"/>
      </right>
      <top style="medium">
        <color rgb="FFDDDDDD"/>
      </top>
      <bottom/>
      <diagonal/>
    </border>
    <border>
      <left style="medium">
        <color rgb="FFAACCCC"/>
      </left>
      <right/>
      <top style="medium">
        <color rgb="FFDDDDDD"/>
      </top>
      <bottom/>
      <diagonal/>
    </border>
    <border>
      <left style="medium">
        <color rgb="FFAACCCC"/>
      </left>
      <right/>
      <top/>
      <bottom style="medium">
        <color rgb="FFAACCCC"/>
      </bottom>
      <diagonal/>
    </border>
    <border>
      <left/>
      <right style="medium">
        <color rgb="FFAACCCC"/>
      </right>
      <top style="medium">
        <color rgb="FFDDDDDD"/>
      </top>
      <bottom style="medium">
        <color rgb="FFAACCCC"/>
      </bottom>
      <diagonal/>
    </border>
    <border>
      <left style="medium">
        <color rgb="FFAACCCC"/>
      </left>
      <right style="medium">
        <color rgb="FFAACCCC"/>
      </right>
      <top style="medium">
        <color rgb="FFAACCCC"/>
      </top>
      <bottom/>
      <diagonal/>
    </border>
    <border>
      <left style="medium">
        <color rgb="FFAACCCC"/>
      </left>
      <right/>
      <top style="medium">
        <color rgb="FFAACCCC"/>
      </top>
      <bottom/>
      <diagonal/>
    </border>
    <border>
      <left/>
      <right style="medium">
        <color rgb="FFAACCCC"/>
      </right>
      <top style="medium">
        <color rgb="FFAACCCC"/>
      </top>
      <bottom/>
      <diagonal/>
    </border>
    <border>
      <left/>
      <right style="medium">
        <color rgb="FFAACCCC"/>
      </right>
      <top style="medium">
        <color rgb="FFDDDDDD"/>
      </top>
      <bottom/>
      <diagonal/>
    </border>
    <border>
      <left style="thin">
        <color theme="1"/>
      </left>
      <right style="thin">
        <color theme="1"/>
      </right>
      <top style="thin">
        <color theme="1"/>
      </top>
      <bottom style="thin">
        <color theme="1"/>
      </bottom>
      <diagonal/>
    </border>
    <border>
      <left/>
      <right/>
      <top/>
      <bottom style="medium">
        <color rgb="FFCCCCCC"/>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diagonal/>
    </border>
    <border>
      <left style="medium">
        <color rgb="FF000000"/>
      </left>
      <right/>
      <top/>
      <bottom/>
      <diagonal/>
    </border>
    <border>
      <left style="medium">
        <color rgb="FFAACCCC"/>
      </left>
      <right style="medium">
        <color rgb="FFAACCCC"/>
      </right>
      <top/>
      <bottom/>
      <diagonal/>
    </border>
    <border>
      <left style="thin">
        <color theme="0"/>
      </left>
      <right style="thin">
        <color theme="0"/>
      </right>
      <top/>
      <bottom/>
      <diagonal/>
    </border>
    <border>
      <left style="thin">
        <color theme="0"/>
      </left>
      <right style="thin">
        <color theme="0"/>
      </right>
      <top style="medium">
        <color theme="1"/>
      </top>
      <bottom style="thick">
        <color theme="0"/>
      </bottom>
      <diagonal/>
    </border>
    <border>
      <left style="thin">
        <color theme="0"/>
      </left>
      <right style="thin">
        <color theme="0"/>
      </right>
      <top style="medium">
        <color theme="1"/>
      </top>
      <bottom style="medium">
        <color theme="1"/>
      </bottom>
      <diagonal/>
    </border>
    <border>
      <left style="thin">
        <color theme="1"/>
      </left>
      <right style="thin">
        <color theme="0"/>
      </right>
      <top style="medium">
        <color theme="1"/>
      </top>
      <bottom style="thick">
        <color theme="0"/>
      </bottom>
      <diagonal/>
    </border>
    <border>
      <left style="thin">
        <color theme="0"/>
      </left>
      <right style="thin">
        <color theme="1"/>
      </right>
      <top style="medium">
        <color theme="1"/>
      </top>
      <bottom style="thick">
        <color theme="0"/>
      </bottom>
      <diagonal/>
    </border>
    <border>
      <left style="thin">
        <color theme="1"/>
      </left>
      <right style="thin">
        <color theme="1"/>
      </right>
      <top style="medium">
        <color theme="1"/>
      </top>
      <bottom style="medium">
        <color theme="1"/>
      </bottom>
      <diagonal/>
    </border>
    <border>
      <left style="thin">
        <color theme="1"/>
      </left>
      <right style="thin">
        <color theme="1"/>
      </right>
      <top style="thin">
        <color theme="1"/>
      </top>
      <bottom style="medium">
        <color theme="1"/>
      </bottom>
      <diagonal/>
    </border>
    <border>
      <left style="thin">
        <color theme="3" tint="0.5999938962981048"/>
      </left>
      <right style="thin">
        <color theme="3" tint="0.5999938962981048"/>
      </right>
      <top style="thin">
        <color theme="3" tint="0.5999938962981048"/>
      </top>
      <bottom style="thin">
        <color theme="3" tint="0.5999938962981048"/>
      </bottom>
      <diagonal/>
    </border>
    <border>
      <left style="thin">
        <color theme="3" tint="0.5999938962981048"/>
      </left>
      <right/>
      <top style="thin">
        <color theme="3" tint="0.5999938962981048"/>
      </top>
      <bottom/>
      <diagonal/>
    </border>
    <border>
      <left/>
      <right/>
      <top style="thin">
        <color theme="3" tint="0.5999938962981048"/>
      </top>
      <bottom/>
      <diagonal/>
    </border>
    <border>
      <left/>
      <right style="thin">
        <color theme="3" tint="0.5999938962981048"/>
      </right>
      <top style="thin">
        <color theme="3" tint="0.5999938962981048"/>
      </top>
      <bottom/>
      <diagonal/>
    </border>
    <border>
      <left style="thin">
        <color theme="3" tint="0.5999938962981048"/>
      </left>
      <right/>
      <top/>
      <bottom style="thin">
        <color theme="3" tint="0.5999938962981048"/>
      </bottom>
      <diagonal/>
    </border>
    <border>
      <left/>
      <right/>
      <top/>
      <bottom style="thin">
        <color theme="3" tint="0.5999938962981048"/>
      </bottom>
      <diagonal/>
    </border>
    <border>
      <left style="thick">
        <color theme="4" tint="-0.249977111117893"/>
      </left>
      <right style="thick">
        <color theme="4" tint="-0.249977111117893"/>
      </right>
      <top style="thin">
        <color theme="3" tint="0.5999938962981048"/>
      </top>
      <bottom/>
      <diagonal/>
    </border>
    <border>
      <left style="thick">
        <color theme="4" tint="-0.249977111117893"/>
      </left>
      <right style="thin">
        <color theme="3" tint="0.5999938962981048"/>
      </right>
      <top style="thin">
        <color theme="3" tint="0.5999938962981048"/>
      </top>
      <bottom/>
      <diagonal/>
    </border>
    <border>
      <left style="thin">
        <color theme="3" tint="0.5999938962981048"/>
      </left>
      <right/>
      <top style="thin">
        <color theme="3" tint="0.5999938962981048"/>
      </top>
      <bottom style="thin">
        <color theme="3" tint="0.5999938962981048"/>
      </bottom>
      <diagonal/>
    </border>
    <border>
      <left/>
      <right/>
      <top style="thin">
        <color theme="3" tint="0.5999938962981048"/>
      </top>
      <bottom style="thin">
        <color theme="3" tint="0.5999938962981048"/>
      </bottom>
      <diagonal/>
    </border>
    <border>
      <left style="thin">
        <color theme="3" tint="0.5999938962981048"/>
      </left>
      <right style="thin">
        <color theme="3" tint="0.5999938962981048"/>
      </right>
      <top style="thin">
        <color theme="3" tint="0.5999938962981048"/>
      </top>
      <bottom/>
      <diagonal/>
    </border>
    <border>
      <left style="thin">
        <color indexed="64"/>
      </left>
      <right style="thin">
        <color indexed="64"/>
      </right>
      <top/>
      <bottom style="thin">
        <color theme="3" tint="0.5999938962981048"/>
      </bottom>
      <diagonal/>
    </border>
    <border>
      <left style="thin">
        <color theme="3" tint="0.5999938962981048"/>
      </left>
      <right style="thin">
        <color theme="3" tint="0.5999938962981048"/>
      </right>
      <top/>
      <bottom style="thin">
        <color theme="3" tint="0.5999938962981048"/>
      </bottom>
      <diagonal/>
    </border>
    <border>
      <left style="medium">
        <color theme="3" tint="0.5999938962981048"/>
      </left>
      <right style="thick">
        <color theme="4" tint="-0.249977111117893"/>
      </right>
      <top style="medium">
        <color theme="3" tint="0.5999938962981048"/>
      </top>
      <bottom/>
      <diagonal/>
    </border>
    <border>
      <left style="thick">
        <color theme="4" tint="-0.249977111117893"/>
      </left>
      <right style="thick">
        <color theme="4" tint="-0.249977111117893"/>
      </right>
      <top style="medium">
        <color theme="3" tint="0.5999938962981048"/>
      </top>
      <bottom/>
      <diagonal/>
    </border>
    <border>
      <left style="thick">
        <color theme="4" tint="-0.249977111117893"/>
      </left>
      <right style="medium">
        <color theme="3" tint="0.5999938962981048"/>
      </right>
      <top style="medium">
        <color theme="3" tint="0.5999938962981048"/>
      </top>
      <bottom/>
      <diagonal/>
    </border>
    <border>
      <left style="medium">
        <color theme="3" tint="0.5999938962981048"/>
      </left>
      <right style="thin">
        <color theme="3" tint="0.5999938962981048"/>
      </right>
      <top style="thin">
        <color theme="3" tint="0.5999938962981048"/>
      </top>
      <bottom style="thin">
        <color theme="3" tint="0.5999938962981048"/>
      </bottom>
      <diagonal/>
    </border>
    <border>
      <left style="thin">
        <color theme="3" tint="0.5999938962981048"/>
      </left>
      <right style="medium">
        <color theme="3" tint="0.5999938962981048"/>
      </right>
      <top style="thin">
        <color theme="3" tint="0.5999938962981048"/>
      </top>
      <bottom/>
      <diagonal/>
    </border>
    <border>
      <left style="medium">
        <color theme="3" tint="0.5999938962981048"/>
      </left>
      <right/>
      <top style="thin">
        <color theme="3" tint="0.5999938962981048"/>
      </top>
      <bottom style="thin">
        <color theme="3" tint="0.5999938962981048"/>
      </bottom>
      <diagonal/>
    </border>
    <border>
      <left style="thin">
        <color theme="3" tint="0.5999938962981048"/>
      </left>
      <right style="medium">
        <color theme="3" tint="0.5999938962981048"/>
      </right>
      <top style="thin">
        <color theme="3" tint="0.5999938962981048"/>
      </top>
      <bottom style="thin">
        <color theme="3" tint="0.5999938962981048"/>
      </bottom>
      <diagonal/>
    </border>
    <border>
      <left style="medium">
        <color theme="3" tint="0.5999938962981048"/>
      </left>
      <right/>
      <top/>
      <bottom style="thin">
        <color theme="3" tint="0.5999938962981048"/>
      </bottom>
      <diagonal/>
    </border>
    <border>
      <left/>
      <right style="medium">
        <color theme="3" tint="0.5999938962981048"/>
      </right>
      <top/>
      <bottom style="thin">
        <color theme="3" tint="0.5999938962981048"/>
      </bottom>
      <diagonal/>
    </border>
    <border>
      <left/>
      <right style="medium">
        <color theme="3" tint="0.5999938962981048"/>
      </right>
      <top style="thin">
        <color theme="3" tint="0.5999938962981048"/>
      </top>
      <bottom/>
      <diagonal/>
    </border>
    <border>
      <left style="medium">
        <color theme="3" tint="0.5999938962981048"/>
      </left>
      <right/>
      <top/>
      <bottom/>
      <diagonal/>
    </border>
    <border>
      <left/>
      <right style="medium">
        <color theme="3" tint="0.5999938962981048"/>
      </right>
      <top style="thin">
        <color theme="3" tint="0.5999938962981048"/>
      </top>
      <bottom style="thin">
        <color theme="3" tint="0.5999938962981048"/>
      </bottom>
      <diagonal/>
    </border>
    <border>
      <left style="medium">
        <color theme="3" tint="0.5999938962981048"/>
      </left>
      <right style="thin">
        <color indexed="64"/>
      </right>
      <top/>
      <bottom style="thin">
        <color theme="3" tint="0.5999938962981048"/>
      </bottom>
      <diagonal/>
    </border>
    <border>
      <left style="thin">
        <color indexed="64"/>
      </left>
      <right style="medium">
        <color theme="3" tint="0.5999938962981048"/>
      </right>
      <top/>
      <bottom style="thin">
        <color theme="3" tint="0.5999938962981048"/>
      </bottom>
      <diagonal/>
    </border>
    <border>
      <left style="medium">
        <color theme="3" tint="0.5999938962981048"/>
      </left>
      <right/>
      <top style="thin">
        <color theme="3" tint="0.5999938962981048"/>
      </top>
      <bottom/>
      <diagonal/>
    </border>
    <border>
      <left style="medium">
        <color theme="3" tint="0.5999938962981048"/>
      </left>
      <right style="thick">
        <color theme="4" tint="-0.249977111117893"/>
      </right>
      <top style="thin">
        <color theme="3" tint="0.5999938962981048"/>
      </top>
      <bottom/>
      <diagonal/>
    </border>
    <border>
      <left style="thin">
        <color theme="3" tint="0.5999938962981048"/>
      </left>
      <right style="medium">
        <color theme="3" tint="0.5999938962981048"/>
      </right>
      <top/>
      <bottom/>
      <diagonal/>
    </border>
    <border>
      <left style="medium">
        <color theme="3" tint="0.5999938962981048"/>
      </left>
      <right style="thick">
        <color theme="4" tint="-0.249977111117893"/>
      </right>
      <top/>
      <bottom style="medium">
        <color theme="3" tint="0.5999938962981048"/>
      </bottom>
      <diagonal/>
    </border>
    <border>
      <left style="thick">
        <color theme="4" tint="-0.249977111117893"/>
      </left>
      <right style="thick">
        <color theme="4" tint="-0.249977111117893"/>
      </right>
      <top/>
      <bottom style="medium">
        <color theme="3" tint="0.5999938962981048"/>
      </bottom>
      <diagonal/>
    </border>
    <border>
      <left style="thick">
        <color theme="4" tint="-0.249977111117893"/>
      </left>
      <right/>
      <top/>
      <bottom style="medium">
        <color theme="3" tint="0.5999938962981048"/>
      </bottom>
      <diagonal/>
    </border>
    <border>
      <left style="thin">
        <color theme="3" tint="0.5999938962981048"/>
      </left>
      <right style="medium">
        <color theme="3" tint="0.5999938962981048"/>
      </right>
      <top style="thin">
        <color theme="3" tint="0.5999938962981048"/>
      </top>
      <bottom style="medium">
        <color theme="3" tint="0.5999938962981048"/>
      </bottom>
      <diagonal/>
    </border>
    <border>
      <left/>
      <right/>
      <top style="thin">
        <color theme="1"/>
      </top>
      <bottom style="thin">
        <color theme="1"/>
      </bottom>
      <diagonal/>
    </border>
    <border>
      <left style="thin">
        <color theme="3" tint="0.5999938962981048"/>
      </left>
      <right/>
      <top style="medium">
        <color indexed="64"/>
      </top>
      <bottom/>
      <diagonal/>
    </border>
    <border>
      <left/>
      <right style="thin">
        <color theme="3" tint="0.5999938962981048"/>
      </right>
      <top style="medium">
        <color indexed="64"/>
      </top>
      <bottom/>
      <diagonal/>
    </border>
    <border>
      <left/>
      <right/>
      <top/>
      <bottom style="thin">
        <color theme="1"/>
      </bottom>
      <diagonal/>
    </border>
    <border>
      <left/>
      <right/>
      <top style="thin">
        <color theme="1"/>
      </top>
      <bottom/>
      <diagonal/>
    </border>
    <border>
      <left/>
      <right/>
      <top style="medium">
        <color theme="3" tint="0.5999938962981048"/>
      </top>
      <bottom/>
      <diagonal/>
    </border>
    <border>
      <left/>
      <right style="thin">
        <color indexed="64"/>
      </right>
      <top style="medium">
        <color indexed="64"/>
      </top>
      <bottom style="thin">
        <color indexed="64"/>
      </bottom>
      <diagonal/>
    </border>
    <border>
      <left/>
      <right style="thick">
        <color theme="4" tint="-0.249977111117893"/>
      </right>
      <top/>
      <bottom/>
      <diagonal/>
    </border>
    <border>
      <left/>
      <right/>
      <top/>
      <bottom style="medium">
        <color theme="3" tint="0.5999938962981048"/>
      </bottom>
      <diagonal/>
    </border>
    <border>
      <left/>
      <right style="thick">
        <color theme="4" tint="-0.249977111117893"/>
      </right>
      <top/>
      <bottom style="medium">
        <color theme="3" tint="0.5999938962981048"/>
      </bottom>
      <diagonal/>
    </border>
    <border>
      <left style="medium">
        <color theme="3" tint="0.5999938962981048"/>
      </left>
      <right style="medium">
        <color theme="3" tint="0.5999938962981048"/>
      </right>
      <top style="thin">
        <color theme="3" tint="0.5999938962981048"/>
      </top>
      <bottom style="thin">
        <color theme="3" tint="0.5999938962981048"/>
      </bottom>
      <diagonal/>
    </border>
    <border>
      <left/>
      <right style="thick">
        <color theme="4" tint="-0.249977111117893"/>
      </right>
      <top style="medium">
        <color theme="3" tint="0.5999938962981048"/>
      </top>
      <bottom/>
      <diagonal/>
    </border>
    <border>
      <left/>
      <right style="thin">
        <color indexed="64"/>
      </right>
      <top/>
      <bottom style="thin">
        <color theme="3" tint="0.5999938962981048"/>
      </bottom>
      <diagonal/>
    </border>
    <border>
      <left/>
      <right style="thick">
        <color theme="4" tint="-0.249977111117893"/>
      </right>
      <top style="thin">
        <color theme="3" tint="0.5999938962981048"/>
      </top>
      <bottom/>
      <diagonal/>
    </border>
    <border>
      <left style="medium">
        <color indexed="64"/>
      </left>
      <right style="medium">
        <color indexed="64"/>
      </right>
      <top style="thin">
        <color indexed="64"/>
      </top>
      <bottom/>
      <diagonal/>
    </border>
    <border>
      <left/>
      <right/>
      <top style="thin">
        <color indexed="64"/>
      </top>
      <bottom style="medium">
        <color indexed="64"/>
      </bottom>
      <diagonal/>
    </border>
    <border>
      <left style="medium">
        <color indexed="64"/>
      </left>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top style="medium">
        <color rgb="FF000000"/>
      </top>
      <bottom/>
      <diagonal/>
    </border>
    <border>
      <left/>
      <right style="medium">
        <color rgb="FF000000"/>
      </right>
      <top/>
      <bottom/>
      <diagonal/>
    </border>
    <border>
      <left style="medium">
        <color rgb="FFCCCCCC"/>
      </left>
      <right/>
      <top/>
      <bottom/>
      <diagonal/>
    </border>
    <border>
      <left style="medium">
        <color rgb="FFCCCCCC"/>
      </left>
      <right style="medium">
        <color rgb="FFCCCCCC"/>
      </right>
      <top/>
      <bottom/>
      <diagonal/>
    </border>
    <border>
      <left/>
      <right/>
      <top style="medium">
        <color rgb="FFCCCCCC"/>
      </top>
      <bottom/>
      <diagonal/>
    </border>
    <border>
      <left style="medium">
        <color rgb="FFAACCCC"/>
      </left>
      <right style="medium">
        <color rgb="FFAACCCC"/>
      </right>
      <top style="medium">
        <color rgb="FFAACCCC"/>
      </top>
      <bottom style="medium">
        <color rgb="FFAACCCC"/>
      </bottom>
      <diagonal/>
    </border>
    <border>
      <left/>
      <right/>
      <top style="medium">
        <color rgb="FFAACCCC"/>
      </top>
      <bottom/>
      <diagonal/>
    </border>
  </borders>
  <cellStyleXfs count="5">
    <xf numFmtId="0" fontId="26" fillId="0" borderId="0"/>
    <xf numFmtId="0" fontId="15" fillId="14" borderId="0"/>
    <xf numFmtId="0" fontId="16" fillId="0" borderId="0"/>
    <xf numFmtId="9" fontId="26" fillId="0" borderId="0"/>
    <xf numFmtId="0" fontId="53" fillId="0" borderId="0"/>
  </cellStyleXfs>
  <cellXfs count="1227">
    <xf numFmtId="0" fontId="0" fillId="0" borderId="0" pivotButton="0" quotePrefix="0" xfId="0"/>
    <xf numFmtId="1" fontId="0" fillId="0" borderId="0" pivotButton="0" quotePrefix="0" xfId="0"/>
    <xf numFmtId="0" fontId="0" fillId="0" borderId="1" pivotButton="0" quotePrefix="0" xfId="0"/>
    <xf numFmtId="164" fontId="0" fillId="0" borderId="1" applyAlignment="1" pivotButton="0" quotePrefix="0" xfId="0">
      <alignment horizontal="center" vertical="center"/>
    </xf>
    <xf numFmtId="0" fontId="0" fillId="0" borderId="1" applyAlignment="1" pivotButton="0" quotePrefix="0" xfId="0">
      <alignment horizontal="center" vertical="center"/>
    </xf>
    <xf numFmtId="1" fontId="0" fillId="0" borderId="0" pivotButton="0" quotePrefix="0" xfId="0"/>
    <xf numFmtId="0" fontId="0" fillId="0" borderId="12" pivotButton="0" quotePrefix="0" xfId="0"/>
    <xf numFmtId="0" fontId="0" fillId="0" borderId="0" pivotButton="0" quotePrefix="0" xfId="0"/>
    <xf numFmtId="2" fontId="0" fillId="0" borderId="0" pivotButton="0" quotePrefix="0" xfId="0"/>
    <xf numFmtId="0" fontId="0" fillId="0" borderId="15" pivotButton="0" quotePrefix="0" xfId="0"/>
    <xf numFmtId="2" fontId="0" fillId="0" borderId="15" pivotButton="0" quotePrefix="0" xfId="0"/>
    <xf numFmtId="1" fontId="0" fillId="0" borderId="12" pivotButton="0" quotePrefix="0" xfId="0"/>
    <xf numFmtId="1" fontId="0" fillId="0" borderId="13" pivotButton="0" quotePrefix="0" xfId="0"/>
    <xf numFmtId="1" fontId="0" fillId="0" borderId="15" pivotButton="0" quotePrefix="0" xfId="0"/>
    <xf numFmtId="0" fontId="0" fillId="0" borderId="0" applyAlignment="1" pivotButton="0" quotePrefix="0" xfId="0">
      <alignment wrapText="1"/>
    </xf>
    <xf numFmtId="0" fontId="0" fillId="0" borderId="7" pivotButton="0" quotePrefix="0" xfId="0"/>
    <xf numFmtId="0" fontId="0" fillId="0" borderId="3" pivotButton="0" quotePrefix="0" xfId="0"/>
    <xf numFmtId="164" fontId="0" fillId="0" borderId="17" applyAlignment="1" pivotButton="0" quotePrefix="0" xfId="0">
      <alignment horizontal="center" vertical="center"/>
    </xf>
    <xf numFmtId="0" fontId="0" fillId="0" borderId="18" applyAlignment="1" pivotButton="0" quotePrefix="0" xfId="0">
      <alignment horizontal="center" vertical="center"/>
    </xf>
    <xf numFmtId="164" fontId="0" fillId="0" borderId="18" applyAlignment="1" pivotButton="0" quotePrefix="0" xfId="0">
      <alignment horizontal="center" vertical="center"/>
    </xf>
    <xf numFmtId="164" fontId="0" fillId="0" borderId="7" applyAlignment="1" pivotButton="0" quotePrefix="0" xfId="0">
      <alignment horizontal="center" vertical="center"/>
    </xf>
    <xf numFmtId="164" fontId="0" fillId="0" borderId="3" applyAlignment="1" pivotButton="0" quotePrefix="0" xfId="0">
      <alignment horizontal="center"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0" fillId="0" borderId="9"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9" applyAlignment="1" pivotButton="0" quotePrefix="0" xfId="0">
      <alignment horizontal="center" wrapText="1"/>
    </xf>
    <xf numFmtId="0" fontId="0" fillId="0" borderId="10" applyAlignment="1" pivotButton="0" quotePrefix="0" xfId="0">
      <alignment horizontal="center" wrapText="1"/>
    </xf>
    <xf numFmtId="0" fontId="0" fillId="0" borderId="11" applyAlignment="1" pivotButton="0" quotePrefix="0" xfId="0">
      <alignment horizontal="center" wrapText="1"/>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3" borderId="0" pivotButton="0" quotePrefix="0" xfId="0"/>
    <xf numFmtId="0" fontId="0" fillId="0" borderId="2" pivotButton="0" quotePrefix="0" xfId="0"/>
    <xf numFmtId="0" fontId="2" fillId="0" borderId="32" pivotButton="0" quotePrefix="0" xfId="0"/>
    <xf numFmtId="0" fontId="5" fillId="7" borderId="17" applyAlignment="1" pivotButton="0" quotePrefix="0" xfId="0">
      <alignment horizontal="center" wrapText="1"/>
    </xf>
    <xf numFmtId="0" fontId="6" fillId="7" borderId="1" applyAlignment="1" pivotButton="0" quotePrefix="0" xfId="0">
      <alignment horizontal="center"/>
    </xf>
    <xf numFmtId="0" fontId="4" fillId="7" borderId="1" applyAlignment="1" pivotButton="0" quotePrefix="0" xfId="0">
      <alignment horizontal="center"/>
    </xf>
    <xf numFmtId="0" fontId="6" fillId="7" borderId="1" applyAlignment="1" pivotButton="0" quotePrefix="0" xfId="0">
      <alignment horizontal="center" wrapText="1"/>
    </xf>
    <xf numFmtId="0" fontId="0" fillId="0" borderId="4" applyAlignment="1" pivotButton="0" quotePrefix="0" xfId="0">
      <alignment horizontal="center" vertical="center"/>
    </xf>
    <xf numFmtId="0" fontId="0" fillId="0" borderId="5" applyAlignment="1" pivotButton="0" quotePrefix="0" xfId="0">
      <alignment horizontal="center" vertical="center"/>
    </xf>
    <xf numFmtId="3" fontId="4" fillId="0" borderId="5" applyAlignment="1" pivotButton="0" quotePrefix="0" xfId="0">
      <alignment horizontal="center" vertical="center"/>
    </xf>
    <xf numFmtId="3" fontId="4" fillId="0" borderId="19" applyAlignment="1" pivotButton="0" quotePrefix="0" xfId="0">
      <alignment horizontal="center" vertical="center"/>
    </xf>
    <xf numFmtId="0" fontId="0" fillId="0" borderId="17" applyAlignment="1" pivotButton="0" quotePrefix="0" xfId="0">
      <alignment horizontal="center" vertical="center"/>
    </xf>
    <xf numFmtId="3" fontId="4" fillId="0" borderId="1" applyAlignment="1" pivotButton="0" quotePrefix="0" xfId="0">
      <alignment horizontal="center" vertical="center"/>
    </xf>
    <xf numFmtId="3" fontId="4" fillId="0" borderId="20" applyAlignment="1" pivotButton="0" quotePrefix="0" xfId="0">
      <alignment horizontal="center" vertical="center"/>
    </xf>
    <xf numFmtId="0" fontId="0" fillId="0" borderId="7" applyAlignment="1" pivotButton="0" quotePrefix="0" xfId="0">
      <alignment horizontal="center" vertical="center"/>
    </xf>
    <xf numFmtId="3" fontId="4" fillId="0" borderId="3" applyAlignment="1" pivotButton="0" quotePrefix="0" xfId="0">
      <alignment horizontal="center" vertical="center"/>
    </xf>
    <xf numFmtId="3" fontId="4" fillId="0" borderId="21" applyAlignment="1" pivotButton="0" quotePrefix="0" xfId="0">
      <alignment horizontal="center" vertical="center"/>
    </xf>
    <xf numFmtId="0" fontId="0" fillId="0" borderId="12" applyAlignment="1" pivotButton="0" quotePrefix="0" xfId="0">
      <alignment horizontal="center" vertical="center"/>
    </xf>
    <xf numFmtId="164" fontId="0" fillId="0" borderId="0" applyAlignment="1" pivotButton="0" quotePrefix="0" xfId="0">
      <alignment horizontal="center" vertical="center"/>
    </xf>
    <xf numFmtId="0" fontId="0" fillId="0" borderId="0" applyAlignment="1" pivotButton="0" quotePrefix="0" xfId="0">
      <alignment horizontal="center" vertical="center"/>
    </xf>
    <xf numFmtId="164" fontId="0" fillId="0" borderId="13" applyAlignment="1" pivotButton="0" quotePrefix="0" xfId="0">
      <alignment horizontal="center" vertical="center"/>
    </xf>
    <xf numFmtId="2" fontId="0" fillId="0" borderId="0" applyAlignment="1" pivotButton="0" quotePrefix="0" xfId="0">
      <alignment horizontal="center" vertical="center"/>
    </xf>
    <xf numFmtId="0" fontId="0" fillId="0" borderId="14" applyAlignment="1" pivotButton="0" quotePrefix="0" xfId="0">
      <alignment horizontal="center" vertical="center"/>
    </xf>
    <xf numFmtId="164" fontId="0" fillId="0" borderId="15" applyAlignment="1" pivotButton="0" quotePrefix="0" xfId="0">
      <alignment horizontal="center" vertical="center"/>
    </xf>
    <xf numFmtId="0" fontId="0" fillId="0" borderId="15" applyAlignment="1" pivotButton="0" quotePrefix="0" xfId="0">
      <alignment horizontal="center" vertical="center"/>
    </xf>
    <xf numFmtId="2" fontId="0" fillId="0" borderId="15" applyAlignment="1" pivotButton="0" quotePrefix="0" xfId="0">
      <alignment horizontal="center" vertical="center"/>
    </xf>
    <xf numFmtId="164" fontId="0" fillId="0" borderId="16" applyAlignment="1" pivotButton="0" quotePrefix="0" xfId="0">
      <alignment horizontal="center" vertical="center"/>
    </xf>
    <xf numFmtId="164" fontId="0" fillId="0" borderId="0" applyAlignment="1" pivotButton="0" quotePrefix="0" xfId="0">
      <alignment horizontal="center" vertical="center"/>
    </xf>
    <xf numFmtId="1" fontId="0" fillId="0" borderId="1" applyAlignment="1" pivotButton="0" quotePrefix="0" xfId="0">
      <alignment horizontal="center" vertical="center"/>
    </xf>
    <xf numFmtId="1" fontId="0" fillId="0" borderId="0" applyAlignment="1" pivotButton="0" quotePrefix="0" xfId="0">
      <alignment horizontal="center" vertical="center"/>
    </xf>
    <xf numFmtId="1" fontId="0" fillId="0" borderId="3" applyAlignment="1" pivotButton="0" quotePrefix="0" xfId="0">
      <alignment horizontal="center" vertical="center"/>
    </xf>
    <xf numFmtId="1" fontId="0" fillId="0" borderId="15" applyAlignment="1" pivotButton="0" quotePrefix="0" xfId="0">
      <alignment horizontal="center" vertical="center"/>
    </xf>
    <xf numFmtId="2" fontId="0" fillId="0" borderId="13" pivotButton="0" quotePrefix="0" xfId="0"/>
    <xf numFmtId="0" fontId="5" fillId="7" borderId="33" applyAlignment="1" pivotButton="0" quotePrefix="0" xfId="0">
      <alignment horizontal="center" wrapText="1"/>
    </xf>
    <xf numFmtId="0" fontId="4" fillId="7" borderId="34" applyAlignment="1" pivotButton="0" quotePrefix="0" xfId="0">
      <alignment horizontal="center"/>
    </xf>
    <xf numFmtId="0" fontId="0" fillId="0" borderId="34" pivotButton="0" quotePrefix="0" xfId="0"/>
    <xf numFmtId="0" fontId="0" fillId="6" borderId="36" applyAlignment="1" pivotButton="0" quotePrefix="0" xfId="0">
      <alignment vertical="center" wrapText="1"/>
    </xf>
    <xf numFmtId="0" fontId="0" fillId="6" borderId="37" applyAlignment="1" pivotButton="0" quotePrefix="0" xfId="0">
      <alignment vertical="center" wrapText="1"/>
    </xf>
    <xf numFmtId="0" fontId="0" fillId="6" borderId="38" applyAlignment="1" pivotButton="0" quotePrefix="0" xfId="0">
      <alignment vertical="center" wrapText="1"/>
    </xf>
    <xf numFmtId="0" fontId="0" fillId="0" borderId="0" pivotButton="0" quotePrefix="0" xfId="0"/>
    <xf numFmtId="0" fontId="0" fillId="0" borderId="1" pivotButton="0" quotePrefix="0" xfId="0"/>
    <xf numFmtId="0" fontId="0" fillId="0" borderId="18" pivotButton="0" quotePrefix="0" xfId="0"/>
    <xf numFmtId="0" fontId="8" fillId="0" borderId="41" applyAlignment="1" pivotButton="0" quotePrefix="0" xfId="0">
      <alignment horizontal="center" vertical="center"/>
    </xf>
    <xf numFmtId="0" fontId="8" fillId="0" borderId="42" applyAlignment="1" pivotButton="0" quotePrefix="0" xfId="0">
      <alignment horizontal="center" vertical="center"/>
    </xf>
    <xf numFmtId="0" fontId="8" fillId="0" borderId="31" applyAlignment="1" pivotButton="0" quotePrefix="0" xfId="0">
      <alignment horizontal="center" vertical="center"/>
    </xf>
    <xf numFmtId="0" fontId="8" fillId="0" borderId="43" applyAlignment="1" pivotButton="0" quotePrefix="0" xfId="0">
      <alignment horizontal="center" vertical="center"/>
    </xf>
    <xf numFmtId="0" fontId="8" fillId="0" borderId="44" applyAlignment="1" pivotButton="0" quotePrefix="0" xfId="0">
      <alignment horizontal="center" vertical="center"/>
    </xf>
    <xf numFmtId="0" fontId="0" fillId="8" borderId="0" pivotButton="0" quotePrefix="0" xfId="0"/>
    <xf numFmtId="0" fontId="0" fillId="9" borderId="0" pivotButton="0" quotePrefix="0" xfId="0"/>
    <xf numFmtId="0" fontId="0" fillId="5" borderId="0" pivotButton="0" quotePrefix="0" xfId="0"/>
    <xf numFmtId="0" fontId="0" fillId="8" borderId="0"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1" applyAlignment="1" pivotButton="0" quotePrefix="0" xfId="0">
      <alignment horizontal="center" vertical="center"/>
    </xf>
    <xf numFmtId="0" fontId="0" fillId="8" borderId="1" applyAlignment="1" pivotButton="0" quotePrefix="0" xfId="0">
      <alignment horizontal="center"/>
    </xf>
    <xf numFmtId="0" fontId="0" fillId="5" borderId="4" pivotButton="0" quotePrefix="0" xfId="0"/>
    <xf numFmtId="0" fontId="0" fillId="5" borderId="7" pivotButton="0" quotePrefix="0" xfId="0"/>
    <xf numFmtId="0" fontId="0" fillId="5" borderId="3" pivotButton="0" quotePrefix="0" xfId="0"/>
    <xf numFmtId="0" fontId="0" fillId="5" borderId="2" pivotButton="0" quotePrefix="0" xfId="0"/>
    <xf numFmtId="0" fontId="0" fillId="10" borderId="0" pivotButton="0" quotePrefix="0" xfId="0"/>
    <xf numFmtId="0" fontId="0" fillId="0" borderId="0" pivotButton="0" quotePrefix="0" xfId="0"/>
    <xf numFmtId="0" fontId="0" fillId="8" borderId="0" applyAlignment="1" pivotButton="0" quotePrefix="0" xfId="0">
      <alignment wrapText="1"/>
    </xf>
    <xf numFmtId="0" fontId="0" fillId="8" borderId="34" applyAlignment="1" pivotButton="0" quotePrefix="0" xfId="0">
      <alignment horizontal="center" vertical="center" wrapText="1"/>
    </xf>
    <xf numFmtId="0" fontId="0" fillId="10" borderId="0" applyAlignment="1" pivotButton="0" quotePrefix="0" xfId="0">
      <alignment wrapText="1"/>
    </xf>
    <xf numFmtId="0" fontId="11" fillId="10" borderId="49" applyAlignment="1" pivotButton="0" quotePrefix="0" xfId="0">
      <alignment horizontal="center" vertical="top" wrapText="1"/>
    </xf>
    <xf numFmtId="0" fontId="11" fillId="10" borderId="50" applyAlignment="1" pivotButton="0" quotePrefix="0" xfId="0">
      <alignment horizontal="center" vertical="top" wrapText="1"/>
    </xf>
    <xf numFmtId="0" fontId="11" fillId="10" borderId="50" applyAlignment="1" pivotButton="0" quotePrefix="0" xfId="0">
      <alignment horizontal="center" vertical="top"/>
    </xf>
    <xf numFmtId="0" fontId="0" fillId="11" borderId="0" pivotButton="0" quotePrefix="0" xfId="0"/>
    <xf numFmtId="0" fontId="0" fillId="11" borderId="8" pivotButton="0" quotePrefix="0" xfId="0"/>
    <xf numFmtId="0" fontId="0" fillId="3" borderId="8" pivotButton="0" quotePrefix="0" xfId="0"/>
    <xf numFmtId="0" fontId="0" fillId="11" borderId="4" pivotButton="0" quotePrefix="0" xfId="0"/>
    <xf numFmtId="0" fontId="0" fillId="11" borderId="5" pivotButton="0" quotePrefix="0" xfId="0"/>
    <xf numFmtId="0" fontId="0" fillId="11" borderId="6" pivotButton="0" quotePrefix="0" xfId="0"/>
    <xf numFmtId="0" fontId="0" fillId="11" borderId="17" pivotButton="0" quotePrefix="0" xfId="0"/>
    <xf numFmtId="0" fontId="0" fillId="11" borderId="1" pivotButton="0" quotePrefix="0" xfId="0"/>
    <xf numFmtId="0" fontId="0" fillId="11" borderId="18" pivotButton="0" quotePrefix="0" xfId="0"/>
    <xf numFmtId="0" fontId="0" fillId="3" borderId="1" applyAlignment="1" pivotButton="0" quotePrefix="0" xfId="0">
      <alignment horizontal="center" vertical="center" wrapText="1"/>
    </xf>
    <xf numFmtId="0" fontId="0" fillId="11" borderId="7" pivotButton="0" quotePrefix="0" xfId="0"/>
    <xf numFmtId="0" fontId="0" fillId="11" borderId="3" pivotButton="0" quotePrefix="0" xfId="0"/>
    <xf numFmtId="0" fontId="0" fillId="11" borderId="2" pivotButton="0" quotePrefix="0" xfId="0"/>
    <xf numFmtId="0" fontId="0" fillId="12" borderId="0" pivotButton="0" quotePrefix="0" xfId="0"/>
    <xf numFmtId="0" fontId="0" fillId="12" borderId="4" pivotButton="0" quotePrefix="0" xfId="0"/>
    <xf numFmtId="0" fontId="0" fillId="12" borderId="17" pivotButton="0" quotePrefix="0" xfId="0"/>
    <xf numFmtId="0" fontId="0" fillId="12" borderId="1" pivotButton="0" quotePrefix="0" xfId="0"/>
    <xf numFmtId="0" fontId="0" fillId="12" borderId="18" pivotButton="0" quotePrefix="0" xfId="0"/>
    <xf numFmtId="0" fontId="0" fillId="12" borderId="7" pivotButton="0" quotePrefix="0" xfId="0"/>
    <xf numFmtId="0" fontId="0" fillId="12" borderId="3" pivotButton="0" quotePrefix="0" xfId="0"/>
    <xf numFmtId="0" fontId="0" fillId="12" borderId="2" pivotButton="0" quotePrefix="0" xfId="0"/>
    <xf numFmtId="0" fontId="3" fillId="0" borderId="0" pivotButton="0" quotePrefix="0" xfId="0"/>
    <xf numFmtId="0" fontId="0" fillId="0" borderId="34" pivotButton="0" quotePrefix="0" xfId="0"/>
    <xf numFmtId="0" fontId="0" fillId="0" borderId="35" pivotButton="0" quotePrefix="0" xfId="0"/>
    <xf numFmtId="0" fontId="15" fillId="14" borderId="0" pivotButton="0" quotePrefix="0" xfId="1"/>
    <xf numFmtId="0" fontId="0" fillId="15" borderId="0" pivotButton="0" quotePrefix="0" xfId="0"/>
    <xf numFmtId="0" fontId="16" fillId="0" borderId="0" applyAlignment="1" pivotButton="0" quotePrefix="0" xfId="2">
      <alignment horizontal="left" vertical="center" indent="2"/>
    </xf>
    <xf numFmtId="0" fontId="16" fillId="0" borderId="0" applyAlignment="1" pivotButton="0" quotePrefix="0" xfId="2">
      <alignment horizontal="left" vertical="center" indent="3"/>
    </xf>
    <xf numFmtId="0" fontId="17" fillId="0" borderId="0" applyAlignment="1" pivotButton="0" quotePrefix="0" xfId="0">
      <alignment vertical="center"/>
    </xf>
    <xf numFmtId="0" fontId="0" fillId="0" borderId="0" applyAlignment="1" pivotButton="0" quotePrefix="0" xfId="0">
      <alignment vertical="center"/>
    </xf>
    <xf numFmtId="0" fontId="18" fillId="0" borderId="0" applyAlignment="1" pivotButton="0" quotePrefix="0" xfId="0">
      <alignment vertical="center"/>
    </xf>
    <xf numFmtId="0" fontId="16" fillId="0" borderId="0" applyAlignment="1" pivotButton="0" quotePrefix="0" xfId="2">
      <alignment vertical="center"/>
    </xf>
    <xf numFmtId="0" fontId="0" fillId="0" borderId="0" applyAlignment="1" pivotButton="0" quotePrefix="0" xfId="0">
      <alignment horizontal="left" vertical="center" indent="3"/>
    </xf>
    <xf numFmtId="0" fontId="19" fillId="0" borderId="0" applyAlignment="1" pivotButton="0" quotePrefix="0" xfId="0">
      <alignment horizontal="left" vertical="center" indent="3"/>
    </xf>
    <xf numFmtId="0" fontId="19" fillId="0" borderId="0" applyAlignment="1" pivotButton="0" quotePrefix="0" xfId="0">
      <alignment vertical="center"/>
    </xf>
    <xf numFmtId="0" fontId="20" fillId="0" borderId="0" applyAlignment="1" pivotButton="0" quotePrefix="0" xfId="0">
      <alignment vertical="center"/>
    </xf>
    <xf numFmtId="0" fontId="21" fillId="17" borderId="63" applyAlignment="1" pivotButton="0" quotePrefix="0" xfId="0">
      <alignment vertical="top" wrapText="1" indent="1"/>
    </xf>
    <xf numFmtId="0" fontId="22" fillId="17" borderId="63" applyAlignment="1" pivotButton="0" quotePrefix="0" xfId="0">
      <alignment horizontal="center" vertical="top" wrapText="1"/>
    </xf>
    <xf numFmtId="0" fontId="21" fillId="0" borderId="63" applyAlignment="1" pivotButton="0" quotePrefix="0" xfId="0">
      <alignment horizontal="center" vertical="top" wrapText="1"/>
    </xf>
    <xf numFmtId="0" fontId="21" fillId="17" borderId="63" applyAlignment="1" pivotButton="0" quotePrefix="0" xfId="0">
      <alignment horizontal="center" vertical="top" wrapText="1"/>
    </xf>
    <xf numFmtId="0" fontId="22" fillId="17" borderId="63" applyAlignment="1" pivotButton="0" quotePrefix="0" xfId="0">
      <alignment vertical="top" wrapText="1" indent="1"/>
    </xf>
    <xf numFmtId="0" fontId="21" fillId="17" borderId="63" applyAlignment="1" pivotButton="0" quotePrefix="0" xfId="0">
      <alignment horizontal="left" vertical="top" wrapText="1" indent="1"/>
    </xf>
    <xf numFmtId="0" fontId="21" fillId="0" borderId="63" applyAlignment="1" pivotButton="0" quotePrefix="0" xfId="0">
      <alignment horizontal="left" vertical="top" wrapText="1" indent="1"/>
    </xf>
    <xf numFmtId="0" fontId="22" fillId="0" borderId="63" applyAlignment="1" pivotButton="0" quotePrefix="0" xfId="0">
      <alignment horizontal="center" vertical="top" wrapText="1"/>
    </xf>
    <xf numFmtId="0" fontId="21" fillId="0" borderId="63" applyAlignment="1" pivotButton="0" quotePrefix="0" xfId="0">
      <alignment vertical="top" wrapText="1" indent="1"/>
    </xf>
    <xf numFmtId="0" fontId="24" fillId="0" borderId="0" applyAlignment="1" pivotButton="0" quotePrefix="0" xfId="0">
      <alignment vertical="center"/>
    </xf>
    <xf numFmtId="0" fontId="24" fillId="0" borderId="0" applyAlignment="1" pivotButton="0" quotePrefix="0" xfId="0">
      <alignment horizontal="left" vertical="center" indent="3"/>
    </xf>
    <xf numFmtId="0" fontId="22" fillId="17" borderId="64" applyAlignment="1" pivotButton="0" quotePrefix="0" xfId="0">
      <alignment horizontal="center" vertical="top" wrapText="1"/>
    </xf>
    <xf numFmtId="0" fontId="22" fillId="17" borderId="65" applyAlignment="1" pivotButton="0" quotePrefix="0" xfId="0">
      <alignment horizontal="center" vertical="top" wrapText="1"/>
    </xf>
    <xf numFmtId="0" fontId="0" fillId="0" borderId="0" applyAlignment="1" pivotButton="0" quotePrefix="0" xfId="0">
      <alignment horizontal="left" vertical="center" indent="2"/>
    </xf>
    <xf numFmtId="0" fontId="19" fillId="0" borderId="0" applyAlignment="1" pivotButton="0" quotePrefix="0" xfId="0">
      <alignment horizontal="left" vertical="center" indent="2"/>
    </xf>
    <xf numFmtId="0" fontId="22" fillId="17" borderId="64" applyAlignment="1" pivotButton="0" quotePrefix="0" xfId="0">
      <alignment horizontal="center" vertical="center" wrapText="1"/>
    </xf>
    <xf numFmtId="0" fontId="22" fillId="17" borderId="65" applyAlignment="1" pivotButton="0" quotePrefix="0" xfId="0">
      <alignment horizontal="center" vertical="center" wrapText="1"/>
    </xf>
    <xf numFmtId="0" fontId="22" fillId="0" borderId="63" applyAlignment="1" pivotButton="0" quotePrefix="0" xfId="0">
      <alignment horizontal="center" vertical="center" wrapText="1"/>
    </xf>
    <xf numFmtId="0" fontId="21" fillId="0" borderId="63" applyAlignment="1" pivotButton="0" quotePrefix="0" xfId="0">
      <alignment horizontal="center" vertical="center" wrapText="1"/>
    </xf>
    <xf numFmtId="0" fontId="22" fillId="17" borderId="63" applyAlignment="1" pivotButton="0" quotePrefix="0" xfId="0">
      <alignment horizontal="center" vertical="center" wrapText="1"/>
    </xf>
    <xf numFmtId="0" fontId="21" fillId="17" borderId="63" applyAlignment="1" pivotButton="0" quotePrefix="0" xfId="0">
      <alignment horizontal="center" vertical="center" wrapText="1"/>
    </xf>
    <xf numFmtId="16" fontId="21" fillId="17" borderId="63" applyAlignment="1" pivotButton="0" quotePrefix="0" xfId="0">
      <alignment horizontal="center" vertical="center" wrapText="1"/>
    </xf>
    <xf numFmtId="0" fontId="25" fillId="17" borderId="63" applyAlignment="1" pivotButton="0" quotePrefix="0" xfId="0">
      <alignment horizontal="center" vertical="center" wrapText="1"/>
    </xf>
    <xf numFmtId="3" fontId="21" fillId="0" borderId="63" applyAlignment="1" pivotButton="0" quotePrefix="0" xfId="0">
      <alignment horizontal="center" vertical="center" wrapText="1"/>
    </xf>
    <xf numFmtId="0" fontId="18" fillId="0" borderId="0" applyAlignment="1" pivotButton="0" quotePrefix="0" xfId="0">
      <alignment horizontal="left" vertical="center"/>
    </xf>
    <xf numFmtId="0" fontId="16" fillId="17" borderId="63" applyAlignment="1" pivotButton="0" quotePrefix="0" xfId="2">
      <alignment vertical="top" wrapText="1" indent="1"/>
    </xf>
    <xf numFmtId="0" fontId="16" fillId="0" borderId="63" applyAlignment="1" pivotButton="0" quotePrefix="0" xfId="2">
      <alignment vertical="top" wrapText="1" indent="1"/>
    </xf>
    <xf numFmtId="16" fontId="21" fillId="17" borderId="63" applyAlignment="1" pivotButton="0" quotePrefix="0" xfId="0">
      <alignment horizontal="center" vertical="top" wrapText="1"/>
    </xf>
    <xf numFmtId="17" fontId="21" fillId="17" borderId="63" applyAlignment="1" pivotButton="0" quotePrefix="0" xfId="0">
      <alignment horizontal="center" vertical="top" wrapText="1"/>
    </xf>
    <xf numFmtId="16" fontId="21" fillId="0" borderId="63" applyAlignment="1" pivotButton="0" quotePrefix="0" xfId="0">
      <alignment horizontal="center" vertical="top" wrapText="1"/>
    </xf>
    <xf numFmtId="17" fontId="21" fillId="0" borderId="63" applyAlignment="1" pivotButton="0" quotePrefix="0" xfId="0">
      <alignment horizontal="center" vertical="top" wrapText="1"/>
    </xf>
    <xf numFmtId="0" fontId="21" fillId="18" borderId="63" applyAlignment="1" pivotButton="0" quotePrefix="0" xfId="0">
      <alignment vertical="top" wrapText="1" indent="1"/>
    </xf>
    <xf numFmtId="0" fontId="21" fillId="18" borderId="63" applyAlignment="1" pivotButton="0" quotePrefix="0" xfId="0">
      <alignment horizontal="center" vertical="top" wrapText="1"/>
    </xf>
    <xf numFmtId="164" fontId="0" fillId="0" borderId="1" pivotButton="0" quotePrefix="0" xfId="0"/>
    <xf numFmtId="0" fontId="0" fillId="2" borderId="1" applyAlignment="1" pivotButton="0" quotePrefix="0" xfId="0">
      <alignment horizontal="center" vertical="center"/>
    </xf>
    <xf numFmtId="0" fontId="0" fillId="0" borderId="13" pivotButton="0" quotePrefix="0" xfId="0"/>
    <xf numFmtId="1" fontId="0" fillId="0" borderId="16" pivotButton="0" quotePrefix="0" xfId="0"/>
    <xf numFmtId="0" fontId="0" fillId="2" borderId="17" applyAlignment="1" pivotButton="0" quotePrefix="0" xfId="0">
      <alignment horizontal="center" vertical="center"/>
    </xf>
    <xf numFmtId="0" fontId="0" fillId="2" borderId="18" applyAlignment="1" pivotButton="0" quotePrefix="0" xfId="0">
      <alignment horizontal="center" vertical="center"/>
    </xf>
    <xf numFmtId="1" fontId="0" fillId="0" borderId="17" applyAlignment="1" pivotButton="0" quotePrefix="0" xfId="0">
      <alignment horizontal="center" vertical="center"/>
    </xf>
    <xf numFmtId="1" fontId="0" fillId="0" borderId="13" applyAlignment="1" pivotButton="0" quotePrefix="0" xfId="0">
      <alignment horizontal="center" vertical="center"/>
    </xf>
    <xf numFmtId="1" fontId="0" fillId="0" borderId="16" applyAlignment="1" pivotButton="0" quotePrefix="0" xfId="0">
      <alignment horizontal="center" vertical="center"/>
    </xf>
    <xf numFmtId="0" fontId="0" fillId="2" borderId="9" pivotButton="0" quotePrefix="0" xfId="0"/>
    <xf numFmtId="0" fontId="0" fillId="2" borderId="10" pivotButton="0" quotePrefix="0" xfId="0"/>
    <xf numFmtId="0" fontId="0" fillId="2" borderId="11" pivotButton="0" quotePrefix="0" xfId="0"/>
    <xf numFmtId="0" fontId="27" fillId="0" borderId="9" applyAlignment="1" applyProtection="1" pivotButton="0" quotePrefix="1" xfId="0">
      <alignment horizontal="left"/>
      <protection locked="0" hidden="0"/>
    </xf>
    <xf numFmtId="0" fontId="0" fillId="0" borderId="10" applyProtection="1" pivotButton="0" quotePrefix="0" xfId="0">
      <protection locked="0" hidden="0"/>
    </xf>
    <xf numFmtId="0" fontId="0" fillId="0" borderId="10" applyAlignment="1" applyProtection="1" pivotButton="0" quotePrefix="0" xfId="0">
      <alignment horizontal="centerContinuous"/>
      <protection locked="0" hidden="0"/>
    </xf>
    <xf numFmtId="0" fontId="28" fillId="0" borderId="10" applyProtection="1" pivotButton="0" quotePrefix="0" xfId="0">
      <protection locked="0" hidden="0"/>
    </xf>
    <xf numFmtId="0" fontId="29" fillId="19" borderId="10" applyProtection="1" pivotButton="0" quotePrefix="0" xfId="0">
      <protection locked="0" hidden="0"/>
    </xf>
    <xf numFmtId="0" fontId="30" fillId="19" borderId="10" applyProtection="1" pivotButton="0" quotePrefix="0" xfId="0">
      <protection locked="0" hidden="0"/>
    </xf>
    <xf numFmtId="0" fontId="30" fillId="19" borderId="11" applyProtection="1" pivotButton="0" quotePrefix="0" xfId="0">
      <protection locked="0" hidden="0"/>
    </xf>
    <xf numFmtId="0" fontId="0" fillId="0" borderId="12" applyProtection="1" pivotButton="0" quotePrefix="0" xfId="0">
      <protection locked="0" hidden="0"/>
    </xf>
    <xf numFmtId="0" fontId="0" fillId="0" borderId="0" applyProtection="1" pivotButton="0" quotePrefix="0" xfId="0">
      <protection locked="0" hidden="0"/>
    </xf>
    <xf numFmtId="0" fontId="0" fillId="0" borderId="0" applyAlignment="1" applyProtection="1" pivotButton="0" quotePrefix="0" xfId="0">
      <alignment horizontal="centerContinuous"/>
      <protection locked="0" hidden="0"/>
    </xf>
    <xf numFmtId="0" fontId="0" fillId="0" borderId="0" applyAlignment="1" applyProtection="1" pivotButton="0" quotePrefix="1" xfId="0">
      <alignment horizontal="left"/>
      <protection locked="0" hidden="0"/>
    </xf>
    <xf numFmtId="0" fontId="31" fillId="20" borderId="0" applyAlignment="1" applyProtection="1" pivotButton="0" quotePrefix="0" xfId="0">
      <alignment horizontal="centerContinuous"/>
      <protection locked="0" hidden="0"/>
    </xf>
    <xf numFmtId="0" fontId="0" fillId="0" borderId="0" applyProtection="1" pivotButton="0" quotePrefix="0" xfId="0">
      <protection locked="0" hidden="0"/>
    </xf>
    <xf numFmtId="0" fontId="30" fillId="19" borderId="0" applyProtection="1" pivotButton="0" quotePrefix="0" xfId="0">
      <protection locked="0" hidden="0"/>
    </xf>
    <xf numFmtId="0" fontId="30" fillId="19" borderId="13" applyProtection="1" pivotButton="0" quotePrefix="0" xfId="0">
      <protection locked="0" hidden="0"/>
    </xf>
    <xf numFmtId="0" fontId="32" fillId="0" borderId="12" applyProtection="1" pivotButton="0" quotePrefix="0" xfId="0">
      <protection locked="0" hidden="0"/>
    </xf>
    <xf numFmtId="0" fontId="31" fillId="0" borderId="0" applyAlignment="1" applyProtection="1" pivotButton="0" quotePrefix="0" xfId="0">
      <alignment horizontal="center" vertical="center"/>
      <protection locked="0" hidden="0"/>
    </xf>
    <xf numFmtId="0" fontId="31" fillId="0" borderId="0" applyAlignment="1" applyProtection="1" pivotButton="0" quotePrefix="0" xfId="0">
      <alignment horizontal="centerContinuous" vertical="center"/>
      <protection locked="0" hidden="0"/>
    </xf>
    <xf numFmtId="0" fontId="0" fillId="0" borderId="0" applyAlignment="1" applyProtection="1" pivotButton="0" quotePrefix="1" xfId="0">
      <alignment horizontal="left"/>
      <protection locked="0" hidden="0"/>
    </xf>
    <xf numFmtId="0" fontId="33" fillId="0" borderId="12" applyAlignment="1" applyProtection="1" pivotButton="0" quotePrefix="0" xfId="0">
      <alignment horizontal="center" vertical="center"/>
      <protection locked="0" hidden="0"/>
    </xf>
    <xf numFmtId="0" fontId="33" fillId="0" borderId="0" applyAlignment="1" applyProtection="1" pivotButton="0" quotePrefix="0" xfId="0">
      <alignment horizontal="left" vertical="justify"/>
      <protection locked="0" hidden="0"/>
    </xf>
    <xf numFmtId="0" fontId="0" fillId="19" borderId="0" applyProtection="1" pivotButton="0" quotePrefix="0" xfId="0">
      <protection locked="0" hidden="0"/>
    </xf>
    <xf numFmtId="0" fontId="30" fillId="19" borderId="0" applyAlignment="1" applyProtection="1" pivotButton="0" quotePrefix="0" xfId="0">
      <alignment horizontal="centerContinuous"/>
      <protection locked="0" hidden="0"/>
    </xf>
    <xf numFmtId="0" fontId="30" fillId="20" borderId="0" applyAlignment="1" applyProtection="1" pivotButton="0" quotePrefix="0" xfId="0">
      <alignment horizontal="centerContinuous"/>
      <protection locked="0" hidden="0"/>
    </xf>
    <xf numFmtId="0" fontId="33" fillId="0" borderId="0" applyAlignment="1" applyProtection="1" pivotButton="0" quotePrefix="0" xfId="0">
      <alignment horizontal="left" vertical="center"/>
      <protection locked="0" hidden="0"/>
    </xf>
    <xf numFmtId="0" fontId="33" fillId="0" borderId="0" applyAlignment="1" applyProtection="1" pivotButton="0" quotePrefix="1" xfId="0">
      <alignment horizontal="left" vertical="center"/>
      <protection locked="0" hidden="0"/>
    </xf>
    <xf numFmtId="0" fontId="30" fillId="19" borderId="0" applyAlignment="1" applyProtection="1" pivotButton="0" quotePrefix="1" xfId="0">
      <alignment horizontal="centerContinuous"/>
      <protection locked="0" hidden="0"/>
    </xf>
    <xf numFmtId="0" fontId="30" fillId="20" borderId="0" applyAlignment="1" applyProtection="1" pivotButton="0" quotePrefix="1" xfId="0">
      <alignment horizontal="centerContinuous"/>
      <protection locked="0" hidden="0"/>
    </xf>
    <xf numFmtId="0" fontId="30" fillId="19" borderId="0" applyAlignment="1" applyProtection="1" pivotButton="0" quotePrefix="0" xfId="0">
      <alignment horizontal="center"/>
      <protection locked="0" hidden="0"/>
    </xf>
    <xf numFmtId="0" fontId="30" fillId="19" borderId="13" applyAlignment="1" applyProtection="1" pivotButton="0" quotePrefix="0" xfId="0">
      <alignment horizontal="center"/>
      <protection locked="0" hidden="0"/>
    </xf>
    <xf numFmtId="0" fontId="33" fillId="0" borderId="0" applyAlignment="1" applyProtection="1" pivotButton="0" quotePrefix="0" xfId="0">
      <alignment vertical="justify"/>
      <protection locked="0" hidden="0"/>
    </xf>
    <xf numFmtId="0" fontId="33" fillId="0" borderId="0" applyAlignment="1" applyProtection="1" pivotButton="0" quotePrefix="1" xfId="0">
      <alignment horizontal="left" vertical="justify"/>
      <protection locked="0" hidden="0"/>
    </xf>
    <xf numFmtId="2" fontId="30" fillId="19" borderId="0" applyProtection="1" pivotButton="0" quotePrefix="0" xfId="0">
      <protection locked="0" hidden="0"/>
    </xf>
    <xf numFmtId="2" fontId="30" fillId="19" borderId="13" applyProtection="1" pivotButton="0" quotePrefix="0" xfId="0">
      <protection locked="0" hidden="0"/>
    </xf>
    <xf numFmtId="0" fontId="35" fillId="0" borderId="0" applyAlignment="1" applyProtection="1" pivotButton="0" quotePrefix="0" xfId="0">
      <alignment vertical="center"/>
      <protection locked="0" hidden="0"/>
    </xf>
    <xf numFmtId="0" fontId="0" fillId="19" borderId="0" applyAlignment="1" applyProtection="1" pivotButton="0" quotePrefix="0" xfId="0">
      <alignment vertical="center"/>
      <protection locked="0" hidden="0"/>
    </xf>
    <xf numFmtId="0" fontId="30" fillId="19" borderId="0" applyAlignment="1" applyProtection="1" pivotButton="0" quotePrefix="0" xfId="0">
      <alignment horizontal="centerContinuous" vertical="center"/>
      <protection locked="0" hidden="0"/>
    </xf>
    <xf numFmtId="0" fontId="30" fillId="20" borderId="0" applyAlignment="1" applyProtection="1" pivotButton="0" quotePrefix="0" xfId="0">
      <alignment horizontal="centerContinuous" vertical="center"/>
      <protection locked="0" hidden="0"/>
    </xf>
    <xf numFmtId="0" fontId="35" fillId="0" borderId="0" applyAlignment="1" applyProtection="1" pivotButton="0" quotePrefix="1" xfId="0">
      <alignment horizontal="left"/>
      <protection locked="0" hidden="0"/>
    </xf>
    <xf numFmtId="2" fontId="0" fillId="20" borderId="0" applyProtection="1" pivotButton="0" quotePrefix="0" xfId="0">
      <protection locked="0" hidden="0"/>
    </xf>
    <xf numFmtId="0" fontId="35" fillId="0" borderId="0" applyProtection="1" pivotButton="0" quotePrefix="0" xfId="0">
      <protection locked="0" hidden="0"/>
    </xf>
    <xf numFmtId="0" fontId="0" fillId="0" borderId="13" applyProtection="1" pivotButton="0" quotePrefix="0" xfId="0">
      <protection locked="0" hidden="0"/>
    </xf>
    <xf numFmtId="0" fontId="36" fillId="0" borderId="12" applyAlignment="1" applyProtection="1" pivotButton="0" quotePrefix="0" xfId="0">
      <alignment horizontal="center" vertical="center"/>
      <protection locked="0" hidden="0"/>
    </xf>
    <xf numFmtId="0" fontId="37" fillId="0" borderId="0" applyProtection="1" pivotButton="0" quotePrefix="0" xfId="0">
      <protection locked="0" hidden="0"/>
    </xf>
    <xf numFmtId="0" fontId="38" fillId="19" borderId="0" applyAlignment="1" applyProtection="1" pivotButton="0" quotePrefix="0" xfId="0">
      <alignment horizontal="centerContinuous"/>
      <protection locked="0" hidden="0"/>
    </xf>
    <xf numFmtId="0" fontId="38" fillId="20" borderId="0" applyAlignment="1" applyProtection="1" pivotButton="0" quotePrefix="0" xfId="0">
      <alignment horizontal="left"/>
      <protection locked="0" hidden="0"/>
    </xf>
    <xf numFmtId="0" fontId="39" fillId="0" borderId="12" applyProtection="1" pivotButton="0" quotePrefix="0" xfId="0">
      <protection locked="0" hidden="0"/>
    </xf>
    <xf numFmtId="0" fontId="41" fillId="19" borderId="0" applyAlignment="1" applyProtection="1" pivotButton="0" quotePrefix="0" xfId="0">
      <alignment horizontal="centerContinuous"/>
      <protection locked="0" hidden="0"/>
    </xf>
    <xf numFmtId="4" fontId="30" fillId="19" borderId="0" applyAlignment="1" applyProtection="1" pivotButton="0" quotePrefix="0" xfId="0">
      <alignment horizontal="centerContinuous"/>
      <protection locked="0" hidden="0"/>
    </xf>
    <xf numFmtId="4" fontId="30" fillId="20" borderId="0" applyAlignment="1" applyProtection="1" pivotButton="0" quotePrefix="0" xfId="0">
      <alignment horizontal="centerContinuous"/>
      <protection locked="0" hidden="0"/>
    </xf>
    <xf numFmtId="0" fontId="0" fillId="19" borderId="0" applyProtection="1" pivotButton="0" quotePrefix="0" xfId="0">
      <protection locked="0" hidden="0"/>
    </xf>
    <xf numFmtId="0" fontId="43" fillId="0" borderId="0" applyAlignment="1" applyProtection="1" pivotButton="0" quotePrefix="0" xfId="0">
      <alignment vertical="justify"/>
      <protection locked="0" hidden="0"/>
    </xf>
    <xf numFmtId="0" fontId="39" fillId="0" borderId="12" applyAlignment="1" applyProtection="1" pivotButton="0" quotePrefix="1" xfId="0">
      <alignment horizontal="left"/>
      <protection locked="0" hidden="0"/>
    </xf>
    <xf numFmtId="0" fontId="44" fillId="19" borderId="0" applyAlignment="1" applyProtection="1" pivotButton="0" quotePrefix="1" xfId="0">
      <alignment horizontal="centerContinuous"/>
      <protection locked="0" hidden="0"/>
    </xf>
    <xf numFmtId="0" fontId="33" fillId="0" borderId="0" applyAlignment="1" applyProtection="1" pivotButton="0" quotePrefix="1" xfId="0">
      <alignment horizontal="left" vertical="justify" wrapText="1"/>
      <protection locked="0" hidden="0"/>
    </xf>
    <xf numFmtId="1" fontId="30" fillId="20" borderId="0" applyAlignment="1" applyProtection="1" pivotButton="0" quotePrefix="0" xfId="0">
      <alignment horizontal="left"/>
      <protection locked="0" hidden="0"/>
    </xf>
    <xf numFmtId="2" fontId="0" fillId="19" borderId="0" applyProtection="1" pivotButton="0" quotePrefix="0" xfId="0">
      <protection locked="0" hidden="0"/>
    </xf>
    <xf numFmtId="4" fontId="36" fillId="0" borderId="0" applyAlignment="1" applyProtection="1" pivotButton="0" quotePrefix="0" xfId="0">
      <alignment horizontal="centerContinuous" vertical="justify" wrapText="1"/>
      <protection locked="0" hidden="0"/>
    </xf>
    <xf numFmtId="0" fontId="36" fillId="0" borderId="0" applyAlignment="1" applyProtection="1" pivotButton="0" quotePrefix="0" xfId="0">
      <alignment horizontal="left" vertical="justify" wrapText="1"/>
      <protection locked="0" hidden="0"/>
    </xf>
    <xf numFmtId="0" fontId="0" fillId="0" borderId="0" applyAlignment="1" applyProtection="1" pivotButton="0" quotePrefix="0" xfId="0">
      <alignment horizontal="centerContinuous"/>
      <protection locked="0" hidden="0"/>
    </xf>
    <xf numFmtId="165" fontId="0" fillId="20" borderId="0" applyProtection="1" pivotButton="0" quotePrefix="0" xfId="0">
      <protection locked="0" hidden="0"/>
    </xf>
    <xf numFmtId="0" fontId="39" fillId="0" borderId="0" applyAlignment="1" applyProtection="1" pivotButton="0" quotePrefix="0" xfId="0">
      <alignment horizontal="centerContinuous"/>
      <protection locked="0" hidden="0"/>
    </xf>
    <xf numFmtId="0" fontId="29" fillId="19" borderId="0" applyAlignment="1" applyProtection="1" pivotButton="0" quotePrefix="1" xfId="0">
      <alignment horizontal="centerContinuous"/>
      <protection locked="0" hidden="0"/>
    </xf>
    <xf numFmtId="0" fontId="29" fillId="20" borderId="0" applyAlignment="1" applyProtection="1" pivotButton="0" quotePrefix="1" xfId="0">
      <alignment horizontal="center"/>
      <protection locked="0" hidden="0"/>
    </xf>
    <xf numFmtId="0" fontId="0" fillId="20" borderId="0" applyProtection="1" pivotButton="0" quotePrefix="0" xfId="0">
      <protection locked="0" hidden="0"/>
    </xf>
    <xf numFmtId="0" fontId="0" fillId="20" borderId="0" applyProtection="1" pivotButton="0" quotePrefix="0" xfId="0">
      <protection locked="0" hidden="0"/>
    </xf>
    <xf numFmtId="2" fontId="46" fillId="20" borderId="0" applyAlignment="1" applyProtection="1" pivotButton="0" quotePrefix="0" xfId="0">
      <alignment horizontal="centerContinuous"/>
      <protection locked="0" hidden="0"/>
    </xf>
    <xf numFmtId="4" fontId="36" fillId="0" borderId="0" applyAlignment="1" applyProtection="1" pivotButton="0" quotePrefix="1" xfId="0">
      <alignment horizontal="left" vertical="justify" wrapText="1"/>
      <protection locked="0" hidden="0"/>
    </xf>
    <xf numFmtId="0" fontId="44" fillId="19" borderId="0" applyAlignment="1" applyProtection="1" pivotButton="0" quotePrefix="0" xfId="0">
      <alignment horizontal="right"/>
      <protection locked="0" hidden="0"/>
    </xf>
    <xf numFmtId="0" fontId="44" fillId="19" borderId="0" applyAlignment="1" applyProtection="1" pivotButton="0" quotePrefix="1" xfId="0">
      <alignment horizontal="right"/>
      <protection locked="0" hidden="0"/>
    </xf>
    <xf numFmtId="0" fontId="44" fillId="19" borderId="0" applyAlignment="1" applyProtection="1" pivotButton="0" quotePrefix="1" xfId="0">
      <alignment horizontal="left"/>
      <protection locked="0" hidden="0"/>
    </xf>
    <xf numFmtId="0" fontId="44" fillId="19" borderId="0" applyAlignment="1" applyProtection="1" pivotButton="0" quotePrefix="0" xfId="0">
      <alignment horizontal="center"/>
      <protection locked="0" hidden="0"/>
    </xf>
    <xf numFmtId="0" fontId="33" fillId="19" borderId="0" applyAlignment="1" applyProtection="1" pivotButton="0" quotePrefix="0" xfId="0">
      <alignment horizontal="left" vertical="justify" wrapText="1"/>
      <protection locked="0" hidden="0"/>
    </xf>
    <xf numFmtId="0" fontId="32" fillId="0" borderId="12" applyAlignment="1" applyProtection="1" pivotButton="0" quotePrefix="0" xfId="0">
      <alignment horizontal="center" vertical="center"/>
      <protection locked="0" hidden="0"/>
    </xf>
    <xf numFmtId="0" fontId="33" fillId="21" borderId="0" applyAlignment="1" applyProtection="1" pivotButton="0" quotePrefix="0" xfId="0">
      <alignment horizontal="left" vertical="center" wrapText="1"/>
      <protection locked="0" hidden="0"/>
    </xf>
    <xf numFmtId="0" fontId="33" fillId="21" borderId="0" applyAlignment="1" applyProtection="1" pivotButton="0" quotePrefix="1" xfId="0">
      <alignment horizontal="left" vertical="center" wrapText="1"/>
      <protection locked="0" hidden="0"/>
    </xf>
    <xf numFmtId="0" fontId="35" fillId="21" borderId="0" applyProtection="1" pivotButton="0" quotePrefix="0" xfId="0">
      <protection locked="0" hidden="0"/>
    </xf>
    <xf numFmtId="0" fontId="0" fillId="21" borderId="0" applyProtection="1" pivotButton="0" quotePrefix="0" xfId="0">
      <protection locked="0" hidden="0"/>
    </xf>
    <xf numFmtId="1" fontId="0" fillId="21" borderId="0" applyProtection="1" pivotButton="0" quotePrefix="0" xfId="0">
      <protection locked="0" hidden="0"/>
    </xf>
    <xf numFmtId="0" fontId="0" fillId="21" borderId="0" applyAlignment="1" applyProtection="1" pivotButton="0" quotePrefix="0" xfId="0">
      <alignment vertical="center"/>
      <protection locked="0" hidden="0"/>
    </xf>
    <xf numFmtId="0" fontId="29" fillId="21" borderId="0" applyAlignment="1" applyProtection="1" pivotButton="0" quotePrefix="0" xfId="0">
      <alignment horizontal="right" vertical="center"/>
      <protection locked="0" hidden="0"/>
    </xf>
    <xf numFmtId="0" fontId="47" fillId="21" borderId="0" applyAlignment="1" applyProtection="1" pivotButton="0" quotePrefix="0" xfId="0">
      <alignment horizontal="center" vertical="center"/>
      <protection locked="0" hidden="0"/>
    </xf>
    <xf numFmtId="0" fontId="47" fillId="21" borderId="0" applyAlignment="1" applyProtection="1" pivotButton="0" quotePrefix="0" xfId="0">
      <alignment horizontal="left" vertical="center"/>
      <protection locked="0" hidden="0"/>
    </xf>
    <xf numFmtId="0" fontId="35" fillId="19" borderId="0" applyProtection="1" pivotButton="0" quotePrefix="0" xfId="0">
      <protection locked="0" hidden="0"/>
    </xf>
    <xf numFmtId="0" fontId="48" fillId="0" borderId="9" applyProtection="1" pivotButton="0" quotePrefix="0" xfId="0">
      <protection locked="0" hidden="0"/>
    </xf>
    <xf numFmtId="0" fontId="49" fillId="0" borderId="23" applyProtection="1" pivotButton="0" quotePrefix="0" xfId="0">
      <protection locked="0" hidden="0"/>
    </xf>
    <xf numFmtId="0" fontId="49" fillId="0" borderId="9" applyProtection="1" pivotButton="0" quotePrefix="0" xfId="0">
      <protection locked="0" hidden="0"/>
    </xf>
    <xf numFmtId="0" fontId="49" fillId="0" borderId="10" applyProtection="1" pivotButton="0" quotePrefix="0" xfId="0">
      <protection locked="0" hidden="0"/>
    </xf>
    <xf numFmtId="0" fontId="35" fillId="0" borderId="32" applyAlignment="1" applyProtection="1" pivotButton="0" quotePrefix="0" xfId="0">
      <alignment horizontal="center"/>
      <protection locked="0" hidden="0"/>
    </xf>
    <xf numFmtId="0" fontId="35" fillId="0" borderId="10" applyAlignment="1" applyProtection="1" pivotButton="0" quotePrefix="1" xfId="0">
      <alignment horizontal="left" vertical="top"/>
      <protection locked="0" hidden="0"/>
    </xf>
    <xf numFmtId="0" fontId="0" fillId="0" borderId="11" applyProtection="1" pivotButton="0" quotePrefix="0" xfId="0">
      <protection locked="0" hidden="0"/>
    </xf>
    <xf numFmtId="0" fontId="35" fillId="0" borderId="10" applyAlignment="1" applyProtection="1" pivotButton="0" quotePrefix="0" xfId="0">
      <alignment vertical="top"/>
      <protection locked="0" hidden="0"/>
    </xf>
    <xf numFmtId="0" fontId="49" fillId="0" borderId="32" applyAlignment="1" applyProtection="1" pivotButton="0" quotePrefix="0" xfId="0">
      <alignment horizontal="center" vertical="top"/>
      <protection locked="0" hidden="0"/>
    </xf>
    <xf numFmtId="0" fontId="49" fillId="0" borderId="14" applyProtection="1" pivotButton="0" quotePrefix="0" xfId="0">
      <protection locked="0" hidden="0"/>
    </xf>
    <xf numFmtId="0" fontId="49" fillId="0" borderId="24" applyProtection="1" pivotButton="0" quotePrefix="0" xfId="0">
      <protection locked="0" hidden="0"/>
    </xf>
    <xf numFmtId="0" fontId="0" fillId="0" borderId="79" applyAlignment="1" applyProtection="1" pivotButton="0" quotePrefix="0" xfId="0">
      <alignment horizontal="center"/>
      <protection locked="0" hidden="0"/>
    </xf>
    <xf numFmtId="0" fontId="48" fillId="0" borderId="14" applyProtection="1" pivotButton="0" quotePrefix="0" xfId="0">
      <protection locked="0" hidden="0"/>
    </xf>
    <xf numFmtId="0" fontId="0" fillId="0" borderId="15" applyProtection="1" pivotButton="0" quotePrefix="0" xfId="0">
      <protection locked="0" hidden="0"/>
    </xf>
    <xf numFmtId="0" fontId="49" fillId="0" borderId="14" applyAlignment="1" applyProtection="1" pivotButton="0" quotePrefix="1" xfId="0">
      <alignment horizontal="left"/>
      <protection locked="0" hidden="0"/>
    </xf>
    <xf numFmtId="0" fontId="49" fillId="0" borderId="15" applyAlignment="1" applyProtection="1" pivotButton="0" quotePrefix="1" xfId="0">
      <alignment horizontal="left"/>
      <protection locked="0" hidden="0"/>
    </xf>
    <xf numFmtId="0" fontId="0" fillId="0" borderId="80" applyAlignment="1" applyProtection="1" pivotButton="0" quotePrefix="0" xfId="0">
      <alignment horizontal="center"/>
      <protection locked="0" hidden="0"/>
    </xf>
    <xf numFmtId="0" fontId="50" fillId="0" borderId="15" applyAlignment="1" applyProtection="1" pivotButton="0" quotePrefix="1" xfId="0">
      <alignment horizontal="left" vertical="top"/>
      <protection locked="0" hidden="0"/>
    </xf>
    <xf numFmtId="0" fontId="0" fillId="0" borderId="16" applyProtection="1" pivotButton="0" quotePrefix="0" xfId="0">
      <protection locked="0" hidden="0"/>
    </xf>
    <xf numFmtId="0" fontId="0" fillId="0" borderId="80" applyProtection="1" pivotButton="0" quotePrefix="0" xfId="0">
      <protection locked="0" hidden="0"/>
    </xf>
    <xf numFmtId="0" fontId="35" fillId="0" borderId="0" pivotButton="0" quotePrefix="0" xfId="0"/>
    <xf numFmtId="0" fontId="51" fillId="0" borderId="0" pivotButton="0" quotePrefix="0" xfId="0"/>
    <xf numFmtId="0" fontId="52" fillId="0" borderId="0" applyAlignment="1" applyProtection="1" pivotButton="0" quotePrefix="1" xfId="0">
      <alignment horizontal="left" vertical="justify"/>
      <protection locked="0" hidden="0"/>
    </xf>
    <xf numFmtId="0" fontId="0" fillId="0" borderId="0" pivotButton="0" quotePrefix="0" xfId="0"/>
    <xf numFmtId="164" fontId="0" fillId="0" borderId="34" pivotButton="0" quotePrefix="0" xfId="0"/>
    <xf numFmtId="164" fontId="0" fillId="9" borderId="1" pivotButton="0" quotePrefix="0" xfId="0"/>
    <xf numFmtId="164" fontId="54" fillId="0" borderId="0" pivotButton="0" quotePrefix="0" xfId="0"/>
    <xf numFmtId="0" fontId="54" fillId="0" borderId="0" pivotButton="0" quotePrefix="0" xfId="0"/>
    <xf numFmtId="0" fontId="54" fillId="0" borderId="0" applyAlignment="1" pivotButton="0" quotePrefix="0" xfId="0">
      <alignment horizontal="center" vertical="center"/>
    </xf>
    <xf numFmtId="0" fontId="54" fillId="0" borderId="0" applyAlignment="1" pivotButton="0" quotePrefix="1" xfId="0">
      <alignment horizontal="center" vertical="center"/>
    </xf>
    <xf numFmtId="0" fontId="55" fillId="22" borderId="87" pivotButton="0" quotePrefix="0" xfId="0"/>
    <xf numFmtId="0" fontId="55" fillId="16" borderId="85" pivotButton="0" quotePrefix="0" xfId="0"/>
    <xf numFmtId="0" fontId="55" fillId="22" borderId="85" pivotButton="0" quotePrefix="0" xfId="0"/>
    <xf numFmtId="0" fontId="55" fillId="16" borderId="86" pivotButton="0" quotePrefix="0" xfId="0"/>
    <xf numFmtId="0" fontId="54" fillId="0" borderId="0" pivotButton="0" quotePrefix="1" xfId="0"/>
    <xf numFmtId="2" fontId="0" fillId="0" borderId="0" pivotButton="0" quotePrefix="0" xfId="0"/>
    <xf numFmtId="0" fontId="7"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wrapText="1"/>
    </xf>
    <xf numFmtId="0" fontId="7" fillId="0" borderId="1" pivotButton="0" quotePrefix="0" xfId="0"/>
    <xf numFmtId="0" fontId="59" fillId="16" borderId="5" applyAlignment="1" pivotButton="0" quotePrefix="0" xfId="0">
      <alignment horizontal="center" vertical="center"/>
    </xf>
    <xf numFmtId="0" fontId="59" fillId="0" borderId="17" applyAlignment="1" pivotButton="0" quotePrefix="0" xfId="0">
      <alignment horizontal="center" vertical="center"/>
    </xf>
    <xf numFmtId="0" fontId="59" fillId="0" borderId="5" applyAlignment="1" pivotButton="0" quotePrefix="0" xfId="0">
      <alignment horizontal="center" vertical="center"/>
    </xf>
    <xf numFmtId="0" fontId="59" fillId="0" borderId="1" applyAlignment="1" pivotButton="0" quotePrefix="0" xfId="0">
      <alignment horizontal="center"/>
    </xf>
    <xf numFmtId="0" fontId="59" fillId="0" borderId="1" pivotButton="0" quotePrefix="0" xfId="0"/>
    <xf numFmtId="0" fontId="59" fillId="16" borderId="17" applyAlignment="1" pivotButton="0" quotePrefix="0" xfId="0">
      <alignment horizontal="center" vertical="center"/>
    </xf>
    <xf numFmtId="0" fontId="59" fillId="16" borderId="1" applyAlignment="1" pivotButton="0" quotePrefix="0" xfId="0">
      <alignment horizontal="center" vertical="center"/>
    </xf>
    <xf numFmtId="0" fontId="59" fillId="0" borderId="1" applyAlignment="1" pivotButton="0" quotePrefix="0" xfId="0">
      <alignment horizontal="center" vertical="center"/>
    </xf>
    <xf numFmtId="0" fontId="60" fillId="0" borderId="1" pivotButton="0" quotePrefix="0" xfId="0"/>
    <xf numFmtId="0" fontId="59" fillId="0" borderId="0" pivotButton="0" quotePrefix="0" xfId="0"/>
    <xf numFmtId="0" fontId="59" fillId="0" borderId="22" applyAlignment="1" pivotButton="0" quotePrefix="0" xfId="0">
      <alignment horizontal="center" vertical="center"/>
    </xf>
    <xf numFmtId="0" fontId="59" fillId="16" borderId="22" applyAlignment="1" pivotButton="0" quotePrefix="0" xfId="0">
      <alignment horizontal="center" vertical="center"/>
    </xf>
    <xf numFmtId="0" fontId="59" fillId="16" borderId="77" applyAlignment="1" pivotButton="0" quotePrefix="0" xfId="0">
      <alignment horizontal="center" vertical="center"/>
    </xf>
    <xf numFmtId="0" fontId="59" fillId="16" borderId="34" applyAlignment="1" pivotButton="0" quotePrefix="0" xfId="0">
      <alignment horizontal="center" vertical="center"/>
    </xf>
    <xf numFmtId="0" fontId="59" fillId="0" borderId="52" applyAlignment="1" pivotButton="0" quotePrefix="0" xfId="0">
      <alignment horizontal="center" vertical="center"/>
    </xf>
    <xf numFmtId="0" fontId="59" fillId="16" borderId="52" applyAlignment="1" pivotButton="0" quotePrefix="0" xfId="0">
      <alignment horizontal="center" vertical="center"/>
    </xf>
    <xf numFmtId="0" fontId="59" fillId="16" borderId="12" applyAlignment="1" pivotButton="0" quotePrefix="0" xfId="0">
      <alignment horizontal="center" vertical="center"/>
    </xf>
    <xf numFmtId="0" fontId="59" fillId="16" borderId="78" applyAlignment="1" pivotButton="0" quotePrefix="0" xfId="0">
      <alignment horizontal="center" vertical="center"/>
    </xf>
    <xf numFmtId="0" fontId="59" fillId="16" borderId="27" applyAlignment="1" pivotButton="0" quotePrefix="0" xfId="0">
      <alignment horizontal="center" vertical="center"/>
    </xf>
    <xf numFmtId="0" fontId="57" fillId="0" borderId="0" applyAlignment="1" pivotButton="0" quotePrefix="0" xfId="0">
      <alignment horizontal="center" vertical="center" wrapText="1"/>
    </xf>
    <xf numFmtId="3" fontId="57" fillId="0" borderId="0" applyAlignment="1" pivotButton="0" quotePrefix="0" xfId="0">
      <alignment horizontal="center" vertical="center" wrapText="1"/>
    </xf>
    <xf numFmtId="0" fontId="57" fillId="23" borderId="0" applyAlignment="1" pivotButton="0" quotePrefix="0" xfId="0">
      <alignment horizontal="center" vertical="center" wrapText="1"/>
    </xf>
    <xf numFmtId="0" fontId="57" fillId="23" borderId="0" applyAlignment="1" pivotButton="0" quotePrefix="0" xfId="0">
      <alignment horizontal="left" vertical="center" wrapText="1"/>
    </xf>
    <xf numFmtId="0" fontId="57" fillId="0" borderId="0" applyAlignment="1" pivotButton="0" quotePrefix="0" xfId="0">
      <alignment horizontal="left" vertical="center" wrapText="1"/>
    </xf>
    <xf numFmtId="0" fontId="57" fillId="0" borderId="0" applyAlignment="1" pivotButton="0" quotePrefix="0" xfId="0">
      <alignment horizontal="justify" vertical="center" wrapText="1"/>
    </xf>
    <xf numFmtId="0" fontId="57" fillId="23" borderId="0" applyAlignment="1" pivotButton="0" quotePrefix="0" xfId="0">
      <alignment horizontal="justify" vertical="center" wrapText="1"/>
    </xf>
    <xf numFmtId="3" fontId="57" fillId="23" borderId="0" applyAlignment="1" pivotButton="0" quotePrefix="0" xfId="0">
      <alignment horizontal="center" vertical="center" wrapText="1"/>
    </xf>
    <xf numFmtId="0" fontId="0" fillId="0" borderId="0" pivotButton="0" quotePrefix="0" xfId="0"/>
    <xf numFmtId="0" fontId="61" fillId="0" borderId="0" pivotButton="0" quotePrefix="0" xfId="0"/>
    <xf numFmtId="0" fontId="22" fillId="17" borderId="64" applyAlignment="1" pivotButton="0" quotePrefix="0" xfId="0">
      <alignment horizontal="center" vertical="top" wrapText="1"/>
    </xf>
    <xf numFmtId="0" fontId="21" fillId="17" borderId="64" applyAlignment="1" pivotButton="0" quotePrefix="0" xfId="0">
      <alignment horizontal="center" vertical="top" wrapText="1"/>
    </xf>
    <xf numFmtId="0" fontId="21" fillId="17" borderId="64" applyAlignment="1" pivotButton="0" quotePrefix="0" xfId="0">
      <alignment vertical="top" wrapText="1" indent="1"/>
    </xf>
    <xf numFmtId="0" fontId="22" fillId="0" borderId="64" applyAlignment="1" pivotButton="0" quotePrefix="0" xfId="0">
      <alignment horizontal="center" vertical="top" wrapText="1"/>
    </xf>
    <xf numFmtId="0" fontId="22" fillId="0" borderId="65" applyAlignment="1" pivotButton="0" quotePrefix="0" xfId="0">
      <alignment horizontal="center" vertical="top" wrapText="1"/>
    </xf>
    <xf numFmtId="0" fontId="21" fillId="0" borderId="64" applyAlignment="1" pivotButton="0" quotePrefix="0" xfId="0">
      <alignment vertical="top" wrapText="1" indent="1"/>
    </xf>
    <xf numFmtId="0" fontId="21" fillId="0" borderId="64" applyAlignment="1" pivotButton="0" quotePrefix="0" xfId="0">
      <alignment horizontal="center" vertical="top" wrapText="1"/>
    </xf>
    <xf numFmtId="0" fontId="21" fillId="17" borderId="67" applyAlignment="1" pivotButton="0" quotePrefix="0" xfId="0">
      <alignment horizontal="left" vertical="top" wrapText="1" indent="1"/>
    </xf>
    <xf numFmtId="0" fontId="21" fillId="0" borderId="67" applyAlignment="1" pivotButton="0" quotePrefix="0" xfId="0">
      <alignment horizontal="left" vertical="top" wrapText="1" indent="1"/>
    </xf>
    <xf numFmtId="0" fontId="21" fillId="0" borderId="95" applyAlignment="1" pivotButton="0" quotePrefix="0" xfId="0">
      <alignment horizontal="left" vertical="top" wrapText="1" indent="1"/>
    </xf>
    <xf numFmtId="0" fontId="21" fillId="17" borderId="95" applyAlignment="1" pivotButton="0" quotePrefix="0" xfId="0">
      <alignment horizontal="left" vertical="top" wrapText="1" indent="1"/>
    </xf>
    <xf numFmtId="0" fontId="21" fillId="17" borderId="66" applyAlignment="1" pivotButton="0" quotePrefix="0" xfId="0">
      <alignment vertical="top" wrapText="1" indent="1"/>
    </xf>
    <xf numFmtId="0" fontId="21" fillId="0" borderId="66" applyAlignment="1" pivotButton="0" quotePrefix="0" xfId="0">
      <alignment vertical="top" wrapText="1" indent="1"/>
    </xf>
    <xf numFmtId="0" fontId="21" fillId="0" borderId="94" applyAlignment="1" pivotButton="0" quotePrefix="0" xfId="0">
      <alignment vertical="top" wrapText="1" indent="1"/>
    </xf>
    <xf numFmtId="0" fontId="21" fillId="17" borderId="94" applyAlignment="1" pivotButton="0" quotePrefix="0" xfId="0">
      <alignment vertical="top" wrapText="1" indent="1"/>
    </xf>
    <xf numFmtId="0" fontId="22" fillId="0" borderId="96" applyAlignment="1" pivotButton="0" quotePrefix="0" xfId="0">
      <alignment horizontal="center" vertical="top" wrapText="1"/>
    </xf>
    <xf numFmtId="0" fontId="22" fillId="0" borderId="97" applyAlignment="1" pivotButton="0" quotePrefix="0" xfId="0">
      <alignment horizontal="center" vertical="top" wrapText="1"/>
    </xf>
    <xf numFmtId="0" fontId="0" fillId="3" borderId="0" applyAlignment="1" pivotButton="0" quotePrefix="0" xfId="0">
      <alignment horizontal="center" vertical="center" wrapText="1"/>
    </xf>
    <xf numFmtId="164" fontId="0" fillId="3" borderId="0" applyAlignment="1" pivotButton="0" quotePrefix="0" xfId="0">
      <alignment horizontal="center" vertical="center" wrapText="1"/>
    </xf>
    <xf numFmtId="0" fontId="0" fillId="5" borderId="9" pivotButton="0" quotePrefix="0" xfId="0"/>
    <xf numFmtId="0" fontId="0" fillId="5" borderId="34" applyAlignment="1" pivotButton="0" quotePrefix="0" xfId="0">
      <alignment vertical="center"/>
    </xf>
    <xf numFmtId="0" fontId="0" fillId="5" borderId="35" applyAlignment="1" pivotButton="0" quotePrefix="0" xfId="0">
      <alignment vertical="center"/>
    </xf>
    <xf numFmtId="0" fontId="0" fillId="15" borderId="1" applyAlignment="1" pivotButton="0" quotePrefix="0" xfId="0">
      <alignment horizontal="center"/>
    </xf>
    <xf numFmtId="0" fontId="0" fillId="15" borderId="0" pivotButton="0" quotePrefix="0" xfId="0"/>
    <xf numFmtId="0" fontId="0" fillId="15" borderId="1" applyAlignment="1" pivotButton="0" quotePrefix="0" xfId="0">
      <alignment vertical="center"/>
    </xf>
    <xf numFmtId="0" fontId="0" fillId="15" borderId="1" applyAlignment="1" pivotButton="0" quotePrefix="0" xfId="0">
      <alignment horizontal="center" vertical="center"/>
    </xf>
    <xf numFmtId="0" fontId="0" fillId="15" borderId="0" applyAlignment="1" pivotButton="0" quotePrefix="0" xfId="0">
      <alignment vertical="center"/>
    </xf>
    <xf numFmtId="0" fontId="0" fillId="15" borderId="0" applyAlignment="1" pivotButton="0" quotePrefix="0" xfId="0">
      <alignment horizontal="center" vertical="center"/>
    </xf>
    <xf numFmtId="0" fontId="0" fillId="15" borderId="0" pivotButton="0" quotePrefix="0" xfId="0"/>
    <xf numFmtId="0" fontId="0" fillId="15" borderId="1" applyAlignment="1" pivotButton="0" quotePrefix="0" xfId="0">
      <alignment horizontal="center" vertical="center"/>
    </xf>
    <xf numFmtId="0" fontId="0" fillId="15" borderId="0" applyAlignment="1" pivotButton="0" quotePrefix="0" xfId="0">
      <alignment horizontal="left"/>
    </xf>
    <xf numFmtId="0" fontId="0" fillId="15" borderId="0" pivotButton="0" quotePrefix="0" xfId="0"/>
    <xf numFmtId="0" fontId="0" fillId="15" borderId="0"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horizontal="left"/>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8" borderId="1" applyAlignment="1" pivotButton="0" quotePrefix="0" xfId="0">
      <alignment horizontal="center"/>
    </xf>
    <xf numFmtId="16" fontId="0" fillId="15" borderId="1" applyAlignment="1" pivotButton="0" quotePrefix="0" xfId="0">
      <alignment horizontal="center"/>
    </xf>
    <xf numFmtId="0" fontId="0" fillId="15" borderId="34" applyAlignment="1" pivotButton="0" quotePrefix="0" xfId="0">
      <alignment horizontal="center" vertical="center"/>
    </xf>
    <xf numFmtId="0" fontId="0" fillId="5"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xf>
    <xf numFmtId="0" fontId="0" fillId="15" borderId="1" applyAlignment="1" pivotButton="0" quotePrefix="0" xfId="0">
      <alignment horizontal="center" vertical="center"/>
    </xf>
    <xf numFmtId="0" fontId="0" fillId="15" borderId="20" applyAlignment="1" pivotButton="0" quotePrefix="0" xfId="0">
      <alignment horizontal="center" vertical="center"/>
    </xf>
    <xf numFmtId="0" fontId="0" fillId="15" borderId="22" applyAlignment="1" pivotButton="0" quotePrefix="0" xfId="0">
      <alignment horizontal="center" vertical="center"/>
    </xf>
    <xf numFmtId="0" fontId="0" fillId="5" borderId="1" applyAlignment="1" pivotButton="0" quotePrefix="0" xfId="0">
      <alignment horizontal="center"/>
    </xf>
    <xf numFmtId="0" fontId="0" fillId="5" borderId="0" pivotButton="0" quotePrefix="0" xfId="0"/>
    <xf numFmtId="0" fontId="0" fillId="15" borderId="1" applyAlignment="1" pivotButton="0" quotePrefix="0" xfId="0">
      <alignment horizontal="center"/>
    </xf>
    <xf numFmtId="0" fontId="0" fillId="15" borderId="34" applyAlignment="1" pivotButton="0" quotePrefix="0" xfId="0">
      <alignment horizontal="center" vertical="center" wrapText="1"/>
    </xf>
    <xf numFmtId="0" fontId="0" fillId="15" borderId="27" applyAlignment="1" pivotButton="0" quotePrefix="0" xfId="0">
      <alignment horizontal="center"/>
    </xf>
    <xf numFmtId="0" fontId="0" fillId="15" borderId="34" applyAlignment="1" pivotButton="0" quotePrefix="0" xfId="0">
      <alignment horizontal="center"/>
    </xf>
    <xf numFmtId="0" fontId="0" fillId="15" borderId="22" applyAlignment="1" pivotButton="0" quotePrefix="0" xfId="0">
      <alignment vertical="center"/>
    </xf>
    <xf numFmtId="0" fontId="0" fillId="0" borderId="1" applyAlignment="1" pivotButton="0" quotePrefix="0" xfId="0">
      <alignment horizontal="center" vertical="center"/>
    </xf>
    <xf numFmtId="0" fontId="0" fillId="5" borderId="22" applyAlignment="1" pivotButton="0" quotePrefix="0" xfId="0">
      <alignment horizontal="center"/>
    </xf>
    <xf numFmtId="0" fontId="0" fillId="5" borderId="20" applyAlignment="1" pivotButton="0" quotePrefix="0" xfId="0">
      <alignment horizontal="center"/>
    </xf>
    <xf numFmtId="0" fontId="0" fillId="5" borderId="77" pivotButton="0" quotePrefix="0" xfId="0"/>
    <xf numFmtId="0" fontId="0" fillId="5" borderId="34" pivotButton="0" quotePrefix="0" xfId="0"/>
    <xf numFmtId="0" fontId="0" fillId="5" borderId="34" applyAlignment="1" pivotButton="0" quotePrefix="0" xfId="0">
      <alignment horizontal="center" vertical="center"/>
    </xf>
    <xf numFmtId="0" fontId="0" fillId="5" borderId="69" pivotButton="0" quotePrefix="0" xfId="0"/>
    <xf numFmtId="0" fontId="0" fillId="0" borderId="39" pivotButton="0" quotePrefix="0" xfId="0"/>
    <xf numFmtId="0" fontId="0" fillId="15" borderId="22" pivotButton="0" quotePrefix="0" xfId="0"/>
    <xf numFmtId="0" fontId="0" fillId="15" borderId="20" applyAlignment="1" pivotButton="0" quotePrefix="0" xfId="0">
      <alignment horizontal="center"/>
    </xf>
    <xf numFmtId="0" fontId="0" fillId="15" borderId="77" pivotButton="0" quotePrefix="0" xfId="0"/>
    <xf numFmtId="0" fontId="0" fillId="15" borderId="69" applyAlignment="1" pivotButton="0" quotePrefix="0" xfId="0">
      <alignment horizontal="center"/>
    </xf>
    <xf numFmtId="0" fontId="0" fillId="15" borderId="78" pivotButton="0" quotePrefix="0" xfId="0"/>
    <xf numFmtId="0" fontId="0" fillId="15" borderId="39" applyAlignment="1" pivotButton="0" quotePrefix="0" xfId="0">
      <alignment horizontal="center"/>
    </xf>
    <xf numFmtId="0" fontId="0" fillId="15" borderId="77" applyAlignment="1" pivotButton="0" quotePrefix="0" xfId="0">
      <alignment horizontal="center" vertical="center"/>
    </xf>
    <xf numFmtId="0" fontId="0" fillId="15" borderId="27" applyAlignment="1" pivotButton="0" quotePrefix="0" xfId="0">
      <alignment horizontal="center" vertical="center"/>
    </xf>
    <xf numFmtId="0" fontId="0" fillId="15" borderId="39" applyAlignment="1" pivotButton="0" quotePrefix="0" xfId="0">
      <alignment horizontal="center" vertical="center"/>
    </xf>
    <xf numFmtId="0" fontId="0" fillId="15" borderId="22" pivotButton="0" quotePrefix="0" xfId="0"/>
    <xf numFmtId="0" fontId="0" fillId="15" borderId="77" applyAlignment="1" pivotButton="0" quotePrefix="0" xfId="0">
      <alignment vertical="center"/>
    </xf>
    <xf numFmtId="0" fontId="0" fillId="15" borderId="69" applyAlignment="1" pivotButton="0" quotePrefix="0" xfId="0">
      <alignment horizontal="center" vertical="center"/>
    </xf>
    <xf numFmtId="0" fontId="0" fillId="15" borderId="78" pivotButton="0" quotePrefix="0" xfId="0"/>
    <xf numFmtId="164" fontId="0" fillId="15" borderId="20" applyAlignment="1" pivotButton="0" quotePrefix="0" xfId="0">
      <alignment horizontal="center" vertical="center"/>
    </xf>
    <xf numFmtId="0" fontId="0" fillId="15" borderId="78" applyAlignment="1" pivotButton="0" quotePrefix="0" xfId="0">
      <alignment horizontal="center" vertical="center"/>
    </xf>
    <xf numFmtId="0" fontId="0" fillId="15" borderId="30" applyAlignment="1" pivotButton="0" quotePrefix="0" xfId="0">
      <alignment vertical="center"/>
    </xf>
    <xf numFmtId="0" fontId="0" fillId="15" borderId="22" applyAlignment="1" pivotButton="0" quotePrefix="0" xfId="0">
      <alignment horizontal="left" vertical="center"/>
    </xf>
    <xf numFmtId="0" fontId="0" fillId="15" borderId="69" applyAlignment="1" pivotButton="0" quotePrefix="0" xfId="0">
      <alignment horizontal="center" vertical="center" wrapText="1"/>
    </xf>
    <xf numFmtId="0" fontId="0" fillId="15" borderId="78" applyAlignment="1" pivotButton="0" quotePrefix="0" xfId="0">
      <alignment horizontal="left" vertical="center"/>
    </xf>
    <xf numFmtId="0" fontId="0" fillId="15" borderId="98" applyAlignment="1" pivotButton="0" quotePrefix="0" xfId="0">
      <alignment horizontal="center" vertical="center"/>
    </xf>
    <xf numFmtId="0" fontId="0" fillId="15" borderId="70" applyAlignment="1" pivotButton="0" quotePrefix="0" xfId="0">
      <alignment horizontal="center" vertical="center" wrapText="1"/>
    </xf>
    <xf numFmtId="0" fontId="0" fillId="15" borderId="45" applyAlignment="1" pivotButton="0" quotePrefix="0" xfId="0">
      <alignment horizontal="center" vertical="center"/>
    </xf>
    <xf numFmtId="0" fontId="7" fillId="0" borderId="0" applyAlignment="1" pivotButton="0" quotePrefix="0" xfId="0">
      <alignment wrapText="1"/>
    </xf>
    <xf numFmtId="0" fontId="11" fillId="10" borderId="99" applyAlignment="1" pivotButton="0" quotePrefix="0" xfId="0">
      <alignment horizontal="center" vertical="top"/>
    </xf>
    <xf numFmtId="0" fontId="11" fillId="10" borderId="100" applyAlignment="1" pivotButton="0" quotePrefix="0" xfId="0">
      <alignment horizontal="center" vertical="top" wrapText="1"/>
    </xf>
    <xf numFmtId="0" fontId="11" fillId="10" borderId="101" applyAlignment="1" pivotButton="0" quotePrefix="0" xfId="0">
      <alignment horizontal="center" vertical="top"/>
    </xf>
    <xf numFmtId="0" fontId="11" fillId="10" borderId="102" applyAlignment="1" pivotButton="0" quotePrefix="0" xfId="0">
      <alignment horizontal="center" vertical="top"/>
    </xf>
    <xf numFmtId="0" fontId="11" fillId="10" borderId="103" applyAlignment="1" pivotButton="0" quotePrefix="0" xfId="0">
      <alignment horizontal="center" vertical="top" wrapText="1"/>
    </xf>
    <xf numFmtId="0" fontId="11" fillId="10" borderId="99" applyAlignment="1" pivotButton="0" quotePrefix="0" xfId="0">
      <alignment horizontal="center" vertical="top" wrapText="1"/>
    </xf>
    <xf numFmtId="0" fontId="11" fillId="10" borderId="105" applyAlignment="1" pivotButton="0" quotePrefix="0" xfId="0">
      <alignment horizontal="center" vertical="top" wrapText="1"/>
    </xf>
    <xf numFmtId="0" fontId="11" fillId="10" borderId="104" applyAlignment="1" pivotButton="0" quotePrefix="0" xfId="0">
      <alignment horizontal="center" vertical="top" wrapText="1"/>
    </xf>
    <xf numFmtId="0" fontId="10" fillId="10" borderId="106" applyAlignment="1" pivotButton="0" quotePrefix="0" xfId="0">
      <alignment horizontal="center" vertical="center" wrapText="1"/>
    </xf>
    <xf numFmtId="0" fontId="9" fillId="10" borderId="106" applyAlignment="1" pivotButton="0" quotePrefix="0" xfId="0">
      <alignment horizontal="center" vertical="center" wrapText="1"/>
    </xf>
    <xf numFmtId="0" fontId="11" fillId="10" borderId="109" applyAlignment="1" pivotButton="0" quotePrefix="0" xfId="0">
      <alignment horizontal="center" vertical="top" wrapText="1"/>
    </xf>
    <xf numFmtId="0" fontId="11" fillId="10" borderId="102" applyAlignment="1" pivotButton="0" quotePrefix="0" xfId="0">
      <alignment horizontal="center" vertical="top" wrapText="1"/>
    </xf>
    <xf numFmtId="0" fontId="0" fillId="8" borderId="77" applyAlignment="1" pivotButton="0" quotePrefix="0" xfId="0">
      <alignment horizontal="left" vertical="center" wrapText="1"/>
    </xf>
    <xf numFmtId="0" fontId="0" fillId="8" borderId="22" applyAlignment="1" pivotButton="0" quotePrefix="0" xfId="0">
      <alignment horizontal="left" vertical="center" wrapText="1"/>
    </xf>
    <xf numFmtId="0" fontId="0" fillId="8" borderId="69" applyAlignment="1" pivotButton="0" quotePrefix="0" xfId="0">
      <alignment horizontal="center" vertical="center" wrapText="1"/>
    </xf>
    <xf numFmtId="1" fontId="0" fillId="8" borderId="20" applyAlignment="1" pivotButton="0" quotePrefix="0" xfId="0">
      <alignment horizontal="center" vertical="center" wrapText="1"/>
    </xf>
    <xf numFmtId="0" fontId="2" fillId="8" borderId="84" applyAlignment="1" pivotButton="0" quotePrefix="0" xfId="0">
      <alignment wrapText="1"/>
    </xf>
    <xf numFmtId="0" fontId="0" fillId="8" borderId="78" applyAlignment="1" pivotButton="0" quotePrefix="0" xfId="0">
      <alignment horizontal="left" vertical="center" wrapText="1"/>
    </xf>
    <xf numFmtId="0" fontId="0" fillId="8" borderId="27" applyAlignment="1" pivotButton="0" quotePrefix="0" xfId="0">
      <alignment horizontal="center" vertical="center" wrapText="1"/>
    </xf>
    <xf numFmtId="1" fontId="0" fillId="8" borderId="39" applyAlignment="1" pivotButton="0" quotePrefix="0" xfId="0">
      <alignment horizontal="center" vertical="center" wrapText="1"/>
    </xf>
    <xf numFmtId="0" fontId="0" fillId="3" borderId="22" pivotButton="0" quotePrefix="0" xfId="0"/>
    <xf numFmtId="164" fontId="0" fillId="3" borderId="20" applyAlignment="1" pivotButton="0" quotePrefix="0" xfId="0">
      <alignment horizontal="center" vertical="center" wrapText="1"/>
    </xf>
    <xf numFmtId="0" fontId="0" fillId="3" borderId="77" pivotButton="0" quotePrefix="0" xfId="0"/>
    <xf numFmtId="0" fontId="0" fillId="3" borderId="34" applyAlignment="1" pivotButton="0" quotePrefix="0" xfId="0">
      <alignment horizontal="center" vertical="center" wrapText="1"/>
    </xf>
    <xf numFmtId="0" fontId="0" fillId="3" borderId="69" applyAlignment="1" pivotButton="0" quotePrefix="0" xfId="0">
      <alignment horizontal="center" vertical="center" wrapText="1"/>
    </xf>
    <xf numFmtId="0" fontId="0" fillId="3" borderId="78" pivotButton="0" quotePrefix="0" xfId="0"/>
    <xf numFmtId="0" fontId="0" fillId="3" borderId="27" applyAlignment="1" pivotButton="0" quotePrefix="0" xfId="0">
      <alignment horizontal="center" vertical="center" wrapText="1"/>
    </xf>
    <xf numFmtId="164" fontId="0" fillId="3" borderId="39" applyAlignment="1" pivotButton="0" quotePrefix="0" xfId="0">
      <alignment horizontal="center" vertical="center" wrapText="1"/>
    </xf>
    <xf numFmtId="0" fontId="0" fillId="0" borderId="34" applyAlignment="1" pivotButton="0" quotePrefix="0" xfId="0">
      <alignment vertical="center" wrapText="1"/>
    </xf>
    <xf numFmtId="0" fontId="0" fillId="0" borderId="34" applyAlignment="1" pivotButton="0" quotePrefix="0" xfId="0">
      <alignment horizontal="center"/>
    </xf>
    <xf numFmtId="0" fontId="0" fillId="0" borderId="0" applyAlignment="1" pivotButton="0" quotePrefix="0" xfId="0">
      <alignment vertical="center" wrapText="1"/>
    </xf>
    <xf numFmtId="0" fontId="0" fillId="0" borderId="0" applyAlignment="1" pivotButton="0" quotePrefix="0" xfId="0">
      <alignment vertical="center"/>
    </xf>
    <xf numFmtId="0" fontId="0" fillId="0" borderId="77" applyAlignment="1" pivotButton="0" quotePrefix="0" xfId="0">
      <alignment vertical="center" wrapText="1"/>
    </xf>
    <xf numFmtId="0" fontId="0" fillId="0" borderId="22" applyAlignment="1" pivotButton="0" quotePrefix="0" xfId="0">
      <alignment horizontal="left"/>
    </xf>
    <xf numFmtId="0" fontId="0" fillId="0" borderId="22" applyAlignment="1" pivotButton="0" quotePrefix="0" xfId="0">
      <alignment horizontal="left"/>
    </xf>
    <xf numFmtId="0" fontId="0" fillId="0" borderId="22" pivotButton="0" quotePrefix="0" xfId="0"/>
    <xf numFmtId="0" fontId="0" fillId="0" borderId="69" applyAlignment="1" pivotButton="0" quotePrefix="0" xfId="0">
      <alignment vertical="center" wrapText="1"/>
    </xf>
    <xf numFmtId="0" fontId="0" fillId="0" borderId="20" applyAlignment="1" pivotButton="0" quotePrefix="0" xfId="0">
      <alignment horizontal="center"/>
    </xf>
    <xf numFmtId="0" fontId="0" fillId="0" borderId="20" applyAlignment="1" pivotButton="0" quotePrefix="0" xfId="0">
      <alignment horizontal="center" vertical="center"/>
    </xf>
    <xf numFmtId="0" fontId="0" fillId="0" borderId="20" applyAlignment="1" pivotButton="0" quotePrefix="0" xfId="0">
      <alignment horizontal="center" vertical="center"/>
    </xf>
    <xf numFmtId="0" fontId="0" fillId="0" borderId="20" pivotButton="0" quotePrefix="0" xfId="0"/>
    <xf numFmtId="0" fontId="0" fillId="0" borderId="78" applyAlignment="1" pivotButton="0" quotePrefix="0" xfId="0">
      <alignment horizontal="left"/>
    </xf>
    <xf numFmtId="0" fontId="0" fillId="0" borderId="27" applyAlignment="1" pivotButton="0" quotePrefix="0" xfId="0">
      <alignment horizontal="center" vertical="center"/>
    </xf>
    <xf numFmtId="0" fontId="0" fillId="9" borderId="0" applyAlignment="1" pivotButton="0" quotePrefix="0" xfId="0">
      <alignment vertical="center" textRotation="90" wrapText="1"/>
    </xf>
    <xf numFmtId="0" fontId="0" fillId="9" borderId="0" pivotButton="0" quotePrefix="0" xfId="0"/>
    <xf numFmtId="0" fontId="0" fillId="8" borderId="22" pivotButton="0" quotePrefix="0" xfId="0"/>
    <xf numFmtId="0" fontId="0" fillId="8" borderId="20" pivotButton="0" quotePrefix="0" xfId="0"/>
    <xf numFmtId="0" fontId="0" fillId="8" borderId="77" pivotButton="0" quotePrefix="0" xfId="0"/>
    <xf numFmtId="0" fontId="0" fillId="8" borderId="34" applyAlignment="1" pivotButton="0" quotePrefix="0" xfId="0">
      <alignment vertical="center" wrapText="1"/>
    </xf>
    <xf numFmtId="0" fontId="0" fillId="8" borderId="69" applyAlignment="1" pivotButton="0" quotePrefix="0" xfId="0">
      <alignment horizontal="center" wrapText="1"/>
    </xf>
    <xf numFmtId="0" fontId="0" fillId="8" borderId="78" pivotButton="0" quotePrefix="0" xfId="0"/>
    <xf numFmtId="0" fontId="0" fillId="8" borderId="27" applyAlignment="1" pivotButton="0" quotePrefix="0" xfId="0">
      <alignment horizontal="center" vertical="center"/>
    </xf>
    <xf numFmtId="0" fontId="0" fillId="8" borderId="27" applyAlignment="1" pivotButton="0" quotePrefix="0" xfId="0">
      <alignment horizontal="center"/>
    </xf>
    <xf numFmtId="0" fontId="0" fillId="8" borderId="39" pivotButton="0" quotePrefix="0" xfId="0"/>
    <xf numFmtId="0" fontId="0" fillId="8" borderId="22" pivotButton="0" quotePrefix="0" xfId="0"/>
    <xf numFmtId="0" fontId="0" fillId="8" borderId="20" applyAlignment="1" pivotButton="0" quotePrefix="0" xfId="0">
      <alignment horizontal="center"/>
    </xf>
    <xf numFmtId="0" fontId="0" fillId="8" borderId="77" applyAlignment="1" pivotButton="0" quotePrefix="0" xfId="0">
      <alignment horizontal="center" vertical="center"/>
    </xf>
    <xf numFmtId="0" fontId="0" fillId="8" borderId="34" applyAlignment="1" pivotButton="0" quotePrefix="0" xfId="0">
      <alignment horizontal="center" vertical="center"/>
    </xf>
    <xf numFmtId="0" fontId="0" fillId="8" borderId="69" applyAlignment="1" pivotButton="0" quotePrefix="0" xfId="0">
      <alignment horizontal="center" vertical="center"/>
    </xf>
    <xf numFmtId="0" fontId="0" fillId="8" borderId="78" pivotButton="0" quotePrefix="0" xfId="0"/>
    <xf numFmtId="0" fontId="0" fillId="0"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2" fontId="0" fillId="0" borderId="16" pivotButton="0" quotePrefix="0" xfId="0"/>
    <xf numFmtId="0" fontId="0" fillId="0" borderId="34" applyAlignment="1" pivotButton="0" quotePrefix="0" xfId="0">
      <alignment horizontal="center" vertical="center"/>
    </xf>
    <xf numFmtId="0" fontId="0" fillId="0" borderId="22" applyAlignment="1" pivotButton="0" quotePrefix="0" xfId="0">
      <alignment vertical="center"/>
    </xf>
    <xf numFmtId="0" fontId="0" fillId="0" borderId="20" applyAlignment="1" pivotButton="0" quotePrefix="0" xfId="0">
      <alignment vertical="center"/>
    </xf>
    <xf numFmtId="0" fontId="2" fillId="0" borderId="22" applyAlignment="1" pivotButton="0" quotePrefix="0" xfId="0">
      <alignment vertical="center"/>
    </xf>
    <xf numFmtId="0" fontId="2" fillId="0" borderId="20" applyAlignment="1" pivotButton="0" quotePrefix="0" xfId="0">
      <alignment vertical="center"/>
    </xf>
    <xf numFmtId="0" fontId="2" fillId="0" borderId="78" applyAlignment="1" pivotButton="0" quotePrefix="0" xfId="0">
      <alignment vertical="center"/>
    </xf>
    <xf numFmtId="0" fontId="0" fillId="0" borderId="27" applyAlignment="1" pivotButton="0" quotePrefix="0" xfId="0">
      <alignment horizontal="center" vertical="center"/>
    </xf>
    <xf numFmtId="0" fontId="0" fillId="0" borderId="27" applyAlignment="1" pivotButton="0" quotePrefix="0" xfId="0">
      <alignment vertical="center"/>
    </xf>
    <xf numFmtId="0" fontId="2" fillId="0" borderId="39" applyAlignment="1" pivotButton="0" quotePrefix="0" xfId="0">
      <alignment vertical="center"/>
    </xf>
    <xf numFmtId="0" fontId="0" fillId="9" borderId="7" applyAlignment="1" pivotButton="0" quotePrefix="0" xfId="0">
      <alignment horizontal="center" vertical="center"/>
    </xf>
    <xf numFmtId="164" fontId="0" fillId="0" borderId="5" pivotButton="0" quotePrefix="0" xfId="0"/>
    <xf numFmtId="0" fontId="63" fillId="0" borderId="0" pivotButton="0" quotePrefix="0" xfId="0"/>
    <xf numFmtId="0" fontId="0" fillId="0" borderId="1" applyAlignment="1" pivotButton="0" quotePrefix="0" xfId="0">
      <alignment horizontal="center" vertical="center"/>
    </xf>
    <xf numFmtId="0" fontId="0" fillId="0" borderId="110" applyAlignment="1" pivotButton="0" quotePrefix="0" xfId="0">
      <alignment horizontal="center" vertical="center"/>
    </xf>
    <xf numFmtId="0" fontId="0" fillId="6" borderId="40" applyAlignment="1" pivotButton="0" quotePrefix="0" xfId="0">
      <alignment vertical="center" wrapText="1"/>
    </xf>
    <xf numFmtId="0" fontId="0" fillId="6" borderId="53" applyAlignment="1" pivotButton="0" quotePrefix="0" xfId="0">
      <alignment vertical="center" wrapText="1"/>
    </xf>
    <xf numFmtId="0" fontId="22" fillId="9" borderId="0" applyAlignment="1" pivotButton="0" quotePrefix="0" xfId="0">
      <alignment horizontal="left" vertical="top" wrapText="1" indent="1"/>
    </xf>
    <xf numFmtId="0" fontId="20" fillId="0" borderId="0" applyAlignment="1" pivotButton="0" quotePrefix="0" xfId="0">
      <alignment vertical="center"/>
    </xf>
    <xf numFmtId="0" fontId="7" fillId="0" borderId="0" applyAlignment="1" pivotButton="0" quotePrefix="0" xfId="0">
      <alignment horizontal="center"/>
    </xf>
    <xf numFmtId="0" fontId="64" fillId="24" borderId="112" applyAlignment="1" pivotButton="0" quotePrefix="0" xfId="0">
      <alignment horizontal="center" vertical="center"/>
    </xf>
    <xf numFmtId="0" fontId="64" fillId="24" borderId="113" applyAlignment="1" pivotButton="0" quotePrefix="0" xfId="0">
      <alignment horizontal="center" vertical="center"/>
    </xf>
    <xf numFmtId="0" fontId="64" fillId="24" borderId="114" applyAlignment="1" pivotButton="0" quotePrefix="0" xfId="0">
      <alignment horizontal="center" vertical="center"/>
    </xf>
    <xf numFmtId="0" fontId="7" fillId="0" borderId="0" applyAlignment="1" pivotButton="0" quotePrefix="0" xfId="0">
      <alignment horizontal="center" vertical="center" wrapText="1"/>
    </xf>
    <xf numFmtId="0" fontId="64" fillId="24" borderId="112" applyAlignment="1" pivotButton="0" quotePrefix="0" xfId="0">
      <alignment horizontal="center" vertical="center" wrapText="1"/>
    </xf>
    <xf numFmtId="0" fontId="64" fillId="24" borderId="113" applyAlignment="1" pivotButton="0" quotePrefix="0" xfId="0">
      <alignment horizontal="center" vertical="center" wrapText="1"/>
    </xf>
    <xf numFmtId="0" fontId="64" fillId="24" borderId="114" applyAlignment="1" pivotButton="0" quotePrefix="0" xfId="0">
      <alignment horizontal="center" vertical="center" wrapText="1"/>
    </xf>
    <xf numFmtId="0" fontId="7" fillId="0" borderId="0" applyAlignment="1" pivotButton="0" quotePrefix="0" xfId="0">
      <alignment vertical="center"/>
    </xf>
    <xf numFmtId="0" fontId="0" fillId="0" borderId="27" applyAlignment="1" pivotButton="0" quotePrefix="0" xfId="0">
      <alignment horizontal="center" vertical="center"/>
    </xf>
    <xf numFmtId="0" fontId="0" fillId="0" borderId="0" applyAlignment="1" pivotButton="0" quotePrefix="0" xfId="0">
      <alignment horizontal="center" vertical="center" wrapText="1"/>
    </xf>
    <xf numFmtId="0" fontId="0" fillId="0" borderId="0" pivotButton="0" quotePrefix="0" xfId="0"/>
    <xf numFmtId="0" fontId="0" fillId="0" borderId="1" applyAlignment="1" pivotButton="0" quotePrefix="0" xfId="0">
      <alignment horizontal="center" vertical="center"/>
    </xf>
    <xf numFmtId="0" fontId="0" fillId="0" borderId="0"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8" borderId="0" pivotButton="0" quotePrefix="0" xfId="0"/>
    <xf numFmtId="0" fontId="0" fillId="9" borderId="0" pivotButton="0" quotePrefix="0" xfId="0"/>
    <xf numFmtId="0" fontId="0" fillId="8" borderId="1" applyAlignment="1" pivotButton="0" quotePrefix="0" xfId="0">
      <alignment horizontal="center" vertical="center" wrapText="1"/>
    </xf>
    <xf numFmtId="0" fontId="11" fillId="10" borderId="49" applyAlignment="1" pivotButton="0" quotePrefix="0" xfId="0">
      <alignment horizontal="center" vertical="top" wrapText="1"/>
    </xf>
    <xf numFmtId="0" fontId="0" fillId="15" borderId="0" pivotButton="0" quotePrefix="0" xfId="0"/>
    <xf numFmtId="2" fontId="0" fillId="0" borderId="0" pivotButton="0" quotePrefix="0" xfId="0"/>
    <xf numFmtId="0" fontId="7"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wrapText="1"/>
    </xf>
    <xf numFmtId="0" fontId="57" fillId="0" borderId="0" applyAlignment="1" pivotButton="0" quotePrefix="0" xfId="0">
      <alignment horizontal="center" vertical="center" wrapText="1"/>
    </xf>
    <xf numFmtId="0" fontId="57" fillId="23" borderId="0" applyAlignment="1" pivotButton="0" quotePrefix="0" xfId="0">
      <alignment horizontal="center" vertical="center" wrapText="1"/>
    </xf>
    <xf numFmtId="0" fontId="0" fillId="8" borderId="0" pivotButton="0" quotePrefix="0" xfId="0"/>
    <xf numFmtId="0" fontId="0" fillId="15" borderId="0" pivotButton="0" quotePrefix="0" xfId="0"/>
    <xf numFmtId="0" fontId="0" fillId="0" borderId="1" applyAlignment="1" pivotButton="0" quotePrefix="0" xfId="0">
      <alignment horizontal="center" vertical="center"/>
    </xf>
    <xf numFmtId="0" fontId="0" fillId="8" borderId="22" applyAlignment="1" pivotButton="0" quotePrefix="0" xfId="0">
      <alignment horizontal="left" vertical="center" wrapText="1"/>
    </xf>
    <xf numFmtId="1" fontId="0" fillId="8" borderId="20" applyAlignment="1" pivotButton="0" quotePrefix="0" xfId="0">
      <alignment horizontal="center" vertical="center" wrapText="1"/>
    </xf>
    <xf numFmtId="0" fontId="0" fillId="8" borderId="78" applyAlignment="1" pivotButton="0" quotePrefix="0" xfId="0">
      <alignment horizontal="left" vertical="center" wrapText="1"/>
    </xf>
    <xf numFmtId="0" fontId="0" fillId="8" borderId="27" applyAlignment="1" pivotButton="0" quotePrefix="0" xfId="0">
      <alignment horizontal="center" vertical="center" wrapText="1"/>
    </xf>
    <xf numFmtId="1" fontId="0" fillId="8" borderId="39" applyAlignment="1" pivotButton="0" quotePrefix="0" xfId="0">
      <alignment horizontal="center" vertical="center" wrapText="1"/>
    </xf>
    <xf numFmtId="0" fontId="0" fillId="8" borderId="34" applyAlignment="1" pivotButton="0" quotePrefix="0" xfId="0">
      <alignment horizontal="center" vertical="center"/>
    </xf>
    <xf numFmtId="0" fontId="0" fillId="0" borderId="34" applyAlignment="1" pivotButton="0" quotePrefix="0" xfId="0">
      <alignment horizontal="center" vertical="center"/>
    </xf>
    <xf numFmtId="0" fontId="0" fillId="0" borderId="22" applyAlignment="1" pivotButton="0" quotePrefix="0" xfId="0">
      <alignment vertical="center"/>
    </xf>
    <xf numFmtId="0" fontId="0" fillId="8" borderId="0" applyAlignment="1" pivotButton="0" quotePrefix="0" xfId="0">
      <alignment horizontal="center" vertical="center" wrapText="1"/>
    </xf>
    <xf numFmtId="0" fontId="58" fillId="0" borderId="0" applyAlignment="1" pivotButton="0" quotePrefix="0" xfId="0">
      <alignment horizontal="center" vertical="center" wrapText="1"/>
    </xf>
    <xf numFmtId="0" fontId="58"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7" fillId="0" borderId="0" applyAlignment="1" pivotButton="0" quotePrefix="0" xfId="0">
      <alignment horizontal="center"/>
    </xf>
    <xf numFmtId="0" fontId="7" fillId="0" borderId="0" applyAlignment="1" pivotButton="0" quotePrefix="0" xfId="0">
      <alignment horizontal="center" vertical="center" wrapText="1"/>
    </xf>
    <xf numFmtId="0" fontId="0" fillId="0" borderId="27" applyAlignment="1" pivotButton="0" quotePrefix="0" xfId="0">
      <alignment horizontal="center" vertical="center"/>
    </xf>
    <xf numFmtId="0" fontId="0" fillId="0" borderId="111" applyAlignment="1" pivotButton="0" quotePrefix="0" xfId="0">
      <alignment horizontal="center" vertical="center" wrapText="1"/>
    </xf>
    <xf numFmtId="0" fontId="0" fillId="25" borderId="0" pivotButton="0" quotePrefix="0" xfId="0"/>
    <xf numFmtId="0" fontId="7" fillId="0" borderId="0" applyAlignment="1" pivotButton="0" quotePrefix="0" xfId="0">
      <alignment horizontal="center"/>
    </xf>
    <xf numFmtId="0" fontId="11" fillId="10" borderId="117" applyAlignment="1" pivotButton="0" quotePrefix="0" xfId="0">
      <alignment horizontal="center" vertical="top" wrapText="1"/>
    </xf>
    <xf numFmtId="0" fontId="7" fillId="0" borderId="0" applyAlignment="1" pivotButton="0" quotePrefix="0" xfId="0">
      <alignment wrapText="1"/>
    </xf>
    <xf numFmtId="0" fontId="7" fillId="0" borderId="0" applyAlignment="1" pivotButton="0" quotePrefix="0" xfId="0">
      <alignment horizontal="center" wrapText="1"/>
    </xf>
    <xf numFmtId="0" fontId="65" fillId="0" borderId="0" pivotButton="0" quotePrefix="0" xfId="0"/>
    <xf numFmtId="2" fontId="7" fillId="0" borderId="0" applyAlignment="1" pivotButton="0" quotePrefix="0" xfId="0">
      <alignment horizontal="center" vertical="center"/>
    </xf>
    <xf numFmtId="0" fontId="0" fillId="8" borderId="34" applyAlignment="1" pivotButton="0" quotePrefix="0" xfId="0">
      <alignment horizontal="center"/>
    </xf>
    <xf numFmtId="0" fontId="64" fillId="24" borderId="118" applyAlignment="1" pivotButton="0" quotePrefix="0" xfId="0">
      <alignment horizontal="center" vertical="center" wrapText="1"/>
    </xf>
    <xf numFmtId="0" fontId="64" fillId="24" borderId="119" applyAlignment="1" pivotButton="0" quotePrefix="0" xfId="0">
      <alignment horizontal="center" vertical="center" wrapText="1"/>
    </xf>
    <xf numFmtId="0" fontId="64" fillId="24" borderId="120" applyAlignment="1" pivotButton="0" quotePrefix="0" xfId="0">
      <alignment horizontal="center" vertical="center" wrapText="1"/>
    </xf>
    <xf numFmtId="0" fontId="64" fillId="24" borderId="121" applyAlignment="1" pivotButton="0" quotePrefix="0" xfId="0">
      <alignment horizontal="center" vertical="center" wrapText="1"/>
    </xf>
    <xf numFmtId="0" fontId="64" fillId="24" borderId="122" applyAlignment="1" pivotButton="0" quotePrefix="0" xfId="0">
      <alignment horizontal="center" vertical="center" wrapText="1"/>
    </xf>
    <xf numFmtId="0" fontId="7" fillId="0" borderId="0" applyAlignment="1" pivotButton="0" quotePrefix="0" xfId="0">
      <alignment horizontal="center" vertical="center" wrapText="1"/>
    </xf>
    <xf numFmtId="0" fontId="0" fillId="22" borderId="115" applyAlignment="1" pivotButton="0" quotePrefix="0" xfId="0">
      <alignment wrapText="1"/>
    </xf>
    <xf numFmtId="0" fontId="0" fillId="0" borderId="34" applyAlignment="1" pivotButton="0" quotePrefix="0" xfId="0">
      <alignment horizontal="center" vertical="center" wrapText="1"/>
    </xf>
    <xf numFmtId="0" fontId="0" fillId="0" borderId="77" applyAlignment="1" pivotButton="0" quotePrefix="0" xfId="0">
      <alignment horizontal="center" vertical="center" wrapText="1"/>
    </xf>
    <xf numFmtId="0" fontId="0" fillId="0" borderId="69" applyAlignment="1" pivotButton="0" quotePrefix="0" xfId="0">
      <alignment horizontal="center" vertical="center" wrapText="1"/>
    </xf>
    <xf numFmtId="0" fontId="0" fillId="0" borderId="69" applyAlignment="1" pivotButton="0" quotePrefix="0" xfId="0">
      <alignment horizontal="center" vertical="center"/>
    </xf>
    <xf numFmtId="0" fontId="0" fillId="0" borderId="0" applyAlignment="1" pivotButton="0" quotePrefix="0" xfId="0">
      <alignment horizontal="center" vertical="center" wrapText="1"/>
    </xf>
    <xf numFmtId="0" fontId="57" fillId="0" borderId="89" applyAlignment="1" pivotButton="0" quotePrefix="0" xfId="0">
      <alignment horizontal="left" vertical="center"/>
    </xf>
    <xf numFmtId="0" fontId="57" fillId="0" borderId="88" applyAlignment="1" pivotButton="0" quotePrefix="0" xfId="0">
      <alignment horizontal="center" vertical="center"/>
    </xf>
    <xf numFmtId="0" fontId="7" fillId="0" borderId="0" pivotButton="0" quotePrefix="0" xfId="0"/>
    <xf numFmtId="0" fontId="58" fillId="0" borderId="0" applyAlignment="1" pivotButton="0" quotePrefix="0" xfId="0">
      <alignment horizontal="center" vertical="center"/>
    </xf>
    <xf numFmtId="0" fontId="58" fillId="0" borderId="0" applyAlignment="1" pivotButton="0" quotePrefix="0" xfId="0">
      <alignment horizontal="left" vertical="center"/>
    </xf>
    <xf numFmtId="0" fontId="57" fillId="0" borderId="0" applyAlignment="1" pivotButton="0" quotePrefix="0" xfId="0">
      <alignment horizontal="center" vertical="center"/>
    </xf>
    <xf numFmtId="0" fontId="57" fillId="0" borderId="110" applyAlignment="1" pivotButton="0" quotePrefix="0" xfId="0">
      <alignment horizontal="center" vertical="center" wrapText="1"/>
    </xf>
    <xf numFmtId="0" fontId="1" fillId="26" borderId="123" pivotButton="0" quotePrefix="0" xfId="0"/>
    <xf numFmtId="0" fontId="7" fillId="27" borderId="0" applyAlignment="1" pivotButton="0" quotePrefix="0" xfId="0">
      <alignment horizontal="center" vertical="center" wrapText="1"/>
    </xf>
    <xf numFmtId="0" fontId="7" fillId="27" borderId="0" applyAlignment="1" pivotButton="0" quotePrefix="0" xfId="0">
      <alignment horizontal="center" vertical="center" wrapText="1"/>
    </xf>
    <xf numFmtId="0" fontId="7" fillId="4" borderId="0" applyAlignment="1" pivotButton="0" quotePrefix="0" xfId="0">
      <alignment horizontal="center" vertical="center" wrapText="1"/>
    </xf>
    <xf numFmtId="0" fontId="7" fillId="4" borderId="0" applyAlignment="1" pivotButton="0" quotePrefix="0" xfId="0">
      <alignment horizontal="center" vertical="center" wrapText="1"/>
    </xf>
    <xf numFmtId="0" fontId="7" fillId="2" borderId="0" applyAlignment="1" pivotButton="0" quotePrefix="0" xfId="0">
      <alignment horizontal="center" vertical="center" wrapText="1"/>
    </xf>
    <xf numFmtId="0" fontId="7" fillId="28" borderId="0" applyAlignment="1" pivotButton="0" quotePrefix="0" xfId="0">
      <alignment horizontal="center" vertical="center" wrapText="1"/>
    </xf>
    <xf numFmtId="0" fontId="7" fillId="29" borderId="0" applyAlignment="1" pivotButton="0" quotePrefix="0" xfId="0">
      <alignment horizontal="center" vertical="center" wrapText="1"/>
    </xf>
    <xf numFmtId="0" fontId="7" fillId="27" borderId="0" applyAlignment="1" pivotButton="0" quotePrefix="0" xfId="0">
      <alignment horizontal="center" vertical="center"/>
    </xf>
    <xf numFmtId="2" fontId="7" fillId="4" borderId="0" applyAlignment="1" pivotButton="0" quotePrefix="0" xfId="0">
      <alignment horizontal="center" vertical="center"/>
    </xf>
    <xf numFmtId="0" fontId="7" fillId="27" borderId="0" applyAlignment="1" pivotButton="0" quotePrefix="0" xfId="0">
      <alignment horizontal="center"/>
    </xf>
    <xf numFmtId="0" fontId="7" fillId="4" borderId="0" applyAlignment="1" pivotButton="0" quotePrefix="0" xfId="0">
      <alignment horizontal="center"/>
    </xf>
    <xf numFmtId="0" fontId="0" fillId="16" borderId="110" applyAlignment="1" pivotButton="0" quotePrefix="0" xfId="0">
      <alignment wrapText="1"/>
    </xf>
    <xf numFmtId="0" fontId="0" fillId="0" borderId="110" applyAlignment="1" pivotButton="0" quotePrefix="0" xfId="0">
      <alignment wrapText="1"/>
    </xf>
    <xf numFmtId="0" fontId="0" fillId="16" borderId="124" applyAlignment="1" pivotButton="0" quotePrefix="0" xfId="0">
      <alignment wrapText="1"/>
    </xf>
    <xf numFmtId="2" fontId="7" fillId="0" borderId="0" applyAlignment="1" pivotButton="0" quotePrefix="0" xfId="0">
      <alignment horizontal="center" vertical="center" wrapText="1"/>
    </xf>
    <xf numFmtId="0" fontId="7" fillId="0" borderId="0" applyAlignment="1" pivotButton="0" quotePrefix="0" xfId="0">
      <alignment horizontal="center" wrapText="1"/>
    </xf>
    <xf numFmtId="0" fontId="7" fillId="4" borderId="0" pivotButton="0" quotePrefix="0" xfId="0"/>
    <xf numFmtId="0" fontId="7" fillId="4" borderId="0" applyAlignment="1" pivotButton="0" quotePrefix="0" xfId="0">
      <alignment horizontal="center" vertical="center"/>
    </xf>
    <xf numFmtId="0" fontId="7" fillId="27" borderId="0" pivotButton="0" quotePrefix="0" xfId="0"/>
    <xf numFmtId="0" fontId="7" fillId="2" borderId="0" pivotButton="0" quotePrefix="0" xfId="0"/>
    <xf numFmtId="0" fontId="7" fillId="2" borderId="0" applyAlignment="1" pivotButton="0" quotePrefix="0" xfId="0">
      <alignment horizontal="center" vertical="center"/>
    </xf>
    <xf numFmtId="0" fontId="7" fillId="28" borderId="0" applyAlignment="1" pivotButton="0" quotePrefix="0" xfId="0">
      <alignment horizontal="center" vertical="center"/>
    </xf>
    <xf numFmtId="0" fontId="7" fillId="28" borderId="0" pivotButton="0" quotePrefix="0" xfId="0"/>
    <xf numFmtId="0" fontId="7" fillId="28" borderId="0" applyAlignment="1" pivotButton="0" quotePrefix="0" xfId="0">
      <alignment horizontal="center" vertical="center"/>
    </xf>
    <xf numFmtId="0" fontId="13" fillId="31" borderId="19" applyAlignment="1" pivotButton="0" quotePrefix="0" xfId="0">
      <alignment horizontal="center" vertical="center" wrapText="1"/>
    </xf>
    <xf numFmtId="0" fontId="14" fillId="31" borderId="21" applyAlignment="1" pivotButton="0" quotePrefix="0" xfId="0">
      <alignment horizontal="center" vertical="center" wrapText="1"/>
    </xf>
    <xf numFmtId="0" fontId="7" fillId="31" borderId="21" applyAlignment="1" pivotButton="0" quotePrefix="0" xfId="0">
      <alignment horizontal="right" vertical="center"/>
    </xf>
    <xf numFmtId="0" fontId="7" fillId="31" borderId="69" applyAlignment="1" pivotButton="0" quotePrefix="0" xfId="0">
      <alignment horizontal="right" vertical="center"/>
    </xf>
    <xf numFmtId="0" fontId="7" fillId="31" borderId="39" applyAlignment="1" pivotButton="0" quotePrefix="0" xfId="0">
      <alignment horizontal="right" vertical="center"/>
    </xf>
    <xf numFmtId="0" fontId="2" fillId="31" borderId="20" applyAlignment="1" pivotButton="0" quotePrefix="0" xfId="0">
      <alignment horizontal="right" vertical="center"/>
    </xf>
    <xf numFmtId="0" fontId="2" fillId="31" borderId="39" applyAlignment="1" pivotButton="0" quotePrefix="0" xfId="0">
      <alignment horizontal="right" vertical="center"/>
    </xf>
    <xf numFmtId="0" fontId="2" fillId="31" borderId="19" applyAlignment="1" pivotButton="0" quotePrefix="0" xfId="0">
      <alignment horizontal="left" vertical="center" wrapText="1"/>
    </xf>
    <xf numFmtId="0" fontId="2" fillId="31" borderId="20" applyAlignment="1" pivotButton="0" quotePrefix="0" xfId="0">
      <alignment horizontal="left" vertical="center" wrapText="1"/>
    </xf>
    <xf numFmtId="0" fontId="2" fillId="31" borderId="39" applyAlignment="1" pivotButton="0" quotePrefix="0" xfId="0">
      <alignment horizontal="left" vertical="center" wrapText="1"/>
    </xf>
    <xf numFmtId="2" fontId="62" fillId="30" borderId="6" applyAlignment="1" pivotButton="0" quotePrefix="0" xfId="0">
      <alignment horizontal="center" vertical="center"/>
    </xf>
    <xf numFmtId="2" fontId="62" fillId="30" borderId="2" applyAlignment="1" pivotButton="0" quotePrefix="0" xfId="0">
      <alignment horizontal="center" vertical="center"/>
    </xf>
    <xf numFmtId="0" fontId="62" fillId="7" borderId="1" applyAlignment="1" pivotButton="0" quotePrefix="0" xfId="0">
      <alignment horizontal="right" vertical="center"/>
    </xf>
    <xf numFmtId="0" fontId="62" fillId="7" borderId="27" applyAlignment="1" pivotButton="0" quotePrefix="0" xfId="0">
      <alignment horizontal="right" vertical="center"/>
    </xf>
    <xf numFmtId="2" fontId="62" fillId="7" borderId="4" applyAlignment="1" pivotButton="0" quotePrefix="0" xfId="0">
      <alignment horizontal="center" vertical="center"/>
    </xf>
    <xf numFmtId="2" fontId="62" fillId="7" borderId="5" applyAlignment="1" pivotButton="0" quotePrefix="0" xfId="0">
      <alignment horizontal="center" vertical="center"/>
    </xf>
    <xf numFmtId="2" fontId="62" fillId="7" borderId="6" applyAlignment="1" pivotButton="0" quotePrefix="0" xfId="0">
      <alignment horizontal="center" vertical="center"/>
    </xf>
    <xf numFmtId="2" fontId="62" fillId="7" borderId="7" applyAlignment="1" pivotButton="0" quotePrefix="0" xfId="0">
      <alignment horizontal="center" vertical="center"/>
    </xf>
    <xf numFmtId="2" fontId="62" fillId="7" borderId="3" applyAlignment="1" pivotButton="0" quotePrefix="0" xfId="0">
      <alignment horizontal="center" vertical="center"/>
    </xf>
    <xf numFmtId="2" fontId="62" fillId="7" borderId="2" applyAlignment="1" pivotButton="0" quotePrefix="0" xfId="0">
      <alignment horizontal="center" vertical="center"/>
    </xf>
    <xf numFmtId="164" fontId="62" fillId="7" borderId="4" applyAlignment="1" pivotButton="0" quotePrefix="0" xfId="0">
      <alignment horizontal="center" vertical="center"/>
    </xf>
    <xf numFmtId="164" fontId="62" fillId="7" borderId="26" applyAlignment="1" pivotButton="0" quotePrefix="0" xfId="0">
      <alignment horizontal="center" vertical="center"/>
    </xf>
    <xf numFmtId="164" fontId="62" fillId="7" borderId="27" applyAlignment="1" pivotButton="0" quotePrefix="0" xfId="0">
      <alignment horizontal="center" vertical="center"/>
    </xf>
    <xf numFmtId="164" fontId="62" fillId="7" borderId="28" applyAlignment="1" pivotButton="0" quotePrefix="0" xfId="0">
      <alignment horizontal="center" vertical="center"/>
    </xf>
    <xf numFmtId="164" fontId="14" fillId="7" borderId="7" applyAlignment="1" pivotButton="0" quotePrefix="0" xfId="0">
      <alignment horizontal="center" vertical="center"/>
    </xf>
    <xf numFmtId="164" fontId="14" fillId="7" borderId="3" applyAlignment="1" pivotButton="0" quotePrefix="0" xfId="0">
      <alignment horizontal="center" vertical="center"/>
    </xf>
    <xf numFmtId="2" fontId="62" fillId="7" borderId="33" applyAlignment="1" pivotButton="0" quotePrefix="0" xfId="0">
      <alignment horizontal="center" vertical="center"/>
    </xf>
    <xf numFmtId="2" fontId="62" fillId="7" borderId="34" applyAlignment="1" pivotButton="0" quotePrefix="0" xfId="0">
      <alignment horizontal="center" vertical="center"/>
    </xf>
    <xf numFmtId="2" fontId="62" fillId="7" borderId="35" applyAlignment="1" pivotButton="0" quotePrefix="0" xfId="0">
      <alignment horizontal="center" vertical="center"/>
    </xf>
    <xf numFmtId="164" fontId="62" fillId="7" borderId="17" applyAlignment="1" pivotButton="0" quotePrefix="0" xfId="0">
      <alignment horizontal="center" vertical="center"/>
    </xf>
    <xf numFmtId="164" fontId="62" fillId="7" borderId="1" applyAlignment="1" pivotButton="0" quotePrefix="0" xfId="0">
      <alignment horizontal="center" vertical="center"/>
    </xf>
    <xf numFmtId="164" fontId="62" fillId="7" borderId="18" applyAlignment="1" pivotButton="0" quotePrefix="0" xfId="0">
      <alignment horizontal="center" vertical="center"/>
    </xf>
    <xf numFmtId="164" fontId="62" fillId="7" borderId="36" applyAlignment="1" pivotButton="0" quotePrefix="0" xfId="0">
      <alignment horizontal="center" vertical="center"/>
    </xf>
    <xf numFmtId="164" fontId="62" fillId="7" borderId="37" applyAlignment="1" pivotButton="0" quotePrefix="0" xfId="0">
      <alignment horizontal="center" vertical="center"/>
    </xf>
    <xf numFmtId="164" fontId="62" fillId="7" borderId="38" applyAlignment="1" pivotButton="0" quotePrefix="0" xfId="0">
      <alignment horizontal="center" vertical="center"/>
    </xf>
    <xf numFmtId="0" fontId="62" fillId="7" borderId="33" applyAlignment="1" pivotButton="0" quotePrefix="0" xfId="0">
      <alignment horizontal="right" vertical="center"/>
    </xf>
    <xf numFmtId="0" fontId="62" fillId="7" borderId="34" applyAlignment="1" pivotButton="0" quotePrefix="0" xfId="0">
      <alignment horizontal="left"/>
    </xf>
    <xf numFmtId="0" fontId="62" fillId="7" borderId="34" applyAlignment="1" pivotButton="0" quotePrefix="0" xfId="0">
      <alignment horizontal="right"/>
    </xf>
    <xf numFmtId="164" fontId="62" fillId="7" borderId="4" applyAlignment="1" pivotButton="0" quotePrefix="0" xfId="0">
      <alignment horizontal="center"/>
    </xf>
    <xf numFmtId="164" fontId="62" fillId="7" borderId="5" applyAlignment="1" pivotButton="0" quotePrefix="0" xfId="0">
      <alignment horizontal="center"/>
    </xf>
    <xf numFmtId="164" fontId="62" fillId="7" borderId="19" applyAlignment="1" pivotButton="0" quotePrefix="0" xfId="0">
      <alignment horizontal="center"/>
    </xf>
    <xf numFmtId="164" fontId="62" fillId="7" borderId="6" applyAlignment="1" pivotButton="0" quotePrefix="0" xfId="0">
      <alignment horizontal="center"/>
    </xf>
    <xf numFmtId="0" fontId="62" fillId="7" borderId="7" applyAlignment="1" pivotButton="0" quotePrefix="0" xfId="0">
      <alignment horizontal="center"/>
    </xf>
    <xf numFmtId="0" fontId="62" fillId="7" borderId="3" applyAlignment="1" pivotButton="0" quotePrefix="0" xfId="0">
      <alignment horizontal="center"/>
    </xf>
    <xf numFmtId="0" fontId="62" fillId="7" borderId="2" applyAlignment="1" pivotButton="0" quotePrefix="0" xfId="0">
      <alignment horizontal="center"/>
    </xf>
    <xf numFmtId="0" fontId="62" fillId="7" borderId="52" applyAlignment="1" pivotButton="0" quotePrefix="0" xfId="0">
      <alignment horizontal="center"/>
    </xf>
    <xf numFmtId="0" fontId="62" fillId="7" borderId="40" applyAlignment="1" pivotButton="0" quotePrefix="0" xfId="0">
      <alignment horizontal="center"/>
    </xf>
    <xf numFmtId="0" fontId="62" fillId="7" borderId="53" applyAlignment="1" pivotButton="0" quotePrefix="0" xfId="0">
      <alignment horizontal="center"/>
    </xf>
    <xf numFmtId="164" fontId="62" fillId="7" borderId="26" applyAlignment="1" pivotButton="0" quotePrefix="0" xfId="0">
      <alignment horizontal="center"/>
    </xf>
    <xf numFmtId="164" fontId="62" fillId="7" borderId="27" applyAlignment="1" pivotButton="0" quotePrefix="0" xfId="0">
      <alignment horizontal="center"/>
    </xf>
    <xf numFmtId="164" fontId="62" fillId="7" borderId="39" applyAlignment="1" pivotButton="0" quotePrefix="0" xfId="0">
      <alignment horizontal="center"/>
    </xf>
    <xf numFmtId="164" fontId="62" fillId="7" borderId="28" applyAlignment="1" pivotButton="0" quotePrefix="0" xfId="0">
      <alignment horizontal="center"/>
    </xf>
    <xf numFmtId="164" fontId="62" fillId="7" borderId="55" applyAlignment="1" pivotButton="0" quotePrefix="0" xfId="0">
      <alignment horizontal="center" vertical="center"/>
    </xf>
    <xf numFmtId="164" fontId="62" fillId="7" borderId="81" applyAlignment="1" pivotButton="0" quotePrefix="0" xfId="0">
      <alignment horizontal="center" vertical="center"/>
    </xf>
    <xf numFmtId="164" fontId="62" fillId="7" borderId="71" pivotButton="0" quotePrefix="0" xfId="0"/>
    <xf numFmtId="164" fontId="62" fillId="7" borderId="72" pivotButton="0" quotePrefix="0" xfId="0"/>
    <xf numFmtId="164" fontId="62" fillId="7" borderId="73" pivotButton="0" quotePrefix="0" xfId="0"/>
    <xf numFmtId="164" fontId="62" fillId="7" borderId="33" pivotButton="0" quotePrefix="0" xfId="0"/>
    <xf numFmtId="164" fontId="62" fillId="7" borderId="34" pivotButton="0" quotePrefix="0" xfId="0"/>
    <xf numFmtId="164" fontId="62" fillId="7" borderId="35" pivotButton="0" quotePrefix="0" xfId="0"/>
    <xf numFmtId="164" fontId="62" fillId="7" borderId="17" pivotButton="0" quotePrefix="0" xfId="0"/>
    <xf numFmtId="164" fontId="62" fillId="7" borderId="1" pivotButton="0" quotePrefix="0" xfId="0"/>
    <xf numFmtId="164" fontId="62" fillId="7" borderId="18" pivotButton="0" quotePrefix="0" xfId="0"/>
    <xf numFmtId="164" fontId="62" fillId="7" borderId="7" pivotButton="0" quotePrefix="0" xfId="0"/>
    <xf numFmtId="164" fontId="62" fillId="7" borderId="3" pivotButton="0" quotePrefix="0" xfId="0"/>
    <xf numFmtId="164" fontId="62" fillId="7" borderId="2" pivotButton="0" quotePrefix="0" xfId="0"/>
    <xf numFmtId="166" fontId="62" fillId="7" borderId="84" pivotButton="0" quotePrefix="0" xfId="3"/>
    <xf numFmtId="166" fontId="62" fillId="7" borderId="55" pivotButton="0" quotePrefix="0" xfId="3"/>
    <xf numFmtId="166" fontId="62" fillId="7" borderId="81" pivotButton="0" quotePrefix="0" xfId="3"/>
    <xf numFmtId="0" fontId="62" fillId="7" borderId="84" applyAlignment="1" pivotButton="0" quotePrefix="0" xfId="0">
      <alignment vertical="center" wrapText="1"/>
    </xf>
    <xf numFmtId="0" fontId="62" fillId="7" borderId="55" applyAlignment="1" pivotButton="0" quotePrefix="0" xfId="0">
      <alignment vertical="center" wrapText="1"/>
    </xf>
    <xf numFmtId="0" fontId="62" fillId="7" borderId="81" applyAlignment="1" pivotButton="0" quotePrefix="0" xfId="0">
      <alignment vertical="center" wrapText="1"/>
    </xf>
    <xf numFmtId="164" fontId="62" fillId="7" borderId="84" applyAlignment="1" pivotButton="0" quotePrefix="0" xfId="0">
      <alignment vertical="center" wrapText="1"/>
    </xf>
    <xf numFmtId="0" fontId="62" fillId="30" borderId="4" applyAlignment="1" pivotButton="0" quotePrefix="0" xfId="0">
      <alignment horizontal="center"/>
    </xf>
    <xf numFmtId="0" fontId="62" fillId="30" borderId="6" applyAlignment="1" pivotButton="0" quotePrefix="0" xfId="0">
      <alignment horizontal="center"/>
    </xf>
    <xf numFmtId="0" fontId="62" fillId="30" borderId="17" applyAlignment="1" pivotButton="0" quotePrefix="0" xfId="0">
      <alignment horizontal="center"/>
    </xf>
    <xf numFmtId="0" fontId="62" fillId="30" borderId="18" applyAlignment="1" pivotButton="0" quotePrefix="0" xfId="0">
      <alignment horizontal="center"/>
    </xf>
    <xf numFmtId="0" fontId="62" fillId="30" borderId="26" applyAlignment="1" pivotButton="0" quotePrefix="0" xfId="0">
      <alignment horizontal="center"/>
    </xf>
    <xf numFmtId="0" fontId="62" fillId="30" borderId="28" applyAlignment="1" pivotButton="0" quotePrefix="0" xfId="0">
      <alignment horizontal="center"/>
    </xf>
    <xf numFmtId="0" fontId="62" fillId="30" borderId="9" applyAlignment="1" pivotButton="0" quotePrefix="0" xfId="0">
      <alignment horizontal="center" vertical="center" wrapText="1"/>
    </xf>
    <xf numFmtId="0" fontId="62" fillId="30" borderId="7" applyAlignment="1" pivotButton="0" quotePrefix="0" xfId="0">
      <alignment horizontal="center" vertical="center" wrapText="1"/>
    </xf>
    <xf numFmtId="0" fontId="62" fillId="30" borderId="33" applyAlignment="1" pivotButton="0" quotePrefix="0" xfId="0">
      <alignment horizontal="center"/>
    </xf>
    <xf numFmtId="0" fontId="62" fillId="30" borderId="35" applyAlignment="1" pivotButton="0" quotePrefix="0" xfId="0">
      <alignment horizontal="center"/>
    </xf>
    <xf numFmtId="0" fontId="3" fillId="32" borderId="17" applyAlignment="1" pivotButton="0" quotePrefix="0" xfId="0">
      <alignment horizontal="center" vertical="center"/>
    </xf>
    <xf numFmtId="0" fontId="3" fillId="32" borderId="1" applyAlignment="1" pivotButton="0" quotePrefix="0" xfId="0">
      <alignment horizontal="center" vertical="center"/>
    </xf>
    <xf numFmtId="0" fontId="62" fillId="7" borderId="34" applyAlignment="1" pivotButton="0" quotePrefix="0" xfId="0">
      <alignment horizontal="right" vertical="center"/>
    </xf>
    <xf numFmtId="0" fontId="0" fillId="31" borderId="26" applyAlignment="1" pivotButton="0" quotePrefix="0" xfId="0">
      <alignment horizontal="center" vertical="center"/>
    </xf>
    <xf numFmtId="0" fontId="0" fillId="31" borderId="27" applyAlignment="1" pivotButton="0" quotePrefix="0" xfId="0">
      <alignment horizontal="center" vertical="center"/>
    </xf>
    <xf numFmtId="0" fontId="0" fillId="31" borderId="28" applyAlignment="1" pivotButton="0" quotePrefix="0" xfId="0">
      <alignment horizontal="center" vertical="center"/>
    </xf>
    <xf numFmtId="2" fontId="0" fillId="31" borderId="36" applyAlignment="1" pivotButton="0" quotePrefix="0" xfId="0">
      <alignment horizontal="center" vertical="center"/>
    </xf>
    <xf numFmtId="2" fontId="0" fillId="31" borderId="37" applyAlignment="1" pivotButton="0" quotePrefix="0" xfId="0">
      <alignment horizontal="center" vertical="center"/>
    </xf>
    <xf numFmtId="0" fontId="0" fillId="34" borderId="9" pivotButton="0" quotePrefix="0" xfId="0"/>
    <xf numFmtId="0" fontId="0" fillId="34" borderId="160" pivotButton="0" quotePrefix="0" xfId="0"/>
    <xf numFmtId="0" fontId="0" fillId="34" borderId="10" pivotButton="0" quotePrefix="0" xfId="0"/>
    <xf numFmtId="0" fontId="0" fillId="34" borderId="161" pivotButton="0" quotePrefix="0" xfId="0"/>
    <xf numFmtId="0" fontId="0" fillId="34" borderId="11" pivotButton="0" quotePrefix="0" xfId="0"/>
    <xf numFmtId="0" fontId="0" fillId="34" borderId="12" pivotButton="0" quotePrefix="0" xfId="0"/>
    <xf numFmtId="0" fontId="0" fillId="34" borderId="0" pivotButton="0" quotePrefix="0" xfId="0"/>
    <xf numFmtId="0" fontId="61" fillId="34" borderId="0" pivotButton="0" quotePrefix="0" xfId="0"/>
    <xf numFmtId="0" fontId="61" fillId="34" borderId="13" pivotButton="0" quotePrefix="0" xfId="0"/>
    <xf numFmtId="0" fontId="0" fillId="34" borderId="141" applyAlignment="1" pivotButton="0" quotePrefix="0" xfId="0">
      <alignment horizontal="right"/>
    </xf>
    <xf numFmtId="0" fontId="0" fillId="34" borderId="125" applyAlignment="1" pivotButton="0" quotePrefix="0" xfId="0">
      <alignment horizontal="left" vertical="center"/>
    </xf>
    <xf numFmtId="0" fontId="0" fillId="34" borderId="135" pivotButton="0" quotePrefix="0" xfId="0"/>
    <xf numFmtId="0" fontId="0" fillId="34" borderId="133" pivotButton="0" quotePrefix="0" xfId="0"/>
    <xf numFmtId="0" fontId="0" fillId="34" borderId="142" pivotButton="0" quotePrefix="0" xfId="0"/>
    <xf numFmtId="0" fontId="0" fillId="34" borderId="143" applyAlignment="1" pivotButton="0" quotePrefix="0" xfId="0">
      <alignment horizontal="right" vertical="center"/>
    </xf>
    <xf numFmtId="0" fontId="0" fillId="34" borderId="135" applyAlignment="1" pivotButton="0" quotePrefix="0" xfId="0">
      <alignment horizontal="left" vertical="center"/>
    </xf>
    <xf numFmtId="0" fontId="0" fillId="34" borderId="125" pivotButton="0" quotePrefix="0" xfId="0"/>
    <xf numFmtId="0" fontId="0" fillId="34" borderId="144" pivotButton="0" quotePrefix="0" xfId="0"/>
    <xf numFmtId="0" fontId="0" fillId="34" borderId="145" applyAlignment="1" pivotButton="0" quotePrefix="0" xfId="0">
      <alignment horizontal="right" vertical="center"/>
    </xf>
    <xf numFmtId="0" fontId="0" fillId="34" borderId="133" applyAlignment="1" pivotButton="0" quotePrefix="0" xfId="0">
      <alignment horizontal="left" vertical="center"/>
    </xf>
    <xf numFmtId="0" fontId="0" fillId="34" borderId="129" pivotButton="0" quotePrefix="0" xfId="0"/>
    <xf numFmtId="0" fontId="0" fillId="34" borderId="146" pivotButton="0" quotePrefix="0" xfId="0"/>
    <xf numFmtId="0" fontId="0" fillId="34" borderId="126" applyAlignment="1" pivotButton="0" quotePrefix="0" xfId="0">
      <alignment horizontal="left" vertical="center"/>
    </xf>
    <xf numFmtId="0" fontId="0" fillId="34" borderId="127" pivotButton="0" quotePrefix="0" xfId="0"/>
    <xf numFmtId="0" fontId="0" fillId="34" borderId="137" pivotButton="0" quotePrefix="0" xfId="0"/>
    <xf numFmtId="0" fontId="0" fillId="34" borderId="128" pivotButton="0" quotePrefix="0" xfId="0"/>
    <xf numFmtId="0" fontId="0" fillId="34" borderId="147" pivotButton="0" quotePrefix="0" xfId="0"/>
    <xf numFmtId="0" fontId="0" fillId="34" borderId="148" applyAlignment="1" pivotButton="0" quotePrefix="0" xfId="0">
      <alignment horizontal="right" vertical="center"/>
    </xf>
    <xf numFmtId="0" fontId="0" fillId="34" borderId="149" pivotButton="0" quotePrefix="0" xfId="0"/>
    <xf numFmtId="0" fontId="0" fillId="34" borderId="152" pivotButton="0" quotePrefix="0" xfId="0"/>
    <xf numFmtId="0" fontId="0" fillId="34" borderId="125" pivotButton="0" quotePrefix="0" xfId="0"/>
    <xf numFmtId="0" fontId="0" fillId="34" borderId="154" pivotButton="0" quotePrefix="0" xfId="0"/>
    <xf numFmtId="0" fontId="0" fillId="34" borderId="158" pivotButton="0" quotePrefix="0" xfId="0"/>
    <xf numFmtId="0" fontId="0" fillId="34" borderId="14" pivotButton="0" quotePrefix="0" xfId="0"/>
    <xf numFmtId="0" fontId="0" fillId="34" borderId="15" pivotButton="0" quotePrefix="0" xfId="0"/>
    <xf numFmtId="0" fontId="0" fillId="34" borderId="16" pivotButton="0" quotePrefix="0" xfId="0"/>
    <xf numFmtId="0" fontId="66" fillId="0" borderId="0" pivotButton="0" quotePrefix="0" xfId="0"/>
    <xf numFmtId="0" fontId="61" fillId="35" borderId="144" applyAlignment="1" pivotButton="0" quotePrefix="0" xfId="0">
      <alignment horizontal="center"/>
    </xf>
    <xf numFmtId="0" fontId="0" fillId="7" borderId="125" applyAlignment="1" pivotButton="0" quotePrefix="0" xfId="0">
      <alignment horizontal="center"/>
    </xf>
    <xf numFmtId="0" fontId="0" fillId="31" borderId="125" applyAlignment="1" pivotButton="0" quotePrefix="0" xfId="0">
      <alignment horizontal="center"/>
    </xf>
    <xf numFmtId="0" fontId="0" fillId="7" borderId="145" applyAlignment="1" pivotButton="0" quotePrefix="0" xfId="0">
      <alignment horizontal="center"/>
    </xf>
    <xf numFmtId="0" fontId="0" fillId="7" borderId="130" applyAlignment="1" pivotButton="0" quotePrefix="0" xfId="0">
      <alignment horizontal="center"/>
    </xf>
    <xf numFmtId="0" fontId="0" fillId="16" borderId="159" applyAlignment="1" pivotButton="0" quotePrefix="0" xfId="0">
      <alignment horizontal="center"/>
    </xf>
    <xf numFmtId="0" fontId="0" fillId="0" borderId="159" applyAlignment="1" pivotButton="0" quotePrefix="0" xfId="0">
      <alignment horizontal="center"/>
    </xf>
    <xf numFmtId="0" fontId="0" fillId="16" borderId="162" applyAlignment="1" pivotButton="0" quotePrefix="0" xfId="0">
      <alignment horizontal="center"/>
    </xf>
    <xf numFmtId="0" fontId="0" fillId="0" borderId="163" applyAlignment="1" pivotButton="0" quotePrefix="0" xfId="0">
      <alignment horizontal="center"/>
    </xf>
    <xf numFmtId="2" fontId="54" fillId="0" borderId="0" pivotButton="0" quotePrefix="0" xfId="0"/>
    <xf numFmtId="2" fontId="54" fillId="0" borderId="0" pivotButton="0" quotePrefix="1" xfId="0"/>
    <xf numFmtId="0" fontId="0" fillId="0" borderId="0" applyAlignment="1" pivotButton="0" quotePrefix="0" xfId="0">
      <alignment vertical="center" wrapText="1"/>
    </xf>
    <xf numFmtId="0" fontId="59" fillId="0" borderId="4" applyAlignment="1" pivotButton="0" quotePrefix="0" xfId="0">
      <alignment horizontal="center" vertical="center"/>
    </xf>
    <xf numFmtId="0" fontId="59" fillId="0" borderId="5" applyAlignment="1" pivotButton="0" quotePrefix="0" xfId="0">
      <alignment horizontal="center"/>
    </xf>
    <xf numFmtId="0" fontId="59" fillId="0" borderId="5" pivotButton="0" quotePrefix="0" xfId="0"/>
    <xf numFmtId="0" fontId="59" fillId="0" borderId="6" pivotButton="0" quotePrefix="0" xfId="0"/>
    <xf numFmtId="0" fontId="59" fillId="0" borderId="18" pivotButton="0" quotePrefix="0" xfId="0"/>
    <xf numFmtId="0" fontId="59" fillId="0" borderId="18" applyAlignment="1" pivotButton="0" quotePrefix="0" xfId="0">
      <alignment horizontal="center"/>
    </xf>
    <xf numFmtId="0" fontId="59" fillId="16" borderId="7" applyAlignment="1" pivotButton="0" quotePrefix="0" xfId="0">
      <alignment horizontal="center" vertical="center"/>
    </xf>
    <xf numFmtId="0" fontId="59" fillId="0" borderId="3" pivotButton="0" quotePrefix="0" xfId="0"/>
    <xf numFmtId="0" fontId="60" fillId="0" borderId="3" pivotButton="0" quotePrefix="0" xfId="0"/>
    <xf numFmtId="0" fontId="59" fillId="0" borderId="2" applyAlignment="1" pivotButton="0" quotePrefix="0" xfId="0">
      <alignment horizontal="center"/>
    </xf>
    <xf numFmtId="14" fontId="7" fillId="0" borderId="0" pivotButton="0" quotePrefix="0" xfId="0"/>
    <xf numFmtId="2" fontId="7" fillId="0" borderId="0" pivotButton="0" quotePrefix="0" xfId="0"/>
    <xf numFmtId="2" fontId="0" fillId="9" borderId="1" pivotButton="0" quotePrefix="0" xfId="0"/>
    <xf numFmtId="0" fontId="0" fillId="0" borderId="77" pivotButton="0" quotePrefix="0" xfId="0"/>
    <xf numFmtId="0" fontId="0" fillId="0" borderId="69" pivotButton="0" quotePrefix="0" xfId="0"/>
    <xf numFmtId="0" fontId="0" fillId="0" borderId="78" pivotButton="0" quotePrefix="0" xfId="0"/>
    <xf numFmtId="0" fontId="0" fillId="0" borderId="27" pivotButton="0" quotePrefix="0" xfId="0"/>
    <xf numFmtId="0" fontId="0" fillId="0" borderId="45" pivotButton="0" quotePrefix="0" xfId="0"/>
    <xf numFmtId="2" fontId="0" fillId="0" borderId="39" pivotButton="0" quotePrefix="0" xfId="0"/>
    <xf numFmtId="0" fontId="54" fillId="0" borderId="0" applyAlignment="1" pivotButton="0" quotePrefix="0" xfId="0">
      <alignment horizontal="center"/>
    </xf>
    <xf numFmtId="0" fontId="62" fillId="30" borderId="52" applyAlignment="1" pivotButton="0" quotePrefix="0" xfId="0">
      <alignment horizontal="center"/>
    </xf>
    <xf numFmtId="0" fontId="62" fillId="30" borderId="53" applyAlignment="1" pivotButton="0" quotePrefix="0" xfId="0">
      <alignment horizontal="center"/>
    </xf>
    <xf numFmtId="0" fontId="0" fillId="9" borderId="0" pivotButton="0" quotePrefix="0" xfId="0"/>
    <xf numFmtId="0" fontId="62" fillId="7" borderId="40" applyAlignment="1" pivotButton="0" quotePrefix="0" xfId="0">
      <alignment horizontal="left"/>
    </xf>
    <xf numFmtId="0" fontId="62" fillId="7" borderId="40" applyAlignment="1" pivotButton="0" quotePrefix="0" xfId="0">
      <alignment horizontal="right"/>
    </xf>
    <xf numFmtId="0" fontId="62" fillId="7" borderId="70" applyAlignment="1" pivotButton="0" quotePrefix="0" xfId="0">
      <alignment horizontal="center"/>
    </xf>
    <xf numFmtId="0" fontId="62" fillId="7" borderId="13" applyAlignment="1" pivotButton="0" quotePrefix="0" xfId="0">
      <alignment horizontal="center"/>
    </xf>
    <xf numFmtId="0" fontId="62" fillId="7" borderId="52" applyAlignment="1" pivotButton="0" quotePrefix="0" xfId="0">
      <alignment horizontal="center" vertical="center" wrapText="1"/>
    </xf>
    <xf numFmtId="0" fontId="0" fillId="9" borderId="0" pivotButton="0" quotePrefix="0" xfId="0"/>
    <xf numFmtId="2" fontId="0" fillId="9" borderId="0" pivotButton="0" quotePrefix="0" xfId="0"/>
    <xf numFmtId="0" fontId="62" fillId="7" borderId="33" applyAlignment="1" pivotButton="0" quotePrefix="0" xfId="0">
      <alignment horizontal="right"/>
    </xf>
    <xf numFmtId="164" fontId="62" fillId="7" borderId="34" applyAlignment="1" pivotButton="0" quotePrefix="0" xfId="0">
      <alignment horizontal="left"/>
    </xf>
    <xf numFmtId="164" fontId="62" fillId="30" borderId="35" applyAlignment="1" pivotButton="0" quotePrefix="0" xfId="0">
      <alignment horizontal="center" vertical="center"/>
    </xf>
    <xf numFmtId="2" fontId="62" fillId="7" borderId="1" applyAlignment="1" pivotButton="0" quotePrefix="0" xfId="0">
      <alignment horizontal="center" vertical="center"/>
    </xf>
    <xf numFmtId="164" fontId="62" fillId="30" borderId="77" applyAlignment="1" pivotButton="0" quotePrefix="0" xfId="0">
      <alignment horizontal="center" vertical="center"/>
    </xf>
    <xf numFmtId="2" fontId="62" fillId="7" borderId="18" applyAlignment="1" pivotButton="0" quotePrefix="0" xfId="0">
      <alignment horizontal="center" vertical="center"/>
    </xf>
    <xf numFmtId="0" fontId="62" fillId="7" borderId="7" applyAlignment="1" pivotButton="0" quotePrefix="0" xfId="0">
      <alignment horizontal="right"/>
    </xf>
    <xf numFmtId="164" fontId="62" fillId="7" borderId="3" applyAlignment="1" pivotButton="0" quotePrefix="0" xfId="0">
      <alignment horizontal="left"/>
    </xf>
    <xf numFmtId="0" fontId="62" fillId="7" borderId="3" applyAlignment="1" pivotButton="0" quotePrefix="0" xfId="0">
      <alignment horizontal="right"/>
    </xf>
    <xf numFmtId="2" fontId="62" fillId="30" borderId="29" applyAlignment="1" pivotButton="0" quotePrefix="0" xfId="0">
      <alignment horizontal="center" vertical="center"/>
    </xf>
    <xf numFmtId="2" fontId="62" fillId="7" borderId="17" applyAlignment="1" pivotButton="0" quotePrefix="0" xfId="0">
      <alignment horizontal="center" vertical="center"/>
    </xf>
    <xf numFmtId="0" fontId="67" fillId="15" borderId="77" applyAlignment="1" pivotButton="0" quotePrefix="0" xfId="0">
      <alignment horizontal="center" vertical="center"/>
    </xf>
    <xf numFmtId="0" fontId="67" fillId="15" borderId="34" applyAlignment="1" pivotButton="0" quotePrefix="0" xfId="0">
      <alignment horizontal="center" vertical="center" wrapText="1"/>
    </xf>
    <xf numFmtId="0" fontId="0" fillId="0" borderId="1" applyAlignment="1" pivotButton="0" quotePrefix="0" xfId="0">
      <alignment horizontal="center" vertical="center"/>
    </xf>
    <xf numFmtId="0" fontId="0" fillId="2" borderId="1" applyAlignment="1" pivotButton="0" quotePrefix="0" xfId="0">
      <alignment horizontal="center" vertical="center"/>
    </xf>
    <xf numFmtId="0" fontId="0" fillId="9" borderId="0" pivotButton="0" quotePrefix="0" xfId="0"/>
    <xf numFmtId="0" fontId="0" fillId="37" borderId="0" pivotButton="0" quotePrefix="0" xfId="0"/>
    <xf numFmtId="0" fontId="62" fillId="7" borderId="26" applyAlignment="1" pivotButton="0" quotePrefix="0" xfId="0">
      <alignment horizontal="right"/>
    </xf>
    <xf numFmtId="164" fontId="62" fillId="7" borderId="27" applyAlignment="1" pivotButton="0" quotePrefix="0" xfId="0">
      <alignment horizontal="left"/>
    </xf>
    <xf numFmtId="0" fontId="62" fillId="7" borderId="27" applyAlignment="1" pivotButton="0" quotePrefix="0" xfId="0">
      <alignment horizontal="right"/>
    </xf>
    <xf numFmtId="164" fontId="62" fillId="30" borderId="78" applyAlignment="1" pivotButton="0" quotePrefix="0" xfId="0">
      <alignment horizontal="center" vertical="center"/>
    </xf>
    <xf numFmtId="164" fontId="62" fillId="30" borderId="28" applyAlignment="1" pivotButton="0" quotePrefix="0" xfId="0">
      <alignment horizontal="center" vertical="center"/>
    </xf>
    <xf numFmtId="2" fontId="14" fillId="7" borderId="33" applyAlignment="1" pivotButton="0" quotePrefix="0" xfId="0">
      <alignment horizontal="center" vertical="center"/>
    </xf>
    <xf numFmtId="164" fontId="14" fillId="7" borderId="34" applyAlignment="1" pivotButton="0" quotePrefix="0" xfId="0">
      <alignment horizontal="center" vertical="center"/>
    </xf>
    <xf numFmtId="0" fontId="62" fillId="7" borderId="4" applyAlignment="1" pivotButton="0" quotePrefix="0" xfId="0">
      <alignment horizontal="right"/>
    </xf>
    <xf numFmtId="164" fontId="62" fillId="7" borderId="5" applyAlignment="1" pivotButton="0" quotePrefix="0" xfId="0">
      <alignment horizontal="left"/>
    </xf>
    <xf numFmtId="0" fontId="62" fillId="7" borderId="5" applyAlignment="1" pivotButton="0" quotePrefix="0" xfId="0">
      <alignment horizontal="right"/>
    </xf>
    <xf numFmtId="164" fontId="62" fillId="30" borderId="4" applyAlignment="1" pivotButton="0" quotePrefix="0" xfId="0">
      <alignment horizontal="center" vertical="center"/>
    </xf>
    <xf numFmtId="164" fontId="62" fillId="30" borderId="6" applyAlignment="1" pivotButton="0" quotePrefix="0" xfId="0">
      <alignment horizontal="center" vertical="center"/>
    </xf>
    <xf numFmtId="164" fontId="62" fillId="30" borderId="7" applyAlignment="1" pivotButton="0" quotePrefix="0" xfId="0">
      <alignment horizontal="center" vertical="center"/>
    </xf>
    <xf numFmtId="164" fontId="62" fillId="30" borderId="2" applyAlignment="1" pivotButton="0" quotePrefix="0" xfId="0">
      <alignment horizontal="center" vertical="center"/>
    </xf>
    <xf numFmtId="9" fontId="0" fillId="0" borderId="0" pivotButton="0" quotePrefix="0" xfId="3"/>
    <xf numFmtId="0" fontId="61" fillId="0" borderId="78" pivotButton="0" quotePrefix="0" xfId="0"/>
    <xf numFmtId="0" fontId="61" fillId="0" borderId="98" pivotButton="0" quotePrefix="0" xfId="0"/>
    <xf numFmtId="0" fontId="61" fillId="0" borderId="27" pivotButton="0" quotePrefix="0" xfId="0"/>
    <xf numFmtId="2" fontId="61" fillId="0" borderId="39" pivotButton="0" quotePrefix="0" xfId="0"/>
    <xf numFmtId="0" fontId="0" fillId="0" borderId="78" pivotButton="0" quotePrefix="0" xfId="0"/>
    <xf numFmtId="0" fontId="54" fillId="0" borderId="0" applyAlignment="1" pivotButton="0" quotePrefix="0" xfId="0">
      <alignment horizontal="center" wrapText="1"/>
    </xf>
    <xf numFmtId="0" fontId="54" fillId="0" borderId="0" applyAlignment="1" pivotButton="0" quotePrefix="0" xfId="0">
      <alignment horizontal="center" vertical="center" wrapText="1"/>
    </xf>
    <xf numFmtId="0" fontId="0" fillId="36" borderId="155" applyAlignment="1" pivotButton="0" quotePrefix="0" xfId="0">
      <alignment horizontal="center"/>
    </xf>
    <xf numFmtId="0" fontId="0" fillId="36" borderId="156" applyAlignment="1" pivotButton="0" quotePrefix="0" xfId="0">
      <alignment horizontal="center"/>
    </xf>
    <xf numFmtId="0" fontId="0" fillId="36" borderId="157" applyAlignment="1" pivotButton="0" quotePrefix="0" xfId="0">
      <alignment horizontal="center"/>
    </xf>
    <xf numFmtId="0" fontId="0" fillId="10" borderId="23" applyAlignment="1" pivotButton="0" quotePrefix="0" xfId="0">
      <alignment horizontal="center"/>
    </xf>
    <xf numFmtId="0" fontId="0" fillId="10" borderId="24" applyAlignment="1" pivotButton="0" quotePrefix="0" xfId="0">
      <alignment horizontal="center"/>
    </xf>
    <xf numFmtId="0" fontId="0" fillId="10" borderId="25" applyAlignment="1" pivotButton="0" quotePrefix="0" xfId="0">
      <alignment horizontal="center"/>
    </xf>
    <xf numFmtId="0" fontId="0" fillId="34" borderId="143" applyAlignment="1" pivotButton="0" quotePrefix="0" xfId="0">
      <alignment horizontal="center"/>
    </xf>
    <xf numFmtId="0" fontId="0" fillId="34" borderId="134" applyAlignment="1" pivotButton="0" quotePrefix="0" xfId="0">
      <alignment horizontal="center"/>
    </xf>
    <xf numFmtId="0" fontId="0" fillId="34" borderId="149" applyAlignment="1" pivotButton="0" quotePrefix="0" xfId="0">
      <alignment horizontal="center"/>
    </xf>
    <xf numFmtId="0" fontId="0" fillId="34" borderId="138" applyAlignment="1" pivotButton="0" quotePrefix="0" xfId="0">
      <alignment horizontal="center"/>
    </xf>
    <xf numFmtId="0" fontId="0" fillId="34" borderId="139" applyAlignment="1" pivotButton="0" quotePrefix="0" xfId="0">
      <alignment horizontal="center"/>
    </xf>
    <xf numFmtId="0" fontId="0" fillId="34" borderId="140" applyAlignment="1" pivotButton="0" quotePrefix="0" xfId="0">
      <alignment horizontal="center"/>
    </xf>
    <xf numFmtId="0" fontId="0" fillId="34" borderId="150" applyAlignment="1" pivotButton="0" quotePrefix="0" xfId="0">
      <alignment horizontal="center" wrapText="1"/>
    </xf>
    <xf numFmtId="0" fontId="0" fillId="34" borderId="136" applyAlignment="1" pivotButton="0" quotePrefix="0" xfId="0">
      <alignment horizontal="center" wrapText="1"/>
    </xf>
    <xf numFmtId="0" fontId="0" fillId="34" borderId="151" applyAlignment="1" pivotButton="0" quotePrefix="0" xfId="0">
      <alignment horizontal="center" wrapText="1"/>
    </xf>
    <xf numFmtId="2" fontId="0" fillId="33" borderId="153" applyAlignment="1" pivotButton="0" quotePrefix="0" xfId="0">
      <alignment horizontal="center"/>
    </xf>
    <xf numFmtId="2" fontId="0" fillId="33" borderId="131" applyAlignment="1" pivotButton="0" quotePrefix="0" xfId="0">
      <alignment horizontal="center"/>
    </xf>
    <xf numFmtId="2" fontId="0" fillId="33" borderId="132" applyAlignment="1" pivotButton="0" quotePrefix="0" xfId="0">
      <alignment horizontal="center"/>
    </xf>
    <xf numFmtId="0" fontId="0" fillId="34" borderId="143" applyAlignment="1" pivotButton="0" quotePrefix="0" xfId="0">
      <alignment horizontal="center" vertical="center" wrapText="1"/>
    </xf>
    <xf numFmtId="0" fontId="0" fillId="34" borderId="134" applyAlignment="1" pivotButton="0" quotePrefix="0" xfId="0">
      <alignment horizontal="center" vertical="center" wrapText="1"/>
    </xf>
    <xf numFmtId="0" fontId="0" fillId="34" borderId="149" applyAlignment="1" pivotButton="0" quotePrefix="0" xfId="0">
      <alignment horizontal="center" vertical="center" wrapText="1"/>
    </xf>
    <xf numFmtId="0" fontId="0" fillId="34" borderId="164" applyAlignment="1" pivotButton="0" quotePrefix="0" xfId="0">
      <alignment horizontal="center"/>
    </xf>
    <xf numFmtId="0" fontId="0" fillId="9" borderId="0" applyAlignment="1" pivotButton="0" quotePrefix="0" xfId="0">
      <alignment horizontal="center"/>
    </xf>
    <xf numFmtId="0" fontId="0" fillId="9" borderId="10" applyAlignment="1" pivotButton="0" quotePrefix="0" xfId="0">
      <alignment horizontal="center" wrapText="1"/>
    </xf>
    <xf numFmtId="0" fontId="0" fillId="9" borderId="0" applyAlignment="1" pivotButton="0" quotePrefix="0" xfId="0">
      <alignment horizontal="center" wrapText="1"/>
    </xf>
    <xf numFmtId="0" fontId="0" fillId="9" borderId="0" applyAlignment="1" pivotButton="0" quotePrefix="0" xfId="0">
      <alignment horizontal="center" wrapText="1"/>
    </xf>
    <xf numFmtId="0" fontId="0" fillId="9" borderId="0" applyAlignment="1" pivotButton="0" quotePrefix="0" xfId="0">
      <alignment horizontal="center" vertical="center" wrapText="1"/>
    </xf>
    <xf numFmtId="2" fontId="62" fillId="30" borderId="61" applyAlignment="1" pivotButton="0" quotePrefix="0" xfId="0">
      <alignment horizontal="center" vertical="center"/>
    </xf>
    <xf numFmtId="2" fontId="62" fillId="30" borderId="31" applyAlignment="1" pivotButton="0" quotePrefix="0" xfId="0">
      <alignment horizontal="center" vertical="center"/>
    </xf>
    <xf numFmtId="0" fontId="0" fillId="31" borderId="36" applyAlignment="1" pivotButton="0" quotePrefix="0" xfId="0">
      <alignment horizontal="right"/>
    </xf>
    <xf numFmtId="0" fontId="0" fillId="31" borderId="37" applyAlignment="1" pivotButton="0" quotePrefix="0" xfId="0">
      <alignment horizontal="right"/>
    </xf>
    <xf numFmtId="164" fontId="62" fillId="30" borderId="9" applyAlignment="1" pivotButton="0" quotePrefix="0" xfId="0">
      <alignment horizontal="center" vertical="center" wrapText="1"/>
    </xf>
    <xf numFmtId="164" fontId="62" fillId="30" borderId="59" applyAlignment="1" pivotButton="0" quotePrefix="0" xfId="0">
      <alignment horizontal="center" vertical="center" wrapText="1"/>
    </xf>
    <xf numFmtId="0" fontId="62" fillId="30" borderId="9" applyAlignment="1" pivotButton="0" quotePrefix="0" xfId="0">
      <alignment horizontal="center" vertical="center" wrapText="1"/>
    </xf>
    <xf numFmtId="0" fontId="62" fillId="30" borderId="11" applyAlignment="1" pivotButton="0" quotePrefix="0" xfId="0">
      <alignment horizontal="center" vertical="center" wrapText="1"/>
    </xf>
    <xf numFmtId="164" fontId="62" fillId="30" borderId="36" applyAlignment="1" pivotButton="0" quotePrefix="0" xfId="0">
      <alignment horizontal="center"/>
    </xf>
    <xf numFmtId="164" fontId="62" fillId="30" borderId="38" applyAlignment="1" pivotButton="0" quotePrefix="0" xfId="0">
      <alignment horizontal="center"/>
    </xf>
    <xf numFmtId="0" fontId="2" fillId="31" borderId="71" applyAlignment="1" pivotButton="0" quotePrefix="0" xfId="0">
      <alignment horizontal="right" vertical="center"/>
    </xf>
    <xf numFmtId="0" fontId="2" fillId="31" borderId="72" applyAlignment="1" pivotButton="0" quotePrefix="0" xfId="0">
      <alignment horizontal="right" vertical="center"/>
    </xf>
    <xf numFmtId="0" fontId="2" fillId="31" borderId="76" applyAlignment="1" pivotButton="0" quotePrefix="0" xfId="0">
      <alignment horizontal="right" vertical="center"/>
    </xf>
    <xf numFmtId="164" fontId="62" fillId="7" borderId="57" applyAlignment="1" pivotButton="0" quotePrefix="0" xfId="0">
      <alignment horizontal="center"/>
    </xf>
    <xf numFmtId="164" fontId="62" fillId="7" borderId="58" applyAlignment="1" pivotButton="0" quotePrefix="0" xfId="0">
      <alignment horizontal="center"/>
    </xf>
    <xf numFmtId="164" fontId="62" fillId="7" borderId="54" applyAlignment="1" pivotButton="0" quotePrefix="0" xfId="0">
      <alignment horizontal="center"/>
    </xf>
    <xf numFmtId="164" fontId="62" fillId="30" borderId="17" applyAlignment="1" pivotButton="0" quotePrefix="0" xfId="0">
      <alignment horizontal="center"/>
    </xf>
    <xf numFmtId="164" fontId="62" fillId="30" borderId="18" applyAlignment="1" pivotButton="0" quotePrefix="0" xfId="0">
      <alignment horizontal="center"/>
    </xf>
    <xf numFmtId="166" fontId="62" fillId="30" borderId="7" applyAlignment="1" pivotButton="0" quotePrefix="0" xfId="3">
      <alignment horizontal="center"/>
    </xf>
    <xf numFmtId="166" fontId="62" fillId="30" borderId="2" applyAlignment="1" pivotButton="0" quotePrefix="0" xfId="3">
      <alignment horizontal="center"/>
    </xf>
    <xf numFmtId="0" fontId="2" fillId="31" borderId="84" applyAlignment="1" pivotButton="0" quotePrefix="0" xfId="0">
      <alignment horizontal="right" vertical="center" wrapText="1"/>
    </xf>
    <xf numFmtId="0" fontId="2" fillId="31" borderId="55" applyAlignment="1" pivotButton="0" quotePrefix="0" xfId="0">
      <alignment horizontal="right" vertical="center" wrapText="1"/>
    </xf>
    <xf numFmtId="0" fontId="2" fillId="31" borderId="56" applyAlignment="1" pivotButton="0" quotePrefix="0" xfId="0">
      <alignment horizontal="right" vertical="center" wrapText="1"/>
    </xf>
    <xf numFmtId="164" fontId="62" fillId="30" borderId="7" applyAlignment="1" pivotButton="0" quotePrefix="0" xfId="0">
      <alignment horizontal="center"/>
    </xf>
    <xf numFmtId="164" fontId="62" fillId="30" borderId="2" applyAlignment="1" pivotButton="0" quotePrefix="0" xfId="0">
      <alignment horizontal="center"/>
    </xf>
    <xf numFmtId="0" fontId="2" fillId="31" borderId="9" applyAlignment="1" pivotButton="0" quotePrefix="0" xfId="0">
      <alignment horizontal="right"/>
    </xf>
    <xf numFmtId="0" fontId="2" fillId="31" borderId="10" applyAlignment="1" pivotButton="0" quotePrefix="0" xfId="0">
      <alignment horizontal="right"/>
    </xf>
    <xf numFmtId="0" fontId="2" fillId="31" borderId="7" applyAlignment="1" pivotButton="0" quotePrefix="0" xfId="0">
      <alignment horizontal="right" vertical="center"/>
    </xf>
    <xf numFmtId="0" fontId="2" fillId="31" borderId="3" applyAlignment="1" pivotButton="0" quotePrefix="0" xfId="0">
      <alignment horizontal="right" vertical="center"/>
    </xf>
    <xf numFmtId="0" fontId="2" fillId="31" borderId="21" applyAlignment="1" pivotButton="0" quotePrefix="0" xfId="0">
      <alignment horizontal="right" vertical="center"/>
    </xf>
    <xf numFmtId="0" fontId="2" fillId="31" borderId="26" applyAlignment="1" pivotButton="0" quotePrefix="0" xfId="0">
      <alignment horizontal="right" vertical="center"/>
    </xf>
    <xf numFmtId="0" fontId="2" fillId="31" borderId="27" applyAlignment="1" pivotButton="0" quotePrefix="0" xfId="0">
      <alignment horizontal="right" vertical="center"/>
    </xf>
    <xf numFmtId="0" fontId="2" fillId="31" borderId="39" applyAlignment="1" pivotButton="0" quotePrefix="0" xfId="0">
      <alignment horizontal="right" vertical="center"/>
    </xf>
    <xf numFmtId="0" fontId="62" fillId="7" borderId="26" applyAlignment="1" pivotButton="0" quotePrefix="0" xfId="0">
      <alignment horizontal="center"/>
    </xf>
    <xf numFmtId="0" fontId="62" fillId="7" borderId="27" applyAlignment="1" pivotButton="0" quotePrefix="0" xfId="0">
      <alignment horizontal="center"/>
    </xf>
    <xf numFmtId="0" fontId="62" fillId="7" borderId="39" applyAlignment="1" pivotButton="0" quotePrefix="0" xfId="0">
      <alignment horizontal="center"/>
    </xf>
    <xf numFmtId="0" fontId="62" fillId="7" borderId="28" applyAlignment="1" pivotButton="0" quotePrefix="0" xfId="0">
      <alignment horizontal="center"/>
    </xf>
    <xf numFmtId="0" fontId="2" fillId="31" borderId="33" applyAlignment="1" pivotButton="0" quotePrefix="0" xfId="0">
      <alignment horizontal="center" vertical="center" wrapText="1"/>
    </xf>
    <xf numFmtId="0" fontId="2" fillId="31" borderId="34" applyAlignment="1" pivotButton="0" quotePrefix="0" xfId="0">
      <alignment horizontal="center" vertical="center" wrapText="1"/>
    </xf>
    <xf numFmtId="0" fontId="2" fillId="31" borderId="26" applyAlignment="1" pivotButton="0" quotePrefix="0" xfId="0">
      <alignment horizontal="center" vertical="center" wrapText="1"/>
    </xf>
    <xf numFmtId="0" fontId="2" fillId="31" borderId="27" applyAlignment="1" pivotButton="0" quotePrefix="0" xfId="0">
      <alignment horizontal="center" vertical="center" wrapText="1"/>
    </xf>
    <xf numFmtId="164" fontId="62" fillId="30" borderId="26" applyAlignment="1" pivotButton="0" quotePrefix="0" xfId="0">
      <alignment horizontal="center"/>
    </xf>
    <xf numFmtId="164" fontId="62" fillId="30" borderId="28" applyAlignment="1" pivotButton="0" quotePrefix="0" xfId="0">
      <alignment horizontal="center"/>
    </xf>
    <xf numFmtId="0" fontId="62" fillId="30" borderId="7" applyAlignment="1" pivotButton="0" quotePrefix="0" xfId="0">
      <alignment horizontal="center"/>
    </xf>
    <xf numFmtId="0" fontId="62" fillId="30" borderId="2" applyAlignment="1" pivotButton="0" quotePrefix="0" xfId="0">
      <alignment horizontal="center"/>
    </xf>
    <xf numFmtId="164" fontId="62" fillId="30" borderId="33" applyAlignment="1" pivotButton="0" quotePrefix="0" xfId="0">
      <alignment horizontal="center"/>
    </xf>
    <xf numFmtId="164" fontId="62" fillId="30" borderId="35" applyAlignment="1" pivotButton="0" quotePrefix="0" xfId="0">
      <alignment horizontal="center"/>
    </xf>
    <xf numFmtId="164" fontId="62" fillId="30" borderId="4" applyAlignment="1" pivotButton="0" quotePrefix="0" xfId="0">
      <alignment horizontal="center"/>
    </xf>
    <xf numFmtId="164" fontId="62" fillId="30" borderId="6" applyAlignment="1" pivotButton="0" quotePrefix="0" xfId="0">
      <alignment horizontal="center"/>
    </xf>
    <xf numFmtId="164" fontId="62" fillId="30" borderId="9" applyAlignment="1" pivotButton="0" quotePrefix="0" xfId="0">
      <alignment horizontal="center" vertical="center"/>
    </xf>
    <xf numFmtId="164" fontId="62" fillId="30" borderId="11" applyAlignment="1" pivotButton="0" quotePrefix="0" xfId="0">
      <alignment horizontal="center" vertical="center"/>
    </xf>
    <xf numFmtId="0" fontId="62" fillId="7" borderId="69" applyAlignment="1" pivotButton="0" quotePrefix="0" xfId="0">
      <alignment horizontal="center"/>
    </xf>
    <xf numFmtId="0" fontId="62" fillId="7" borderId="83" applyAlignment="1" pivotButton="0" quotePrefix="0" xfId="0">
      <alignment horizontal="center"/>
    </xf>
    <xf numFmtId="0" fontId="3" fillId="32" borderId="9" applyAlignment="1" pivotButton="0" quotePrefix="0" xfId="0">
      <alignment horizontal="center" vertical="center"/>
    </xf>
    <xf numFmtId="0" fontId="3" fillId="32" borderId="10" applyAlignment="1" pivotButton="0" quotePrefix="0" xfId="0">
      <alignment horizontal="center" vertical="center"/>
    </xf>
    <xf numFmtId="0" fontId="3" fillId="32" borderId="11" applyAlignment="1" pivotButton="0" quotePrefix="0" xfId="0">
      <alignment horizontal="center" vertical="center"/>
    </xf>
    <xf numFmtId="0" fontId="3" fillId="32" borderId="14" applyAlignment="1" pivotButton="0" quotePrefix="0" xfId="0">
      <alignment horizontal="center" vertical="center"/>
    </xf>
    <xf numFmtId="0" fontId="3" fillId="32" borderId="15" applyAlignment="1" pivotButton="0" quotePrefix="0" xfId="0">
      <alignment horizontal="center" vertical="center"/>
    </xf>
    <xf numFmtId="0" fontId="3" fillId="32" borderId="16" applyAlignment="1" pivotButton="0" quotePrefix="0" xfId="0">
      <alignment horizontal="center" vertical="center"/>
    </xf>
    <xf numFmtId="0" fontId="12" fillId="31" borderId="9" applyAlignment="1" pivotButton="0" quotePrefix="0" xfId="0">
      <alignment horizontal="center" vertical="center" wrapText="1"/>
    </xf>
    <xf numFmtId="0" fontId="12" fillId="31" borderId="59" applyAlignment="1" pivotButton="0" quotePrefix="0" xfId="0">
      <alignment horizontal="center" vertical="center" wrapText="1"/>
    </xf>
    <xf numFmtId="0" fontId="12" fillId="31" borderId="14" applyAlignment="1" pivotButton="0" quotePrefix="0" xfId="0">
      <alignment horizontal="center" vertical="center" wrapText="1"/>
    </xf>
    <xf numFmtId="0" fontId="12" fillId="31" borderId="60" applyAlignment="1" pivotButton="0" quotePrefix="0" xfId="0">
      <alignment horizontal="center" vertical="center" wrapText="1"/>
    </xf>
    <xf numFmtId="2" fontId="62" fillId="30" borderId="22" applyAlignment="1" pivotButton="0" quotePrefix="0" xfId="0">
      <alignment horizontal="center" vertical="center"/>
    </xf>
    <xf numFmtId="2" fontId="62" fillId="30" borderId="18" applyAlignment="1" pivotButton="0" quotePrefix="0" xfId="0">
      <alignment horizontal="center" vertical="center"/>
    </xf>
    <xf numFmtId="0" fontId="2" fillId="31" borderId="4" applyAlignment="1" pivotButton="0" quotePrefix="0" xfId="0">
      <alignment horizontal="right" vertical="center"/>
    </xf>
    <xf numFmtId="0" fontId="2" fillId="31" borderId="5" applyAlignment="1" pivotButton="0" quotePrefix="0" xfId="0">
      <alignment horizontal="right" vertical="center"/>
    </xf>
    <xf numFmtId="0" fontId="2" fillId="31" borderId="19" applyAlignment="1" pivotButton="0" quotePrefix="0" xfId="0">
      <alignment horizontal="right" vertical="center"/>
    </xf>
    <xf numFmtId="2" fontId="62" fillId="30" borderId="4" applyAlignment="1" pivotButton="0" quotePrefix="0" xfId="0">
      <alignment horizontal="center"/>
    </xf>
    <xf numFmtId="2" fontId="62" fillId="30" borderId="6" applyAlignment="1" pivotButton="0" quotePrefix="0" xfId="0">
      <alignment horizontal="center"/>
    </xf>
    <xf numFmtId="164" fontId="62" fillId="30" borderId="71" applyAlignment="1" pivotButton="0" quotePrefix="0" xfId="0">
      <alignment horizontal="center"/>
    </xf>
    <xf numFmtId="164" fontId="62" fillId="30" borderId="73" applyAlignment="1" pivotButton="0" quotePrefix="0" xfId="0">
      <alignment horizontal="center"/>
    </xf>
    <xf numFmtId="164" fontId="62" fillId="30" borderId="57" applyAlignment="1" pivotButton="0" quotePrefix="0" xfId="0">
      <alignment horizontal="center"/>
    </xf>
    <xf numFmtId="164" fontId="62" fillId="30" borderId="54" applyAlignment="1" pivotButton="0" quotePrefix="0" xfId="0">
      <alignment horizontal="center"/>
    </xf>
    <xf numFmtId="0" fontId="2" fillId="31" borderId="17" applyAlignment="1" pivotButton="0" quotePrefix="0" xfId="0">
      <alignment horizontal="right" vertical="center"/>
    </xf>
    <xf numFmtId="0" fontId="2" fillId="31" borderId="1" applyAlignment="1" pivotButton="0" quotePrefix="0" xfId="0">
      <alignment horizontal="right" vertical="center"/>
    </xf>
    <xf numFmtId="164" fontId="14" fillId="30" borderId="33" applyAlignment="1" pivotButton="0" quotePrefix="0" xfId="0">
      <alignment horizontal="center"/>
    </xf>
    <xf numFmtId="164" fontId="14" fillId="30" borderId="35" applyAlignment="1" pivotButton="0" quotePrefix="0" xfId="0">
      <alignment horizontal="center"/>
    </xf>
    <xf numFmtId="164" fontId="14" fillId="30" borderId="7" applyAlignment="1" pivotButton="0" quotePrefix="0" xfId="0">
      <alignment horizontal="center"/>
    </xf>
    <xf numFmtId="164" fontId="14" fillId="30" borderId="2" applyAlignment="1" pivotButton="0" quotePrefix="0" xfId="0">
      <alignment horizontal="center"/>
    </xf>
    <xf numFmtId="2" fontId="62" fillId="30" borderId="33" applyAlignment="1" pivotButton="0" quotePrefix="0" xfId="0">
      <alignment horizontal="center"/>
    </xf>
    <xf numFmtId="2" fontId="62" fillId="30" borderId="35" applyAlignment="1" pivotButton="0" quotePrefix="0" xfId="0">
      <alignment horizontal="center"/>
    </xf>
    <xf numFmtId="0" fontId="62" fillId="30" borderId="26" applyAlignment="1" pivotButton="0" quotePrefix="0" xfId="0">
      <alignment horizontal="center"/>
    </xf>
    <xf numFmtId="0" fontId="62" fillId="30" borderId="28" applyAlignment="1" pivotButton="0" quotePrefix="0" xfId="0">
      <alignment horizontal="center"/>
    </xf>
    <xf numFmtId="0" fontId="2" fillId="31" borderId="33" applyAlignment="1" pivotButton="0" quotePrefix="0" xfId="0">
      <alignment horizontal="right" vertical="center"/>
    </xf>
    <xf numFmtId="0" fontId="2" fillId="31" borderId="34" applyAlignment="1" pivotButton="0" quotePrefix="0" xfId="0">
      <alignment horizontal="right" vertical="center"/>
    </xf>
    <xf numFmtId="164" fontId="14" fillId="7" borderId="34" applyAlignment="1" pivotButton="0" quotePrefix="0" xfId="0">
      <alignment horizontal="center" vertical="center"/>
    </xf>
    <xf numFmtId="164" fontId="14" fillId="7" borderId="35" applyAlignment="1" pivotButton="0" quotePrefix="0" xfId="0">
      <alignment horizontal="center" vertical="center"/>
    </xf>
    <xf numFmtId="164" fontId="14" fillId="7" borderId="3" applyAlignment="1" pivotButton="0" quotePrefix="0" xfId="0">
      <alignment horizontal="center" vertical="center"/>
    </xf>
    <xf numFmtId="164" fontId="14" fillId="7" borderId="2" applyAlignment="1" pivotButton="0" quotePrefix="0" xfId="0">
      <alignment horizontal="center" vertical="center"/>
    </xf>
    <xf numFmtId="0" fontId="12" fillId="31" borderId="33" applyAlignment="1" pivotButton="0" quotePrefix="0" xfId="0">
      <alignment horizontal="center" vertical="center" textRotation="90"/>
    </xf>
    <xf numFmtId="0" fontId="12" fillId="31" borderId="34" applyAlignment="1" pivotButton="0" quotePrefix="0" xfId="0">
      <alignment horizontal="center" vertical="center" textRotation="90"/>
    </xf>
    <xf numFmtId="0" fontId="12" fillId="31" borderId="69" applyAlignment="1" pivotButton="0" quotePrefix="0" xfId="0">
      <alignment horizontal="center" vertical="center" textRotation="90"/>
    </xf>
    <xf numFmtId="0" fontId="12" fillId="31" borderId="17" applyAlignment="1" pivotButton="0" quotePrefix="0" xfId="0">
      <alignment horizontal="center" vertical="center" textRotation="90"/>
    </xf>
    <xf numFmtId="0" fontId="12" fillId="31" borderId="1" applyAlignment="1" pivotButton="0" quotePrefix="0" xfId="0">
      <alignment horizontal="center" vertical="center" textRotation="90"/>
    </xf>
    <xf numFmtId="0" fontId="12" fillId="31" borderId="20" applyAlignment="1" pivotButton="0" quotePrefix="0" xfId="0">
      <alignment horizontal="center" vertical="center" textRotation="90"/>
    </xf>
    <xf numFmtId="0" fontId="12" fillId="31" borderId="26" applyAlignment="1" pivotButton="0" quotePrefix="0" xfId="0">
      <alignment horizontal="center" vertical="center" textRotation="90"/>
    </xf>
    <xf numFmtId="0" fontId="12" fillId="31" borderId="27" applyAlignment="1" pivotButton="0" quotePrefix="0" xfId="0">
      <alignment horizontal="center" vertical="center" textRotation="90"/>
    </xf>
    <xf numFmtId="0" fontId="12" fillId="31" borderId="39" applyAlignment="1" pivotButton="0" quotePrefix="0" xfId="0">
      <alignment horizontal="center" vertical="center" textRotation="90"/>
    </xf>
    <xf numFmtId="0" fontId="62" fillId="7" borderId="5" applyAlignment="1" pivotButton="0" quotePrefix="0" xfId="0">
      <alignment horizontal="center" vertical="center"/>
    </xf>
    <xf numFmtId="0" fontId="62" fillId="7" borderId="19" applyAlignment="1" pivotButton="0" quotePrefix="0" xfId="0">
      <alignment horizontal="center" vertical="center"/>
    </xf>
    <xf numFmtId="0" fontId="62" fillId="7" borderId="6" applyAlignment="1" pivotButton="0" quotePrefix="0" xfId="0">
      <alignment horizontal="center" vertical="center"/>
    </xf>
    <xf numFmtId="0" fontId="62" fillId="7" borderId="1" applyAlignment="1" pivotButton="0" quotePrefix="0" xfId="0">
      <alignment horizontal="center" vertical="center"/>
    </xf>
    <xf numFmtId="0" fontId="62" fillId="7" borderId="20" applyAlignment="1" pivotButton="0" quotePrefix="0" xfId="0">
      <alignment horizontal="center" vertical="center"/>
    </xf>
    <xf numFmtId="0" fontId="62" fillId="7" borderId="18" applyAlignment="1" pivotButton="0" quotePrefix="0" xfId="0">
      <alignment horizontal="center" vertical="center"/>
    </xf>
    <xf numFmtId="0" fontId="2" fillId="31" borderId="36" applyAlignment="1" pivotButton="0" quotePrefix="0" xfId="0">
      <alignment horizontal="right" vertical="center"/>
    </xf>
    <xf numFmtId="0" fontId="2" fillId="31" borderId="37" applyAlignment="1" pivotButton="0" quotePrefix="0" xfId="0">
      <alignment horizontal="right" vertical="center"/>
    </xf>
    <xf numFmtId="0" fontId="2" fillId="31" borderId="46" applyAlignment="1" pivotButton="0" quotePrefix="0" xfId="0">
      <alignment horizontal="right" vertical="center"/>
    </xf>
    <xf numFmtId="0" fontId="2" fillId="31" borderId="69" applyAlignment="1" pivotButton="0" quotePrefix="0" xfId="0">
      <alignment horizontal="right" vertical="center"/>
    </xf>
    <xf numFmtId="0" fontId="2" fillId="31" borderId="61" applyAlignment="1" pivotButton="0" quotePrefix="0" xfId="0">
      <alignment horizontal="right"/>
    </xf>
    <xf numFmtId="0" fontId="2" fillId="31" borderId="30" applyAlignment="1" pivotButton="0" quotePrefix="0" xfId="0">
      <alignment horizontal="right"/>
    </xf>
    <xf numFmtId="0" fontId="2" fillId="31" borderId="31" applyAlignment="1" pivotButton="0" quotePrefix="0" xfId="0">
      <alignment horizontal="right"/>
    </xf>
    <xf numFmtId="0" fontId="2" fillId="31" borderId="12" applyAlignment="1" pivotButton="0" quotePrefix="0" xfId="0">
      <alignment horizontal="right" vertical="center"/>
    </xf>
    <xf numFmtId="0" fontId="2" fillId="31" borderId="0" applyAlignment="1" pivotButton="0" quotePrefix="0" xfId="0">
      <alignment horizontal="right" vertical="center"/>
    </xf>
    <xf numFmtId="0" fontId="62" fillId="30" borderId="52" applyAlignment="1" pivotButton="0" quotePrefix="0" xfId="0">
      <alignment horizontal="center"/>
    </xf>
    <xf numFmtId="0" fontId="62" fillId="30" borderId="53" applyAlignment="1" pivotButton="0" quotePrefix="0" xfId="0">
      <alignment horizontal="center"/>
    </xf>
    <xf numFmtId="164" fontId="62" fillId="30" borderId="61" applyAlignment="1" pivotButton="0" quotePrefix="0" xfId="0">
      <alignment horizontal="center" vertical="center"/>
    </xf>
    <xf numFmtId="164" fontId="62" fillId="30" borderId="31" applyAlignment="1" pivotButton="0" quotePrefix="0" xfId="0">
      <alignment horizontal="center" vertical="center"/>
    </xf>
    <xf numFmtId="164" fontId="62" fillId="7" borderId="36" applyAlignment="1" pivotButton="0" quotePrefix="0" xfId="0">
      <alignment horizontal="center"/>
    </xf>
    <xf numFmtId="164" fontId="62" fillId="7" borderId="37" applyAlignment="1" pivotButton="0" quotePrefix="0" xfId="0">
      <alignment horizontal="center"/>
    </xf>
    <xf numFmtId="164" fontId="62" fillId="7" borderId="38" applyAlignment="1" pivotButton="0" quotePrefix="0" xfId="0">
      <alignment horizontal="center"/>
    </xf>
    <xf numFmtId="164" fontId="7" fillId="30" borderId="57" applyAlignment="1" pivotButton="0" quotePrefix="0" xfId="0">
      <alignment horizontal="center" wrapText="1"/>
    </xf>
    <xf numFmtId="164" fontId="7" fillId="30" borderId="54" applyAlignment="1" pivotButton="0" quotePrefix="0" xfId="0">
      <alignment horizontal="center" wrapText="1"/>
    </xf>
    <xf numFmtId="2" fontId="62" fillId="30" borderId="165" applyAlignment="1" pivotButton="0" quotePrefix="0" xfId="0">
      <alignment horizontal="center" vertical="center"/>
    </xf>
    <xf numFmtId="2" fontId="62" fillId="30" borderId="6" applyAlignment="1" pivotButton="0" quotePrefix="0" xfId="0">
      <alignment horizontal="center" vertical="center"/>
    </xf>
    <xf numFmtId="0" fontId="3" fillId="13" borderId="36" applyAlignment="1" pivotButton="0" quotePrefix="0" xfId="0">
      <alignment horizontal="center"/>
    </xf>
    <xf numFmtId="0" fontId="3" fillId="13" borderId="37" applyAlignment="1" pivotButton="0" quotePrefix="0" xfId="0">
      <alignment horizontal="center"/>
    </xf>
    <xf numFmtId="0" fontId="3" fillId="13" borderId="46" applyAlignment="1" pivotButton="0" quotePrefix="0" xfId="0">
      <alignment horizontal="center"/>
    </xf>
    <xf numFmtId="0" fontId="3" fillId="13" borderId="38" applyAlignment="1" pivotButton="0" quotePrefix="0" xfId="0">
      <alignment horizontal="center"/>
    </xf>
    <xf numFmtId="0" fontId="3" fillId="13" borderId="51" applyAlignment="1" pivotButton="0" quotePrefix="0" xfId="0">
      <alignment horizontal="center"/>
    </xf>
    <xf numFmtId="0" fontId="0" fillId="31" borderId="33" applyAlignment="1" pivotButton="0" quotePrefix="0" xfId="0">
      <alignment horizontal="center"/>
    </xf>
    <xf numFmtId="0" fontId="0" fillId="31" borderId="34" applyAlignment="1" pivotButton="0" quotePrefix="0" xfId="0">
      <alignment horizontal="center"/>
    </xf>
    <xf numFmtId="0" fontId="0" fillId="31" borderId="69" applyAlignment="1" pivotButton="0" quotePrefix="0" xfId="0">
      <alignment horizontal="center"/>
    </xf>
    <xf numFmtId="0" fontId="0" fillId="31" borderId="35" applyAlignment="1" pivotButton="0" quotePrefix="0" xfId="0">
      <alignment horizontal="center"/>
    </xf>
    <xf numFmtId="0" fontId="0" fillId="31" borderId="77" applyAlignment="1" pivotButton="0" quotePrefix="0" xfId="0">
      <alignment horizontal="center"/>
    </xf>
    <xf numFmtId="0" fontId="1" fillId="13" borderId="36" applyAlignment="1" pivotButton="0" quotePrefix="0" xfId="0">
      <alignment horizontal="center"/>
    </xf>
    <xf numFmtId="0" fontId="1" fillId="13" borderId="37" applyAlignment="1" pivotButton="0" quotePrefix="0" xfId="0">
      <alignment horizontal="center"/>
    </xf>
    <xf numFmtId="0" fontId="1" fillId="13" borderId="46" applyAlignment="1" pivotButton="0" quotePrefix="0" xfId="0">
      <alignment horizontal="center"/>
    </xf>
    <xf numFmtId="0" fontId="62" fillId="7" borderId="61" applyAlignment="1" pivotButton="0" quotePrefix="0" xfId="0">
      <alignment horizontal="right" vertical="center"/>
    </xf>
    <xf numFmtId="0" fontId="62" fillId="7" borderId="22" applyAlignment="1" pivotButton="0" quotePrefix="0" xfId="0">
      <alignment horizontal="right" vertical="center"/>
    </xf>
    <xf numFmtId="0" fontId="2" fillId="31" borderId="38" applyAlignment="1" pivotButton="0" quotePrefix="0" xfId="0">
      <alignment horizontal="right" vertical="center"/>
    </xf>
    <xf numFmtId="0" fontId="62" fillId="7" borderId="62" applyAlignment="1" pivotButton="0" quotePrefix="0" xfId="0">
      <alignment horizontal="right" vertical="center"/>
    </xf>
    <xf numFmtId="0" fontId="62" fillId="7" borderId="29" applyAlignment="1" pivotButton="0" quotePrefix="0" xfId="0">
      <alignment horizontal="right" vertical="center"/>
    </xf>
    <xf numFmtId="0" fontId="0" fillId="31" borderId="36" applyAlignment="1" pivotButton="0" quotePrefix="0" xfId="0">
      <alignment horizontal="center" vertical="center"/>
    </xf>
    <xf numFmtId="0" fontId="0" fillId="31" borderId="37" applyAlignment="1" pivotButton="0" quotePrefix="0" xfId="0">
      <alignment horizontal="center" vertical="center"/>
    </xf>
    <xf numFmtId="0" fontId="0" fillId="31" borderId="38" applyAlignment="1" pivotButton="0" quotePrefix="0" xfId="0">
      <alignment horizontal="center" vertical="center"/>
    </xf>
    <xf numFmtId="0" fontId="62" fillId="7" borderId="33" applyAlignment="1" pivotButton="0" quotePrefix="0" xfId="0">
      <alignment horizontal="right" vertical="center"/>
    </xf>
    <xf numFmtId="0" fontId="62" fillId="7" borderId="34" applyAlignment="1" pivotButton="0" quotePrefix="0" xfId="0">
      <alignment horizontal="right" vertical="center"/>
    </xf>
    <xf numFmtId="0" fontId="2" fillId="31" borderId="20" applyAlignment="1" pivotButton="0" quotePrefix="0" xfId="0">
      <alignment horizontal="right" vertical="center"/>
    </xf>
    <xf numFmtId="0" fontId="62" fillId="7" borderId="4" applyAlignment="1" pivotButton="0" quotePrefix="0" xfId="0">
      <alignment horizontal="center" vertical="center"/>
    </xf>
    <xf numFmtId="0" fontId="62" fillId="7" borderId="17" applyAlignment="1" pivotButton="0" quotePrefix="0" xfId="0">
      <alignment horizontal="center" vertical="center"/>
    </xf>
    <xf numFmtId="0" fontId="62" fillId="7" borderId="26" applyAlignment="1" pivotButton="0" quotePrefix="0" xfId="0">
      <alignment horizontal="center" vertical="center"/>
    </xf>
    <xf numFmtId="0" fontId="62" fillId="7" borderId="27" applyAlignment="1" pivotButton="0" quotePrefix="0" xfId="0">
      <alignment horizontal="center" vertical="center"/>
    </xf>
    <xf numFmtId="164" fontId="62" fillId="7" borderId="4" applyAlignment="1" pivotButton="0" quotePrefix="0" xfId="0">
      <alignment horizontal="center"/>
    </xf>
    <xf numFmtId="164" fontId="62" fillId="7" borderId="5" applyAlignment="1" pivotButton="0" quotePrefix="0" xfId="0">
      <alignment horizontal="center"/>
    </xf>
    <xf numFmtId="164" fontId="62" fillId="7" borderId="6" applyAlignment="1" pivotButton="0" quotePrefix="0" xfId="0">
      <alignment horizontal="center"/>
    </xf>
    <xf numFmtId="0" fontId="2" fillId="31" borderId="52" applyAlignment="1" pivotButton="0" quotePrefix="0" xfId="0">
      <alignment horizontal="right" vertical="center"/>
    </xf>
    <xf numFmtId="0" fontId="2" fillId="31" borderId="40" applyAlignment="1" pivotButton="0" quotePrefix="0" xfId="0">
      <alignment horizontal="right" vertical="center"/>
    </xf>
    <xf numFmtId="0" fontId="2" fillId="31" borderId="70" applyAlignment="1" pivotButton="0" quotePrefix="0" xfId="0">
      <alignment horizontal="right" vertical="center"/>
    </xf>
    <xf numFmtId="164" fontId="62" fillId="7" borderId="57" applyAlignment="1" pivotButton="0" quotePrefix="0" xfId="0">
      <alignment horizontal="center" vertical="center" wrapText="1"/>
    </xf>
    <xf numFmtId="164" fontId="62" fillId="7" borderId="58" applyAlignment="1" pivotButton="0" quotePrefix="0" xfId="0">
      <alignment horizontal="center" vertical="center" wrapText="1"/>
    </xf>
    <xf numFmtId="164" fontId="62" fillId="7" borderId="54" applyAlignment="1" pivotButton="0" quotePrefix="0" xfId="0">
      <alignment horizontal="center" vertical="center" wrapText="1"/>
    </xf>
    <xf numFmtId="0" fontId="2" fillId="31" borderId="33" applyAlignment="1" pivotButton="0" quotePrefix="0" xfId="0">
      <alignment horizontal="right"/>
    </xf>
    <xf numFmtId="0" fontId="2" fillId="31" borderId="34" applyAlignment="1" pivotButton="0" quotePrefix="0" xfId="0">
      <alignment horizontal="right"/>
    </xf>
    <xf numFmtId="0" fontId="2" fillId="31" borderId="69" applyAlignment="1" pivotButton="0" quotePrefix="0" xfId="0">
      <alignment horizontal="right"/>
    </xf>
    <xf numFmtId="164" fontId="62" fillId="7" borderId="34" applyAlignment="1" pivotButton="0" quotePrefix="0" xfId="0">
      <alignment horizontal="center"/>
    </xf>
    <xf numFmtId="164" fontId="62" fillId="7" borderId="35" applyAlignment="1" pivotButton="0" quotePrefix="0" xfId="0">
      <alignment horizontal="center"/>
    </xf>
    <xf numFmtId="164" fontId="62" fillId="7" borderId="27" applyAlignment="1" pivotButton="0" quotePrefix="0" xfId="0">
      <alignment horizontal="center"/>
    </xf>
    <xf numFmtId="164" fontId="62" fillId="7" borderId="28" applyAlignment="1" pivotButton="0" quotePrefix="0" xfId="0">
      <alignment horizontal="center"/>
    </xf>
    <xf numFmtId="164" fontId="62" fillId="7" borderId="3" applyAlignment="1" pivotButton="0" quotePrefix="0" xfId="0">
      <alignment horizontal="center"/>
    </xf>
    <xf numFmtId="164" fontId="62" fillId="7" borderId="2" applyAlignment="1" pivotButton="0" quotePrefix="0" xfId="0">
      <alignment horizontal="center"/>
    </xf>
    <xf numFmtId="0" fontId="62" fillId="7" borderId="39" applyAlignment="1" pivotButton="0" quotePrefix="0" xfId="0">
      <alignment horizontal="center" vertical="center"/>
    </xf>
    <xf numFmtId="0" fontId="62" fillId="7" borderId="28" applyAlignment="1" pivotButton="0" quotePrefix="0" xfId="0">
      <alignment horizontal="center" vertical="center"/>
    </xf>
    <xf numFmtId="0" fontId="2" fillId="31" borderId="4" applyAlignment="1" pivotButton="0" quotePrefix="0" xfId="0">
      <alignment horizontal="center" vertical="center"/>
    </xf>
    <xf numFmtId="0" fontId="2" fillId="31" borderId="5" applyAlignment="1" pivotButton="0" quotePrefix="0" xfId="0">
      <alignment horizontal="center" vertical="center"/>
    </xf>
    <xf numFmtId="0" fontId="2" fillId="31" borderId="17" applyAlignment="1" pivotButton="0" quotePrefix="0" xfId="0">
      <alignment horizontal="center" vertical="center"/>
    </xf>
    <xf numFmtId="0" fontId="2" fillId="31" borderId="1" applyAlignment="1" pivotButton="0" quotePrefix="0" xfId="0">
      <alignment horizontal="center" vertical="center"/>
    </xf>
    <xf numFmtId="0" fontId="2" fillId="31" borderId="26" applyAlignment="1" pivotButton="0" quotePrefix="0" xfId="0">
      <alignment horizontal="center" vertical="center"/>
    </xf>
    <xf numFmtId="0" fontId="2" fillId="31" borderId="27" applyAlignment="1" pivotButton="0" quotePrefix="0" xfId="0">
      <alignment horizontal="center" vertical="center"/>
    </xf>
    <xf numFmtId="0" fontId="67" fillId="38" borderId="0" applyAlignment="1" pivotButton="0" quotePrefix="0" xfId="0">
      <alignment horizontal="center"/>
    </xf>
    <xf numFmtId="0" fontId="1" fillId="13" borderId="0" applyAlignment="1" pivotButton="0" quotePrefix="0" xfId="0">
      <alignment horizontal="center" textRotation="90" wrapText="1"/>
    </xf>
    <xf numFmtId="2" fontId="0" fillId="9" borderId="3" applyAlignment="1" pivotButton="0" quotePrefix="0" xfId="0">
      <alignment horizontal="center"/>
    </xf>
    <xf numFmtId="2" fontId="0" fillId="9" borderId="2" applyAlignment="1" pivotButton="0" quotePrefix="0" xfId="0">
      <alignment horizontal="center"/>
    </xf>
    <xf numFmtId="0" fontId="3" fillId="32" borderId="61" applyAlignment="1" pivotButton="0" quotePrefix="0" xfId="0">
      <alignment horizontal="center" vertical="center"/>
    </xf>
    <xf numFmtId="0" fontId="3" fillId="32" borderId="22" applyAlignment="1" pivotButton="0" quotePrefix="0" xfId="0">
      <alignment horizontal="center" vertical="center"/>
    </xf>
    <xf numFmtId="0" fontId="62" fillId="7" borderId="20" applyAlignment="1" pivotButton="0" quotePrefix="0" xfId="0">
      <alignment horizontal="left" vertical="center"/>
    </xf>
    <xf numFmtId="0" fontId="62" fillId="7" borderId="31" applyAlignment="1" pivotButton="0" quotePrefix="0" xfId="0">
      <alignment horizontal="left" vertical="center"/>
    </xf>
    <xf numFmtId="0" fontId="62" fillId="7" borderId="21" applyAlignment="1" pivotButton="0" quotePrefix="0" xfId="0">
      <alignment horizontal="left" vertical="center"/>
    </xf>
    <xf numFmtId="0" fontId="62" fillId="7" borderId="82" applyAlignment="1" pivotButton="0" quotePrefix="0" xfId="0">
      <alignment horizontal="left" vertical="center"/>
    </xf>
    <xf numFmtId="0" fontId="0" fillId="31" borderId="58" applyAlignment="1" pivotButton="0" quotePrefix="0" xfId="0">
      <alignment horizontal="center"/>
    </xf>
    <xf numFmtId="0" fontId="0" fillId="31" borderId="54" applyAlignment="1" pivotButton="0" quotePrefix="0" xfId="0">
      <alignment horizontal="center"/>
    </xf>
    <xf numFmtId="0" fontId="2" fillId="31" borderId="57" applyAlignment="1" pivotButton="0" quotePrefix="0" xfId="0">
      <alignment horizontal="right" vertical="center"/>
    </xf>
    <xf numFmtId="0" fontId="2" fillId="31" borderId="58" applyAlignment="1" pivotButton="0" quotePrefix="0" xfId="0">
      <alignment horizontal="right" vertical="center"/>
    </xf>
    <xf numFmtId="0" fontId="2" fillId="31" borderId="54" applyAlignment="1" pivotButton="0" quotePrefix="0" xfId="0">
      <alignment horizontal="right" vertical="center"/>
    </xf>
    <xf numFmtId="0" fontId="62" fillId="7" borderId="69" applyAlignment="1" pivotButton="0" quotePrefix="0" xfId="0">
      <alignment horizontal="left" vertical="center"/>
    </xf>
    <xf numFmtId="0" fontId="62" fillId="7" borderId="83" applyAlignment="1" pivotButton="0" quotePrefix="0" xfId="0">
      <alignment horizontal="left" vertical="center"/>
    </xf>
    <xf numFmtId="2" fontId="62" fillId="7" borderId="20" applyAlignment="1" pivotButton="0" quotePrefix="0" xfId="0">
      <alignment horizontal="left" vertical="center"/>
    </xf>
    <xf numFmtId="2" fontId="62" fillId="7" borderId="31" applyAlignment="1" pivotButton="0" quotePrefix="0" xfId="0">
      <alignment horizontal="left" vertical="center"/>
    </xf>
    <xf numFmtId="0" fontId="62" fillId="31" borderId="51" applyAlignment="1" pivotButton="0" quotePrefix="0" xfId="0">
      <alignment horizontal="center"/>
    </xf>
    <xf numFmtId="0" fontId="62" fillId="31" borderId="38" applyAlignment="1" pivotButton="0" quotePrefix="0" xfId="0">
      <alignment horizontal="center"/>
    </xf>
    <xf numFmtId="0" fontId="0" fillId="31" borderId="17" applyAlignment="1" pivotButton="0" quotePrefix="0" xfId="0">
      <alignment horizontal="center" vertical="center"/>
    </xf>
    <xf numFmtId="0" fontId="0" fillId="31" borderId="1" applyAlignment="1" pivotButton="0" quotePrefix="0" xfId="0">
      <alignment horizontal="center" vertical="center"/>
    </xf>
    <xf numFmtId="0" fontId="0" fillId="31" borderId="18" applyAlignment="1" pivotButton="0" quotePrefix="0" xfId="0">
      <alignment horizontal="center" vertical="center"/>
    </xf>
    <xf numFmtId="0" fontId="62" fillId="7" borderId="36" applyAlignment="1" pivotButton="0" quotePrefix="0" xfId="0">
      <alignment horizontal="center" vertical="center"/>
    </xf>
    <xf numFmtId="0" fontId="62" fillId="7" borderId="37" applyAlignment="1" pivotButton="0" quotePrefix="0" xfId="0">
      <alignment horizontal="center" vertical="center"/>
    </xf>
    <xf numFmtId="0" fontId="62" fillId="7" borderId="46" applyAlignment="1" pivotButton="0" quotePrefix="0" xfId="0">
      <alignment horizontal="center" vertical="center"/>
    </xf>
    <xf numFmtId="0" fontId="62" fillId="7" borderId="38" applyAlignment="1" pivotButton="0" quotePrefix="0" xfId="0">
      <alignment horizontal="center" vertical="center"/>
    </xf>
    <xf numFmtId="0" fontId="0" fillId="31" borderId="22" applyAlignment="1" pivotButton="0" quotePrefix="0" xfId="0">
      <alignment horizontal="center"/>
    </xf>
    <xf numFmtId="0" fontId="0" fillId="31" borderId="18" applyAlignment="1" pivotButton="0" quotePrefix="0" xfId="0">
      <alignment horizontal="center"/>
    </xf>
    <xf numFmtId="0" fontId="0" fillId="31" borderId="51" applyAlignment="1" pivotButton="0" quotePrefix="0" xfId="0">
      <alignment horizontal="center"/>
    </xf>
    <xf numFmtId="0" fontId="0" fillId="31" borderId="38" applyAlignment="1" pivotButton="0" quotePrefix="0" xfId="0">
      <alignment horizontal="center"/>
    </xf>
    <xf numFmtId="0" fontId="62" fillId="30" borderId="51" applyAlignment="1" pivotButton="0" quotePrefix="0" xfId="0">
      <alignment horizontal="center"/>
    </xf>
    <xf numFmtId="0" fontId="62" fillId="30" borderId="38"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3" borderId="23" applyAlignment="1" pivotButton="0" quotePrefix="0" xfId="0">
      <alignment horizontal="center"/>
    </xf>
    <xf numFmtId="0" fontId="0" fillId="3" borderId="24" applyAlignment="1" pivotButton="0" quotePrefix="0" xfId="0">
      <alignment horizontal="center"/>
    </xf>
    <xf numFmtId="0" fontId="0" fillId="3" borderId="25" applyAlignment="1" pivotButton="0" quotePrefix="0" xfId="0">
      <alignment horizontal="center"/>
    </xf>
    <xf numFmtId="0" fontId="0" fillId="3" borderId="4" applyAlignment="1" pivotButton="0" quotePrefix="0" xfId="0">
      <alignment horizontal="center"/>
    </xf>
    <xf numFmtId="0" fontId="0" fillId="3" borderId="5" applyAlignment="1" pivotButton="0" quotePrefix="0" xfId="0">
      <alignment horizontal="center"/>
    </xf>
    <xf numFmtId="0" fontId="0" fillId="3" borderId="6" applyAlignment="1" pivotButton="0" quotePrefix="0" xfId="0">
      <alignment horizontal="center"/>
    </xf>
    <xf numFmtId="0" fontId="0" fillId="3" borderId="9" applyAlignment="1" pivotButton="0" quotePrefix="0" xfId="0">
      <alignment horizontal="center"/>
    </xf>
    <xf numFmtId="0" fontId="0" fillId="3" borderId="10" applyAlignment="1" pivotButton="0" quotePrefix="0" xfId="0">
      <alignment horizontal="center"/>
    </xf>
    <xf numFmtId="0" fontId="0" fillId="3" borderId="75" applyAlignment="1" pivotButton="0" quotePrefix="0" xfId="0">
      <alignment horizontal="center"/>
    </xf>
    <xf numFmtId="0" fontId="0" fillId="3" borderId="74" applyAlignment="1" pivotButton="0" quotePrefix="0" xfId="0">
      <alignment horizontal="center"/>
    </xf>
    <xf numFmtId="0" fontId="0" fillId="3" borderId="43" applyAlignment="1" pivotButton="0" quotePrefix="0" xfId="0">
      <alignment horizontal="center"/>
    </xf>
    <xf numFmtId="0" fontId="0" fillId="3" borderId="59" applyAlignment="1" pivotButton="0" quotePrefix="0" xfId="0">
      <alignment horizontal="center"/>
    </xf>
    <xf numFmtId="0" fontId="0" fillId="3" borderId="55" applyAlignment="1" pivotButton="0" quotePrefix="0" xfId="0">
      <alignment horizontal="center"/>
    </xf>
    <xf numFmtId="0" fontId="0" fillId="3" borderId="56" applyAlignment="1" pivotButton="0" quotePrefix="0" xfId="0">
      <alignment horizontal="center"/>
    </xf>
    <xf numFmtId="0" fontId="0" fillId="3" borderId="52" applyAlignment="1" pivotButton="0" quotePrefix="0" xfId="0">
      <alignment horizontal="center"/>
    </xf>
    <xf numFmtId="0" fontId="0" fillId="3" borderId="40" applyAlignment="1" pivotButton="0" quotePrefix="0" xfId="0">
      <alignment horizontal="center"/>
    </xf>
    <xf numFmtId="0" fontId="0" fillId="3" borderId="70" applyAlignment="1" pivotButton="0" quotePrefix="0" xfId="0">
      <alignment horizontal="center"/>
    </xf>
    <xf numFmtId="0" fontId="0" fillId="3" borderId="0" applyAlignment="1" pivotButton="0" quotePrefix="0" xfId="0">
      <alignment horizontal="center"/>
    </xf>
    <xf numFmtId="0" fontId="0" fillId="3" borderId="13" applyAlignment="1" pivotButton="0" quotePrefix="0" xfId="0">
      <alignment horizontal="center"/>
    </xf>
    <xf numFmtId="0" fontId="0" fillId="2" borderId="26" applyAlignment="1" pivotButton="0" quotePrefix="0" xfId="0">
      <alignment horizontal="center"/>
    </xf>
    <xf numFmtId="0" fontId="0" fillId="2" borderId="27" applyAlignment="1" pivotButton="0" quotePrefix="0" xfId="0">
      <alignment horizontal="center"/>
    </xf>
    <xf numFmtId="0" fontId="0" fillId="2" borderId="28" applyAlignment="1" pivotButton="0" quotePrefix="0" xfId="0">
      <alignment horizontal="center"/>
    </xf>
    <xf numFmtId="0" fontId="0" fillId="2" borderId="39" applyAlignment="1" pivotButton="0" quotePrefix="0" xfId="0">
      <alignment horizontal="center"/>
    </xf>
    <xf numFmtId="0" fontId="0" fillId="2" borderId="22" applyAlignment="1" pivotButton="0" quotePrefix="0" xfId="0">
      <alignment horizontal="center" vertical="center"/>
    </xf>
    <xf numFmtId="0" fontId="0" fillId="2" borderId="1" applyAlignment="1" pivotButton="0" quotePrefix="0" xfId="0">
      <alignment horizontal="center" vertical="center"/>
    </xf>
    <xf numFmtId="0" fontId="0" fillId="2" borderId="1" applyAlignment="1" pivotButton="0" quotePrefix="0" xfId="0">
      <alignment horizontal="center"/>
    </xf>
    <xf numFmtId="0" fontId="0" fillId="2" borderId="20" applyAlignment="1" pivotButton="0" quotePrefix="0" xfId="0">
      <alignment horizontal="center"/>
    </xf>
    <xf numFmtId="0" fontId="0" fillId="2" borderId="31" applyAlignment="1" pivotButton="0" quotePrefix="0" xfId="0">
      <alignment horizontal="center"/>
    </xf>
    <xf numFmtId="0" fontId="0" fillId="2" borderId="20" applyAlignment="1" pivotButton="0" quotePrefix="0" xfId="0">
      <alignment horizontal="center" vertical="center"/>
    </xf>
    <xf numFmtId="0" fontId="0" fillId="2" borderId="17" applyAlignment="1" pivotButton="0" quotePrefix="0" xfId="0">
      <alignment horizontal="center"/>
    </xf>
    <xf numFmtId="0" fontId="7" fillId="0" borderId="0" applyAlignment="1" pivotButton="0" quotePrefix="0" xfId="0">
      <alignment horizontal="center" wrapText="1"/>
    </xf>
    <xf numFmtId="0" fontId="7" fillId="0" borderId="0" applyAlignment="1" pivotButton="0" quotePrefix="0" xfId="0">
      <alignment horizontal="center"/>
    </xf>
    <xf numFmtId="0" fontId="58" fillId="0" borderId="93" applyAlignment="1" pivotButton="0" quotePrefix="0" xfId="0">
      <alignment horizontal="center" vertical="center"/>
    </xf>
    <xf numFmtId="0" fontId="58" fillId="0" borderId="89" applyAlignment="1" pivotButton="0" quotePrefix="0" xfId="0">
      <alignment horizontal="center" vertical="center"/>
    </xf>
    <xf numFmtId="0" fontId="58" fillId="0" borderId="92" applyAlignment="1" pivotButton="0" quotePrefix="0" xfId="0">
      <alignment horizontal="center" vertical="center" wrapText="1"/>
    </xf>
    <xf numFmtId="0" fontId="58" fillId="0" borderId="91" applyAlignment="1" pivotButton="0" quotePrefix="0" xfId="0">
      <alignment horizontal="center" vertical="center" wrapText="1"/>
    </xf>
    <xf numFmtId="0" fontId="58" fillId="0" borderId="90" applyAlignment="1" pivotButton="0" quotePrefix="0" xfId="0">
      <alignment horizontal="left" vertical="center"/>
    </xf>
    <xf numFmtId="0" fontId="58" fillId="0" borderId="88" applyAlignment="1" pivotButton="0" quotePrefix="0" xfId="0">
      <alignment horizontal="left" vertical="center"/>
    </xf>
    <xf numFmtId="0" fontId="7" fillId="0" borderId="0" applyAlignment="1" pivotButton="0" quotePrefix="0" xfId="0">
      <alignment horizontal="right"/>
    </xf>
    <xf numFmtId="0" fontId="7" fillId="0" borderId="116" applyAlignment="1" pivotButton="0" quotePrefix="0" xfId="0">
      <alignment horizontal="center"/>
    </xf>
    <xf numFmtId="0" fontId="0" fillId="9" borderId="27" applyAlignment="1" pivotButton="0" quotePrefix="0" xfId="0">
      <alignment horizontal="center" textRotation="90"/>
    </xf>
    <xf numFmtId="0" fontId="0" fillId="9" borderId="40" applyAlignment="1" pivotButton="0" quotePrefix="0" xfId="0">
      <alignment horizontal="center" textRotation="90"/>
    </xf>
    <xf numFmtId="0" fontId="0" fillId="9" borderId="34" applyAlignment="1" pivotButton="0" quotePrefix="0" xfId="0">
      <alignment horizontal="center" textRotation="90"/>
    </xf>
    <xf numFmtId="0" fontId="0" fillId="9" borderId="27" applyAlignment="1" pivotButton="0" quotePrefix="0" xfId="0">
      <alignment horizontal="center" textRotation="90" wrapText="1"/>
    </xf>
    <xf numFmtId="0" fontId="0" fillId="9" borderId="40" applyAlignment="1" pivotButton="0" quotePrefix="0" xfId="0">
      <alignment horizontal="center" textRotation="90" wrapText="1"/>
    </xf>
    <xf numFmtId="0" fontId="0" fillId="9" borderId="34" applyAlignment="1" pivotButton="0" quotePrefix="0" xfId="0">
      <alignment horizontal="center" textRotation="90" wrapText="1"/>
    </xf>
    <xf numFmtId="0" fontId="0" fillId="9" borderId="27" applyAlignment="1" pivotButton="0" quotePrefix="0" xfId="0">
      <alignment horizontal="center" vertical="center" textRotation="90"/>
    </xf>
    <xf numFmtId="0" fontId="0" fillId="9" borderId="40" applyAlignment="1" pivotButton="0" quotePrefix="0" xfId="0">
      <alignment horizontal="center" vertical="center" textRotation="90"/>
    </xf>
    <xf numFmtId="0" fontId="0" fillId="9" borderId="34" applyAlignment="1" pivotButton="0" quotePrefix="0" xfId="0">
      <alignment horizontal="center" vertical="center" textRotation="90"/>
    </xf>
    <xf numFmtId="0" fontId="0" fillId="9" borderId="27" applyAlignment="1" pivotButton="0" quotePrefix="0" xfId="0">
      <alignment horizontal="center" vertical="center" textRotation="90" wrapText="1"/>
    </xf>
    <xf numFmtId="0" fontId="0" fillId="9" borderId="40" applyAlignment="1" pivotButton="0" quotePrefix="0" xfId="0">
      <alignment horizontal="center" vertical="center" textRotation="90" wrapText="1"/>
    </xf>
    <xf numFmtId="0" fontId="0" fillId="9" borderId="34" applyAlignment="1" pivotButton="0" quotePrefix="0" xfId="0">
      <alignment horizontal="center" vertical="center" textRotation="90" wrapText="1"/>
    </xf>
    <xf numFmtId="0" fontId="0" fillId="0" borderId="1" applyAlignment="1" pivotButton="0" quotePrefix="0" xfId="0">
      <alignment horizontal="center" vertical="center"/>
    </xf>
    <xf numFmtId="0" fontId="0" fillId="8" borderId="45" applyAlignment="1" pivotButton="0" quotePrefix="0" xfId="0">
      <alignment horizontal="center" vertical="center" wrapText="1"/>
    </xf>
    <xf numFmtId="0" fontId="0" fillId="5" borderId="36" applyAlignment="1" pivotButton="0" quotePrefix="0" xfId="0">
      <alignment horizontal="center"/>
    </xf>
    <xf numFmtId="0" fontId="0" fillId="5" borderId="46" applyAlignment="1" pivotButton="0" quotePrefix="0" xfId="0">
      <alignment horizontal="center"/>
    </xf>
    <xf numFmtId="0" fontId="0" fillId="5" borderId="36" applyAlignment="1" pivotButton="0" quotePrefix="0" xfId="0">
      <alignment horizontal="center" vertical="center"/>
    </xf>
    <xf numFmtId="0" fontId="0" fillId="5" borderId="38" applyAlignment="1" pivotButton="0" quotePrefix="0" xfId="0">
      <alignment horizontal="center" vertical="center"/>
    </xf>
    <xf numFmtId="0" fontId="0" fillId="15" borderId="27" applyAlignment="1" pivotButton="0" quotePrefix="0" xfId="0">
      <alignment horizontal="center" vertical="center" textRotation="90" wrapText="1"/>
    </xf>
    <xf numFmtId="0" fontId="0" fillId="15" borderId="40" applyAlignment="1" pivotButton="0" quotePrefix="0" xfId="0">
      <alignment horizontal="center" vertical="center" textRotation="90" wrapText="1"/>
    </xf>
    <xf numFmtId="0" fontId="0" fillId="15" borderId="34" applyAlignment="1" pivotButton="0" quotePrefix="0" xfId="0">
      <alignment horizontal="center" vertical="center" textRotation="90" wrapText="1"/>
    </xf>
    <xf numFmtId="0" fontId="0" fillId="15" borderId="20" applyAlignment="1" pivotButton="0" quotePrefix="0" xfId="0">
      <alignment vertical="center"/>
    </xf>
    <xf numFmtId="0" fontId="0" fillId="15" borderId="22" applyAlignment="1" pivotButton="0" quotePrefix="0" xfId="0">
      <alignment vertical="center"/>
    </xf>
    <xf numFmtId="16" fontId="0" fillId="0" borderId="1" applyAlignment="1" pivotButton="0" quotePrefix="0" xfId="0">
      <alignment horizontal="center" vertical="center"/>
    </xf>
    <xf numFmtId="0" fontId="0" fillId="15" borderId="1" applyAlignment="1" pivotButton="0" quotePrefix="0" xfId="0">
      <alignment horizontal="center" vertical="center"/>
    </xf>
    <xf numFmtId="0" fontId="0" fillId="15" borderId="1" applyAlignment="1" pivotButton="0" quotePrefix="0" xfId="0">
      <alignment horizontal="center"/>
    </xf>
    <xf numFmtId="0" fontId="0" fillId="15" borderId="27" applyAlignment="1" pivotButton="0" quotePrefix="0" xfId="0">
      <alignment horizontal="center" vertical="center" wrapText="1"/>
    </xf>
    <xf numFmtId="0" fontId="0" fillId="15" borderId="34" applyAlignment="1" pivotButton="0" quotePrefix="0" xfId="0">
      <alignment horizontal="center" vertical="center" wrapText="1"/>
    </xf>
    <xf numFmtId="0" fontId="0" fillId="15" borderId="1" applyAlignment="1" pivotButton="0" quotePrefix="0" xfId="0">
      <alignment horizontal="center" vertical="center" wrapText="1"/>
    </xf>
    <xf numFmtId="0" fontId="0" fillId="15" borderId="27" applyAlignment="1" pivotButton="0" quotePrefix="0" xfId="0">
      <alignment horizontal="center"/>
    </xf>
    <xf numFmtId="0" fontId="0" fillId="15" borderId="34" applyAlignment="1" pivotButton="0" quotePrefix="0" xfId="0">
      <alignment horizontal="center"/>
    </xf>
    <xf numFmtId="0" fontId="0" fillId="9" borderId="0" pivotButton="0" quotePrefix="0" xfId="0"/>
    <xf numFmtId="0" fontId="0" fillId="15" borderId="20" applyAlignment="1" pivotButton="0" quotePrefix="0" xfId="0">
      <alignment horizontal="center" vertical="center" wrapText="1"/>
    </xf>
    <xf numFmtId="0" fontId="7" fillId="9" borderId="0" applyAlignment="1" pivotButton="0" quotePrefix="0" xfId="0">
      <alignment horizontal="center" textRotation="90" wrapText="1"/>
    </xf>
    <xf numFmtId="0" fontId="22" fillId="17" borderId="66" applyAlignment="1" pivotButton="0" quotePrefix="0" xfId="0">
      <alignment horizontal="center" vertical="top" wrapText="1"/>
    </xf>
    <xf numFmtId="0" fontId="22" fillId="17" borderId="68" applyAlignment="1" pivotButton="0" quotePrefix="0" xfId="0">
      <alignment horizontal="center" vertical="top" wrapText="1"/>
    </xf>
    <xf numFmtId="0" fontId="22" fillId="17" borderId="67" applyAlignment="1" pivotButton="0" quotePrefix="0" xfId="0">
      <alignment horizontal="center" vertical="top" wrapText="1"/>
    </xf>
    <xf numFmtId="0" fontId="23" fillId="17" borderId="66" applyAlignment="1" pivotButton="0" quotePrefix="0" xfId="0">
      <alignment horizontal="center" vertical="top" wrapText="1"/>
    </xf>
    <xf numFmtId="0" fontId="23" fillId="17" borderId="68" applyAlignment="1" pivotButton="0" quotePrefix="0" xfId="0">
      <alignment horizontal="center" vertical="top" wrapText="1"/>
    </xf>
    <xf numFmtId="0" fontId="23" fillId="17" borderId="67" applyAlignment="1" pivotButton="0" quotePrefix="0" xfId="0">
      <alignment horizontal="center" vertical="top" wrapText="1"/>
    </xf>
    <xf numFmtId="0" fontId="22" fillId="17" borderId="64" applyAlignment="1" pivotButton="0" quotePrefix="0" xfId="0">
      <alignment horizontal="center" vertical="center" wrapText="1"/>
    </xf>
    <xf numFmtId="0" fontId="22" fillId="17" borderId="65" applyAlignment="1" pivotButton="0" quotePrefix="0" xfId="0">
      <alignment horizontal="center" vertical="center" wrapText="1"/>
    </xf>
    <xf numFmtId="0" fontId="22" fillId="17" borderId="64" applyAlignment="1" pivotButton="0" quotePrefix="0" xfId="0">
      <alignment horizontal="center" vertical="top" wrapText="1"/>
    </xf>
    <xf numFmtId="0" fontId="22" fillId="17" borderId="65" applyAlignment="1" pivotButton="0" quotePrefix="0" xfId="0">
      <alignment horizontal="center" vertical="top" wrapText="1"/>
    </xf>
    <xf numFmtId="0" fontId="22" fillId="17" borderId="64" applyAlignment="1" pivotButton="0" quotePrefix="0" xfId="0">
      <alignment vertical="top" wrapText="1" indent="1"/>
    </xf>
    <xf numFmtId="0" fontId="22" fillId="17" borderId="65" applyAlignment="1" pivotButton="0" quotePrefix="0" xfId="0">
      <alignment vertical="top" wrapText="1" indent="1"/>
    </xf>
    <xf numFmtId="0" fontId="9" fillId="10" borderId="47" applyAlignment="1" pivotButton="0" quotePrefix="0" xfId="0">
      <alignment horizontal="center" vertical="center" wrapText="1"/>
    </xf>
    <xf numFmtId="0" fontId="9" fillId="10" borderId="48" applyAlignment="1" pivotButton="0" quotePrefix="0" xfId="0">
      <alignment horizontal="center" vertical="center" wrapText="1"/>
    </xf>
    <xf numFmtId="0" fontId="9" fillId="8" borderId="56" applyAlignment="1" pivotButton="0" quotePrefix="0" xfId="0">
      <alignment horizontal="center" vertical="center" wrapText="1"/>
    </xf>
    <xf numFmtId="0" fontId="9" fillId="8" borderId="11" applyAlignment="1" pivotButton="0" quotePrefix="0" xfId="0">
      <alignment horizontal="center" vertical="center" wrapText="1"/>
    </xf>
    <xf numFmtId="0" fontId="9" fillId="10" borderId="107" applyAlignment="1" pivotButton="0" quotePrefix="0" xfId="0">
      <alignment horizontal="center" vertical="center" wrapText="1"/>
    </xf>
    <xf numFmtId="0" fontId="9" fillId="10" borderId="108" applyAlignment="1" pivotButton="0" quotePrefix="0" xfId="0">
      <alignment horizontal="center" vertical="center" wrapText="1"/>
    </xf>
    <xf numFmtId="0" fontId="0" fillId="12" borderId="5" applyAlignment="1" pivotButton="0" quotePrefix="0" xfId="0">
      <alignment horizontal="center"/>
    </xf>
    <xf numFmtId="0" fontId="0" fillId="12" borderId="6" applyAlignment="1" pivotButton="0" quotePrefix="0" xfId="0">
      <alignment horizontal="center"/>
    </xf>
    <xf numFmtId="0" fontId="56" fillId="3" borderId="0" applyAlignment="1" pivotButton="0" quotePrefix="0" xfId="0">
      <alignment horizontal="center" vertical="center"/>
    </xf>
    <xf numFmtId="0" fontId="0" fillId="0" borderId="164" pivotButton="0" quotePrefix="0" xfId="0"/>
    <xf numFmtId="0" fontId="0" fillId="0" borderId="170" pivotButton="0" quotePrefix="0" xfId="0"/>
    <xf numFmtId="0" fontId="0" fillId="0" borderId="130" pivotButton="0" quotePrefix="0" xfId="0"/>
    <xf numFmtId="0" fontId="0" fillId="0" borderId="171" pivotButton="0" quotePrefix="0" xfId="0"/>
    <xf numFmtId="0" fontId="0" fillId="34" borderId="169" applyAlignment="1" pivotButton="0" quotePrefix="0" xfId="0">
      <alignment horizontal="center"/>
    </xf>
    <xf numFmtId="0" fontId="0" fillId="0" borderId="134" pivotButton="0" quotePrefix="0" xfId="0"/>
    <xf numFmtId="0" fontId="0" fillId="0" borderId="149" pivotButton="0" quotePrefix="0" xfId="0"/>
    <xf numFmtId="0" fontId="0" fillId="0" borderId="127" pivotButton="0" quotePrefix="0" xfId="0"/>
    <xf numFmtId="0" fontId="0" fillId="0" borderId="172" pivotButton="0" quotePrefix="0" xfId="0"/>
    <xf numFmtId="0" fontId="0" fillId="34" borderId="169" applyAlignment="1" pivotButton="0" quotePrefix="0" xfId="0">
      <alignment horizontal="center" vertical="center" wrapText="1"/>
    </xf>
    <xf numFmtId="0" fontId="0" fillId="0" borderId="167" pivotButton="0" quotePrefix="0" xfId="0"/>
    <xf numFmtId="0" fontId="0" fillId="0" borderId="168" pivotButton="0" quotePrefix="0" xfId="0"/>
    <xf numFmtId="0" fontId="0" fillId="10" borderId="8" applyAlignment="1" pivotButton="0" quotePrefix="0" xfId="0">
      <alignment horizontal="center"/>
    </xf>
    <xf numFmtId="0" fontId="0" fillId="0" borderId="24" pivotButton="0" quotePrefix="0" xfId="0"/>
    <xf numFmtId="0" fontId="0" fillId="0" borderId="25" pivotButton="0" quotePrefix="0" xfId="0"/>
    <xf numFmtId="0" fontId="3" fillId="32" borderId="8" applyAlignment="1" pivotButton="0" quotePrefix="0" xfId="0">
      <alignment horizontal="center" vertical="center"/>
    </xf>
    <xf numFmtId="0" fontId="0" fillId="0" borderId="10" pivotButton="0" quotePrefix="0" xfId="0"/>
    <xf numFmtId="0" fontId="0" fillId="0" borderId="11" pivotButton="0" quotePrefix="0" xfId="0"/>
    <xf numFmtId="0" fontId="0" fillId="0" borderId="14" pivotButton="0" quotePrefix="0" xfId="0"/>
    <xf numFmtId="0" fontId="0" fillId="0" borderId="16" pivotButton="0" quotePrefix="0" xfId="0"/>
    <xf numFmtId="0" fontId="0" fillId="0" borderId="29" pivotButton="0" quotePrefix="0" xfId="0"/>
    <xf numFmtId="0" fontId="0" fillId="0" borderId="51" pivotButton="0" quotePrefix="0" xfId="0"/>
    <xf numFmtId="0" fontId="0" fillId="0" borderId="30" pivotButton="0" quotePrefix="0" xfId="0"/>
    <xf numFmtId="0" fontId="2" fillId="31" borderId="173" applyAlignment="1" pivotButton="0" quotePrefix="0" xfId="0">
      <alignment horizontal="right" vertical="center"/>
    </xf>
    <xf numFmtId="0" fontId="0" fillId="0" borderId="58" pivotButton="0" quotePrefix="0" xfId="0"/>
    <xf numFmtId="0" fontId="0" fillId="0" borderId="54" pivotButton="0" quotePrefix="0" xfId="0"/>
    <xf numFmtId="0" fontId="0" fillId="0" borderId="98" pivotButton="0" quotePrefix="0" xfId="0"/>
    <xf numFmtId="0" fontId="62" fillId="7" borderId="35" applyAlignment="1" pivotButton="0" quotePrefix="0" xfId="0">
      <alignment horizontal="left" vertical="center"/>
    </xf>
    <xf numFmtId="0" fontId="0" fillId="0" borderId="83" pivotButton="0" quotePrefix="0" xfId="0"/>
    <xf numFmtId="0" fontId="62" fillId="7" borderId="17" applyAlignment="1" pivotButton="0" quotePrefix="0" xfId="0">
      <alignment horizontal="right" vertical="center"/>
    </xf>
    <xf numFmtId="2" fontId="62" fillId="7" borderId="18" applyAlignment="1" pivotButton="0" quotePrefix="0" xfId="0">
      <alignment horizontal="left" vertical="center"/>
    </xf>
    <xf numFmtId="0" fontId="0" fillId="0" borderId="31" pivotButton="0" quotePrefix="0" xfId="0"/>
    <xf numFmtId="0" fontId="62" fillId="7" borderId="18" applyAlignment="1" pivotButton="0" quotePrefix="0" xfId="0">
      <alignment horizontal="left" vertical="center"/>
    </xf>
    <xf numFmtId="0" fontId="0" fillId="0" borderId="175" pivotButton="0" quotePrefix="0" xfId="0"/>
    <xf numFmtId="0" fontId="62" fillId="7" borderId="7" applyAlignment="1" pivotButton="0" quotePrefix="0" xfId="0">
      <alignment horizontal="right" vertical="center"/>
    </xf>
    <xf numFmtId="0" fontId="62" fillId="7" borderId="2" applyAlignment="1" pivotButton="0" quotePrefix="0" xfId="0">
      <alignment horizontal="left" vertical="center"/>
    </xf>
    <xf numFmtId="0" fontId="0" fillId="0" borderId="82" pivotButton="0" quotePrefix="0" xfId="0"/>
    <xf numFmtId="0" fontId="12" fillId="31" borderId="36" applyAlignment="1" pivotButton="0" quotePrefix="0" xfId="0">
      <alignment horizontal="center" vertical="center" wrapText="1"/>
    </xf>
    <xf numFmtId="0" fontId="0" fillId="0" borderId="59" pivotButton="0" quotePrefix="0" xfId="0"/>
    <xf numFmtId="0" fontId="0" fillId="0" borderId="60" pivotButton="0" quotePrefix="0" xfId="0"/>
    <xf numFmtId="0" fontId="0" fillId="0" borderId="74" pivotButton="0" quotePrefix="0" xfId="0"/>
    <xf numFmtId="0" fontId="0" fillId="0" borderId="165" pivotButton="0" quotePrefix="0" xfId="0"/>
    <xf numFmtId="2" fontId="62" fillId="30" borderId="42" applyAlignment="1" pivotButton="0" quotePrefix="0" xfId="0">
      <alignment horizontal="center" vertical="center"/>
    </xf>
    <xf numFmtId="0" fontId="0" fillId="0" borderId="174" pivotButton="0" quotePrefix="0" xfId="0"/>
    <xf numFmtId="0" fontId="62" fillId="7" borderId="35" applyAlignment="1" pivotButton="0" quotePrefix="0" xfId="0">
      <alignment horizontal="center"/>
    </xf>
    <xf numFmtId="0" fontId="2" fillId="31" borderId="42" applyAlignment="1" pivotButton="0" quotePrefix="0" xfId="0">
      <alignment horizontal="right"/>
    </xf>
    <xf numFmtId="164" fontId="62" fillId="30" borderId="32" applyAlignment="1" pivotButton="0" quotePrefix="0" xfId="0">
      <alignment horizontal="center" vertical="center"/>
    </xf>
    <xf numFmtId="164" fontId="62" fillId="30" borderId="42" applyAlignment="1" pivotButton="0" quotePrefix="0" xfId="0">
      <alignment horizontal="center" vertical="center"/>
    </xf>
    <xf numFmtId="164" fontId="62" fillId="7" borderId="173" applyAlignment="1" pivotButton="0" quotePrefix="0" xfId="0">
      <alignment horizontal="center" vertical="center" wrapText="1"/>
    </xf>
    <xf numFmtId="164" fontId="7" fillId="30" borderId="173" applyAlignment="1" pivotButton="0" quotePrefix="0" xfId="0">
      <alignment horizontal="center" wrapText="1"/>
    </xf>
    <xf numFmtId="164" fontId="62" fillId="7" borderId="173" applyAlignment="1" pivotButton="0" quotePrefix="0" xfId="0">
      <alignment horizontal="center"/>
    </xf>
    <xf numFmtId="164" fontId="62" fillId="30" borderId="173" applyAlignment="1" pivotButton="0" quotePrefix="0" xfId="0">
      <alignment horizontal="center"/>
    </xf>
    <xf numFmtId="166" fontId="62" fillId="7" borderId="84" pivotButton="0" quotePrefix="0" xfId="3"/>
    <xf numFmtId="166" fontId="62" fillId="7" borderId="55" pivotButton="0" quotePrefix="0" xfId="3"/>
    <xf numFmtId="166" fontId="62" fillId="7" borderId="81" pivotButton="0" quotePrefix="0" xfId="3"/>
    <xf numFmtId="166" fontId="62" fillId="30" borderId="7" applyAlignment="1" pivotButton="0" quotePrefix="0" xfId="3">
      <alignment horizontal="center"/>
    </xf>
    <xf numFmtId="0" fontId="62" fillId="30" borderId="32" applyAlignment="1" pivotButton="0" quotePrefix="0" xfId="0">
      <alignment horizontal="center" vertical="center" wrapText="1"/>
    </xf>
    <xf numFmtId="164" fontId="62" fillId="30" borderId="84" applyAlignment="1" pivotButton="0" quotePrefix="0" xfId="0">
      <alignment horizontal="center" vertical="center" wrapText="1"/>
    </xf>
    <xf numFmtId="165" fontId="0" fillId="20" borderId="0" applyProtection="1" pivotButton="0" quotePrefix="0" xfId="0">
      <protection locked="0" hidden="0"/>
    </xf>
    <xf numFmtId="0" fontId="0" fillId="3" borderId="8" applyAlignment="1" pivotButton="0" quotePrefix="0" xfId="0">
      <alignment horizontal="center"/>
    </xf>
    <xf numFmtId="0" fontId="0" fillId="0" borderId="43" pivotButton="0" quotePrefix="0" xfId="0"/>
    <xf numFmtId="0" fontId="0" fillId="3" borderId="53" applyAlignment="1" pivotButton="0" quotePrefix="0" xfId="0">
      <alignment horizontal="center"/>
    </xf>
    <xf numFmtId="0" fontId="0" fillId="2" borderId="18" applyAlignment="1" pivotButton="0" quotePrefix="0" xfId="0">
      <alignment horizontal="center"/>
    </xf>
    <xf numFmtId="0" fontId="58" fillId="0" borderId="176" applyAlignment="1" pivotButton="0" quotePrefix="0" xfId="0">
      <alignment horizontal="center" vertical="center"/>
    </xf>
    <xf numFmtId="0" fontId="58" fillId="0" borderId="93" applyAlignment="1" pivotButton="0" quotePrefix="0" xfId="0">
      <alignment horizontal="center" vertical="center" wrapText="1"/>
    </xf>
    <xf numFmtId="0" fontId="0" fillId="0" borderId="91" pivotButton="0" quotePrefix="0" xfId="0"/>
    <xf numFmtId="0" fontId="0" fillId="0" borderId="89" pivotButton="0" quotePrefix="0" xfId="0"/>
    <xf numFmtId="0" fontId="58" fillId="0" borderId="89" applyAlignment="1" pivotButton="0" quotePrefix="0" xfId="0">
      <alignment horizontal="left" vertical="center"/>
    </xf>
    <xf numFmtId="0" fontId="0" fillId="0" borderId="88" pivotButton="0" quotePrefix="0" xfId="0"/>
    <xf numFmtId="0" fontId="0" fillId="0" borderId="116" pivotButton="0" quotePrefix="0" xfId="0"/>
    <xf numFmtId="0" fontId="0" fillId="15" borderId="1" applyAlignment="1" pivotButton="0" quotePrefix="0" xfId="0">
      <alignment horizontal="center" vertical="center" textRotation="90" wrapText="1"/>
    </xf>
    <xf numFmtId="0" fontId="0" fillId="0" borderId="40" pivotButton="0" quotePrefix="0" xfId="0"/>
    <xf numFmtId="0" fontId="0" fillId="9" borderId="1" applyAlignment="1" pivotButton="0" quotePrefix="0" xfId="0">
      <alignment horizontal="center" vertical="center" textRotation="90" wrapText="1"/>
    </xf>
    <xf numFmtId="0" fontId="0" fillId="9" borderId="1" applyAlignment="1" pivotButton="0" quotePrefix="0" xfId="0">
      <alignment horizontal="center" textRotation="90"/>
    </xf>
    <xf numFmtId="0" fontId="0" fillId="9" borderId="1" applyAlignment="1" pivotButton="0" quotePrefix="0" xfId="0">
      <alignment horizontal="center" textRotation="90" wrapText="1"/>
    </xf>
    <xf numFmtId="0" fontId="0" fillId="9" borderId="1" applyAlignment="1" pivotButton="0" quotePrefix="0" xfId="0">
      <alignment horizontal="center" vertical="center" textRotation="90"/>
    </xf>
    <xf numFmtId="0" fontId="23" fillId="17" borderId="63" applyAlignment="1" pivotButton="0" quotePrefix="0" xfId="0">
      <alignment horizontal="center" vertical="top" wrapText="1"/>
    </xf>
    <xf numFmtId="0" fontId="0" fillId="0" borderId="68" pivotButton="0" quotePrefix="0" xfId="0"/>
    <xf numFmtId="0" fontId="0" fillId="0" borderId="67" pivotButton="0" quotePrefix="0" xfId="0"/>
    <xf numFmtId="0" fontId="0" fillId="0" borderId="65" pivotButton="0" quotePrefix="0" xfId="0"/>
    <xf numFmtId="0" fontId="9" fillId="8" borderId="81" applyAlignment="1" pivotButton="0" quotePrefix="0" xfId="0">
      <alignment horizontal="center" vertical="center" wrapText="1"/>
    </xf>
    <xf numFmtId="0" fontId="0" fillId="0" borderId="108" pivotButton="0" quotePrefix="0" xfId="0"/>
    <xf numFmtId="0" fontId="9" fillId="10" borderId="183" applyAlignment="1" pivotButton="0" quotePrefix="0" xfId="0">
      <alignment horizontal="center" vertical="center" wrapText="1"/>
    </xf>
    <xf numFmtId="0" fontId="0" fillId="0" borderId="48" pivotButton="0" quotePrefix="0" xfId="0"/>
  </cellXfs>
  <cellStyles count="5">
    <cellStyle name="Normal" xfId="0" builtinId="0"/>
    <cellStyle name="İyi" xfId="1" builtinId="26"/>
    <cellStyle name="Köprü" xfId="2" builtinId="8"/>
    <cellStyle name="Yüzde" xfId="3" builtinId="5"/>
    <cellStyle name="Normal 2" xfId="4"/>
  </cellStyles>
  <dxfs count="837">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rgb="FF9C0006"/>
      </font>
      <fill>
        <patternFill>
          <bgColor rgb="FFFF0000"/>
        </patternFill>
      </fill>
    </dxf>
    <dxf>
      <fill>
        <patternFill>
          <bgColor rgb="FF00B050"/>
        </patternFill>
      </fill>
    </dxf>
    <dxf>
      <fill>
        <patternFill>
          <bgColor rgb="FFFF0000"/>
        </patternFill>
      </fill>
    </dxf>
    <dxf>
      <fill>
        <patternFill>
          <bgColor rgb="FFFF0000"/>
        </patternFill>
      </fill>
    </dxf>
    <dxf>
      <font>
        <name val="Calibri"/>
        <strike val="0"/>
        <outline val="0"/>
        <shadow val="0"/>
        <condense val="0"/>
        <color theme="1"/>
        <extend val="0"/>
        <sz val="11"/>
        <vertAlign val="baseline"/>
        <scheme val="minor"/>
      </font>
      <alignment horizontal="center" vertical="bottom"/>
      <border>
        <left/>
        <right/>
        <top style="thin">
          <color theme="1"/>
        </top>
        <bottom style="thin">
          <color theme="1"/>
        </bottom>
        <vertical/>
        <horizontal/>
      </border>
    </dxf>
    <dxf>
      <border outline="0">
        <top style="thin">
          <color theme="1"/>
        </top>
      </border>
    </dxf>
    <dxf>
      <border outline="0">
        <left style="thin">
          <color theme="1"/>
        </left>
        <right style="thin">
          <color theme="1"/>
        </right>
        <top style="thin">
          <color theme="1"/>
        </top>
        <bottom style="thin">
          <color theme="1"/>
        </bottom>
      </border>
    </dxf>
    <dxf>
      <font>
        <name val="Calibri"/>
        <strike val="0"/>
        <outline val="0"/>
        <shadow val="0"/>
        <condense val="0"/>
        <color theme="1"/>
        <extend val="0"/>
        <sz val="11"/>
        <vertAlign val="baseline"/>
        <scheme val="minor"/>
      </font>
      <alignment horizontal="center" vertical="bottom"/>
    </dxf>
    <dxf>
      <border outline="0">
        <bottom style="thin">
          <color theme="1"/>
        </bottom>
      </border>
    </dxf>
    <dxf>
      <font>
        <name val="Calibri"/>
        <strike val="0"/>
        <outline val="0"/>
        <shadow val="0"/>
        <condense val="0"/>
        <color theme="1"/>
        <extend val="0"/>
        <sz val="11"/>
        <vertAlign val="baseline"/>
        <scheme val="minor"/>
      </font>
      <fill>
        <patternFill patternType="solid">
          <fgColor theme="0" tint="-0.1499984740745262"/>
          <bgColor theme="0" tint="-0.1499984740745262"/>
        </patternFill>
      </fill>
      <alignment horizontal="center" vertical="bottom"/>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font>
        <i val="1"/>
      </font>
      <alignment horizontal="center" vertical="cent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font>
        <i val="1"/>
      </font>
    </dxf>
    <dxf>
      <font>
        <name val="Calibri"/>
        <b val="1"/>
        <i val="1"/>
        <strike val="0"/>
        <outline val="0"/>
        <shadow val="0"/>
        <condense val="0"/>
        <color theme="1"/>
        <extend val="0"/>
        <sz val="11"/>
        <vertAlign val="baseline"/>
        <scheme val="minor"/>
      </font>
      <fill>
        <patternFill patternType="solid">
          <fgColor theme="4" tint="0.7999816888943144"/>
          <bgColor theme="4" tint="0.7999816888943144"/>
        </patternFill>
      </fill>
      <alignment horizontal="center" vertical="center"/>
      <border outline="0">
        <left/>
        <right/>
        <top/>
        <bottom style="thin">
          <color theme="4" tint="0.3999755851924192"/>
        </bottom>
      </border>
    </dxf>
    <dxf>
      <border outline="0">
        <top style="thin">
          <color theme="4" tint="0.3999755851924192"/>
        </top>
      </border>
    </dxf>
    <dxf>
      <border outline="0">
        <left style="thin">
          <color theme="4" tint="0.3999755851924192"/>
        </left>
        <right style="thin">
          <color theme="4" tint="0.3999755851924192"/>
        </right>
        <top style="thin">
          <color theme="4" tint="0.3999755851924192"/>
        </top>
        <bottom style="thin">
          <color theme="4" tint="0.3999755851924192"/>
        </bottom>
      </border>
    </dxf>
    <dxf>
      <font>
        <i val="1"/>
      </font>
    </dxf>
    <dxf>
      <border outline="0">
        <bottom style="thin">
          <color theme="4" tint="0.3999755851924192"/>
        </bottom>
      </border>
    </dxf>
    <dxf>
      <font>
        <name val="Calibri"/>
        <i val="1"/>
        <strike val="0"/>
        <outline val="0"/>
        <shadow val="0"/>
        <condense val="0"/>
        <color theme="1"/>
        <extend val="0"/>
        <sz val="11"/>
        <vertAlign val="baseline"/>
        <scheme val="minor"/>
      </font>
      <fill>
        <patternFill patternType="solid">
          <fgColor theme="4" tint="0.7999816888943144"/>
          <bgColor theme="4" tint="0.7999816888943144"/>
        </patternFill>
      </fill>
    </dxf>
    <dxf>
      <numFmt numFmtId="164" formatCode="0.0"/>
      <fill>
        <patternFill patternType="solid">
          <fgColor indexed="64"/>
          <bgColor theme="4"/>
        </patternFill>
      </fill>
      <alignment horizontal="center" vertical="center" wrapText="1"/>
      <border>
        <left style="thin">
          <color indexed="64"/>
        </left>
        <right/>
        <top style="thin">
          <color indexed="64"/>
        </top>
        <bottom style="thin">
          <color indexed="64"/>
        </bottom>
        <vertical/>
        <horizontal/>
      </border>
    </dxf>
    <dxf>
      <fill>
        <patternFill patternType="solid">
          <fgColor indexed="64"/>
          <bgColor theme="4"/>
        </patternFill>
      </fill>
      <alignment horizontal="center" vertical="center" wrapText="1"/>
      <border>
        <left style="thin">
          <color indexed="64"/>
        </left>
        <right style="thin">
          <color indexed="64"/>
        </right>
        <top style="thin">
          <color indexed="64"/>
        </top>
        <bottom style="thin">
          <color indexed="64"/>
        </bottom>
        <vertical/>
        <horizontal/>
      </border>
    </dxf>
    <dxf>
      <fill>
        <patternFill patternType="solid">
          <fgColor indexed="64"/>
          <bgColor theme="4"/>
        </patternFill>
      </fill>
      <border>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border outline="0">
        <bottom style="thin">
          <color indexed="64"/>
        </bottom>
      </border>
    </dxf>
    <dxf>
      <alignment horizontal="center" vertical="center" wrapText="1"/>
      <border outline="0">
        <left style="thin">
          <color indexed="64"/>
        </left>
        <right style="thin">
          <color indexed="64"/>
        </right>
        <top/>
        <bottom/>
      </border>
    </dxf>
    <dxf>
      <numFmt numFmtId="1" formatCode="0"/>
      <fill>
        <patternFill patternType="solid">
          <fgColor indexed="64"/>
          <bgColor theme="5" tint="0.3999755851924192"/>
        </patternFill>
      </fill>
      <alignment horizontal="center" vertical="center" wrapText="1"/>
      <border>
        <left style="thin">
          <color indexed="64"/>
        </left>
        <right/>
        <top style="thin">
          <color indexed="64"/>
        </top>
        <bottom style="thin">
          <color indexed="64"/>
        </bottom>
        <vertical/>
        <horizontal/>
      </border>
    </dxf>
    <dxf>
      <fill>
        <patternFill patternType="solid">
          <fgColor indexed="64"/>
          <bgColor theme="5" tint="0.3999755851924192"/>
        </patternFill>
      </fill>
      <alignment horizontal="center" vertical="center" wrapText="1"/>
      <border>
        <left style="thin">
          <color indexed="64"/>
        </left>
        <right style="thin">
          <color indexed="64"/>
        </right>
        <top style="thin">
          <color indexed="64"/>
        </top>
        <bottom style="thin">
          <color indexed="64"/>
        </bottom>
        <vertical/>
        <horizontal/>
      </border>
    </dxf>
    <dxf>
      <fill>
        <patternFill patternType="solid">
          <fgColor indexed="64"/>
          <bgColor theme="5" tint="0.3999755851924192"/>
        </patternFill>
      </fill>
      <alignment horizontal="left" vertical="center" wrapText="1"/>
      <border>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style="medium">
          <color rgb="FFAACCCC"/>
        </left>
        <right style="medium">
          <color rgb="FFAACCCC"/>
        </right>
        <top style="medium">
          <color rgb="FFDDDDDD"/>
        </top>
        <bottom style="medium">
          <color rgb="FFAACCCC"/>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style="medium">
          <color rgb="FFAACCCC"/>
        </left>
        <right/>
        <top style="medium">
          <color rgb="FFDDDDDD"/>
        </top>
        <bottom style="medium">
          <color rgb="FFAACCCC"/>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style="medium">
          <color rgb="FFAACCCC"/>
        </left>
        <right style="medium">
          <color rgb="FFAACCCC"/>
        </right>
        <top style="medium">
          <color rgb="FFDDDDDD"/>
        </top>
        <bottom style="medium">
          <color rgb="FFAACCCC"/>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style="medium">
          <color rgb="FFAACCCC"/>
        </left>
        <right style="medium">
          <color rgb="FFAACCCC"/>
        </right>
        <top style="medium">
          <color rgb="FFDDDDDD"/>
        </top>
        <bottom style="medium">
          <color rgb="FFAACCCC"/>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style="medium">
          <color rgb="FFAACCCC"/>
        </left>
        <right style="medium">
          <color rgb="FFAACCCC"/>
        </right>
        <top style="medium">
          <color rgb="FFDDDDDD"/>
        </top>
        <bottom style="medium">
          <color rgb="FFAACCCC"/>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style="medium">
          <color rgb="FFAACCCC"/>
        </left>
        <right style="medium">
          <color rgb="FFAACCCC"/>
        </right>
        <top style="medium">
          <color rgb="FFDDDDDD"/>
        </top>
        <bottom style="medium">
          <color rgb="FFAACCCC"/>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style="medium">
          <color rgb="FFAACCCC"/>
        </left>
        <right style="medium">
          <color rgb="FFAACCCC"/>
        </right>
        <top style="medium">
          <color rgb="FFDDDDDD"/>
        </top>
        <bottom style="medium">
          <color rgb="FFAACCCC"/>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style="medium">
          <color rgb="FFAACCCC"/>
        </left>
        <right style="medium">
          <color rgb="FFAACCCC"/>
        </right>
        <top style="medium">
          <color rgb="FFDDDDDD"/>
        </top>
        <bottom style="medium">
          <color rgb="FFAACCCC"/>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right style="medium">
          <color rgb="FFAACCCC"/>
        </right>
        <top style="medium">
          <color rgb="FFDDDDDD"/>
        </top>
        <bottom style="medium">
          <color rgb="FFAACCCC"/>
        </bottom>
        <vertical/>
        <horizontal/>
      </border>
    </dxf>
    <dxf>
      <border outline="0">
        <top style="medium">
          <color rgb="FFDDDDDD"/>
        </top>
      </border>
    </dxf>
    <dxf>
      <border outline="0">
        <left style="medium">
          <color rgb="FFAACCCC"/>
        </left>
        <right style="medium">
          <color rgb="FFAACCCC"/>
        </right>
        <top style="medium">
          <color rgb="FFAACCCC"/>
        </top>
        <bottom style="medium">
          <color rgb="FFAACCCC"/>
        </bottom>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dxf>
    <dxf>
      <border outline="0">
        <bottom style="medium">
          <color rgb="FFAACCCC"/>
        </bottom>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outline="0">
        <left style="medium">
          <color rgb="FFAACCCC"/>
        </left>
        <right style="medium">
          <color rgb="FFAACCCC"/>
        </right>
        <top/>
        <bottom/>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wrapText="1"/>
      <border>
        <left style="medium">
          <color rgb="FFAACCCC"/>
        </left>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style="medium">
          <color rgb="FFAACCCC"/>
        </left>
        <right style="medium">
          <color rgb="FFAACCCC"/>
        </right>
        <top style="medium">
          <color rgb="FFDDDDDD"/>
        </top>
        <bottom/>
        <vertical/>
        <horizontal/>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left/>
        <right style="medium">
          <color rgb="FFAACCCC"/>
        </right>
        <top/>
        <bottom/>
        <vertical/>
        <horizontal/>
      </border>
    </dxf>
    <dxf>
      <border outline="0">
        <left style="medium">
          <color rgb="FFAACCCC"/>
        </left>
        <right style="medium">
          <color rgb="FFAACCCC"/>
        </right>
        <bottom style="medium">
          <color rgb="FFAACCCC"/>
        </bottom>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dxf>
    <dxf>
      <border outline="0">
        <bottom style="medium">
          <color rgb="FFAACCCC"/>
        </bottom>
      </border>
    </dxf>
    <dxf>
      <font>
        <name val="Arial"/>
        <strike val="0"/>
        <outline val="0"/>
        <shadow val="0"/>
        <condense val="0"/>
        <color rgb="FF666666"/>
        <extend val="0"/>
        <sz val="9"/>
        <vertAlign val="baseline"/>
      </font>
      <fill>
        <patternFill patternType="solid">
          <fgColor indexed="64"/>
          <bgColor theme="7" tint="0.5999938962981048"/>
        </patternFill>
      </fill>
      <alignment horizontal="center" vertical="top"/>
      <border outline="0">
        <left style="medium">
          <color rgb="FFAACCCC"/>
        </left>
        <right style="medium">
          <color rgb="FFAACCCC"/>
        </right>
        <top/>
        <bottom/>
      </border>
    </dxf>
    <dxf>
      <alignment horizontal="center" vertical="center"/>
    </dxf>
    <dxf>
      <alignment horizontal="center" vertical="center"/>
    </dxf>
    <dxf>
      <alignment horizontal="center" vertical="center"/>
    </dxf>
    <dxf>
      <alignment horizontal="center" vertical="cent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name val="Arial"/>
        <b val="1"/>
        <strike val="0"/>
        <outline val="0"/>
        <shadow val="0"/>
        <condense val="0"/>
        <color theme="1"/>
        <extend val="0"/>
        <sz val="9.9"/>
        <vertAlign val="baseline"/>
      </font>
      <alignment horizontal="center" vertical="top" wrapText="1"/>
      <border outline="0">
        <left style="medium">
          <color rgb="FFCCCCCC"/>
        </left>
        <right style="medium">
          <color rgb="FFCCCCCC"/>
        </right>
        <top/>
        <bottom/>
      </border>
    </dxf>
    <dxf>
      <alignment horizontal="center" vertical="center"/>
      <border>
        <left style="thin">
          <color indexed="64"/>
        </left>
        <right style="thin">
          <color indexed="64"/>
        </right>
        <top style="thin">
          <color indexed="64"/>
        </top>
        <bottom style="thin">
          <color indexed="64"/>
        </bottom>
        <vertical/>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CCCCCC"/>
        </left>
        <top style="medium">
          <color rgb="FFCCCCCC"/>
        </top>
      </border>
    </dxf>
    <dxf>
      <border outline="0">
        <bottom style="medium">
          <color rgb="FFCCCCCC"/>
        </bottom>
      </border>
    </dxf>
    <dxf>
      <alignment horizontal="center" vertical="center" wrapText="1"/>
    </dxf>
    <dxf>
      <fill>
        <patternFill>
          <bgColor auto="1"/>
        </patternFill>
      </fill>
      <alignment horizontal="general" vertical="center"/>
      <border>
        <left style="thin">
          <color indexed="64"/>
        </left>
        <right/>
        <top style="thin">
          <color indexed="64"/>
        </top>
        <bottom style="thin">
          <color indexed="64"/>
        </bottom>
        <vertical style="thin">
          <color indexed="64"/>
        </vertical>
        <horizontal style="thin">
          <color indexed="64"/>
        </horizontal>
      </border>
    </dxf>
    <dxf>
      <fill>
        <patternFill>
          <bgColor auto="1"/>
        </patternFill>
      </fill>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alignment horizontal="general" vertic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ill>
        <patternFill>
          <bgColor auto="1"/>
        </patternFill>
      </fill>
      <alignment horizontal="general" vertical="center"/>
    </dxf>
    <dxf>
      <border>
        <bottom style="thin">
          <color indexed="64"/>
        </bottom>
      </border>
    </dxf>
    <dxf>
      <alignment horizontal="center" vertical="center"/>
      <border outline="0">
        <left style="thin">
          <color indexed="64"/>
        </left>
        <right style="thin">
          <color indexed="64"/>
        </right>
        <top/>
        <bottom/>
      </border>
    </dxf>
    <dxf>
      <fill>
        <patternFill patternType="solid">
          <fgColor indexed="64"/>
          <bgColor theme="5" tint="0.5999938962981048"/>
        </patternFill>
      </fill>
      <alignment horizontal="center" vertical="bottom"/>
      <border>
        <left style="thin">
          <color indexed="64"/>
        </left>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tint="0.5999938962981048"/>
        </patternFill>
      </fill>
      <alignment horizontal="center" vertical="bottom"/>
    </dxf>
    <dxf>
      <border outline="0">
        <bottom style="thin">
          <color indexed="64"/>
        </bottom>
      </border>
    </dxf>
    <dxf>
      <fill>
        <patternFill patternType="solid">
          <fgColor indexed="64"/>
          <bgColor theme="5" tint="0.5999938962981048"/>
        </patternFill>
      </fill>
      <alignment horizontal="center" vertical="center" wrapText="1"/>
      <border outline="0">
        <left style="thin">
          <color indexed="64"/>
        </left>
        <right style="thin">
          <color indexed="64"/>
        </right>
        <top/>
        <bottom/>
      </border>
    </dxf>
    <dxf>
      <numFmt numFmtId="0" formatCode="General"/>
      <fill>
        <patternFill patternType="solid">
          <fgColor indexed="64"/>
          <bgColor theme="5" tint="0.3999755851924192"/>
        </patternFill>
      </fill>
      <alignment horizontal="center" vertical="bottom"/>
      <border>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
        </patternFill>
      </fill>
      <alignment horizontal="center" vertical="bottom"/>
      <border>
        <left style="thin">
          <color indexed="64"/>
        </left>
        <right/>
        <top style="thin">
          <color indexed="64"/>
        </top>
        <bottom style="thin">
          <color indexed="64"/>
        </bottom>
        <vertical/>
        <horizontal/>
      </border>
    </dxf>
    <dxf>
      <numFmt numFmtId="0" formatCode="General"/>
      <fill>
        <patternFill patternType="solid">
          <fgColor indexed="64"/>
          <bgColor theme="5" tint="0.3999755851924192"/>
        </patternFill>
      </fill>
      <alignment horizontal="center" vertical="bottom"/>
      <border>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
        </patternFill>
      </fill>
      <alignment horizontal="center" vertical="bottom"/>
      <border>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
        </patternFill>
      </fill>
      <alignment horizontal="center" vertical="bottom"/>
      <border>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
        </patternFill>
      </fill>
      <alignment horizontal="center" vertical="bottom"/>
      <border>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5" tint="0.3999755851924192"/>
        </patternFill>
      </fill>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tint="0.3999755851924192"/>
        </patternFill>
      </fill>
      <alignment horizontal="center" vertical="bottom"/>
    </dxf>
    <dxf>
      <border outline="0">
        <bottom style="thin">
          <color indexed="64"/>
        </bottom>
      </border>
    </dxf>
    <dxf>
      <numFmt numFmtId="0" formatCode="General"/>
      <fill>
        <patternFill patternType="solid">
          <fgColor indexed="64"/>
          <bgColor theme="5" tint="0.3999755851924192"/>
        </patternFill>
      </fill>
      <alignment horizontal="center" vertical="center"/>
      <border outline="0">
        <left style="thin">
          <color indexed="64"/>
        </left>
        <right style="thin">
          <color indexed="64"/>
        </right>
        <top/>
        <bottom/>
      </border>
    </dxf>
    <dxf>
      <fill>
        <patternFill patternType="solid">
          <fgColor indexed="64"/>
          <bgColor theme="5" tint="0.3999755851924192"/>
        </patternFill>
      </fill>
      <border>
        <left style="thin">
          <color indexed="64"/>
        </left>
        <right/>
        <top style="thin">
          <color indexed="64"/>
        </top>
        <bottom style="thin">
          <color indexed="64"/>
        </bottom>
        <vertical/>
        <horizontal/>
      </border>
    </dxf>
    <dxf>
      <fill>
        <patternFill patternType="solid">
          <fgColor indexed="64"/>
          <bgColor theme="5" tint="0.3999755851924192"/>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3999755851924192"/>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3999755851924192"/>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3999755851924192"/>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3999755851924192"/>
        </patternFill>
      </fill>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indexed="64"/>
        </left>
        <right/>
        <top style="thin">
          <color indexed="64"/>
        </top>
        <bottom style="thin">
          <color indexed="64"/>
        </bottom>
        <vertical/>
        <horizontal/>
      </border>
    </dxf>
    <dxf>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dxf>
    <dxf>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dxf>
    <dxf>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dxf>
    <dxf>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dxf>
    <dxf>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dxf>
    <dxf>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dxf>
    <dxf>
      <fill>
        <patternFill>
          <fgColor indexed="64"/>
          <bgColor indexed="65"/>
        </patternFill>
      </fill>
      <alignment horizontal="left" vertical="bottom"/>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fill>
        <patternFill>
          <fgColor indexed="64"/>
          <bgColor indexed="65"/>
        </patternFill>
      </fill>
      <alignment horizontal="center" vertical="center"/>
    </dxf>
    <dxf>
      <border outline="0">
        <bottom style="thin">
          <color indexed="64"/>
        </bottom>
      </border>
    </dxf>
    <dxf>
      <alignment horizontal="general" vertical="center" wrapText="1"/>
      <border outline="0">
        <left style="thin">
          <color indexed="64"/>
        </left>
        <right style="thin">
          <color indexed="64"/>
        </right>
        <top/>
        <bottom/>
      </border>
    </dxf>
    <dxf>
      <fill>
        <patternFill patternType="solid">
          <fgColor indexed="64"/>
          <bgColor theme="5" tint="0.5999938962981048"/>
        </patternFill>
      </fill>
      <alignment horizontal="center" vertical="center"/>
      <border>
        <left style="thin">
          <color indexed="64"/>
        </left>
        <right/>
        <top style="thin">
          <color indexed="64"/>
        </top>
        <bottom style="thin">
          <color indexed="64"/>
        </bottom>
        <vertical/>
        <horizontal/>
      </border>
    </dxf>
    <dxf>
      <fill>
        <patternFill patternType="solid">
          <fgColor indexed="64"/>
          <bgColor theme="5" tint="0.5999938962981048"/>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left"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5" tint="0.5999938962981048"/>
        </patternFill>
      </fill>
      <alignment horizontal="center" vertical="center"/>
      <border>
        <left style="thin">
          <color indexed="64"/>
        </left>
        <right/>
        <top style="thin">
          <color indexed="64"/>
        </top>
        <bottom style="thin">
          <color indexed="64"/>
        </bottom>
        <vertical/>
        <horizontal/>
      </border>
    </dxf>
    <dxf>
      <fill>
        <patternFill patternType="solid">
          <fgColor indexed="64"/>
          <bgColor theme="5" tint="0.5999938962981048"/>
        </patternFill>
      </fill>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5" tint="0.5999938962981048"/>
        </patternFill>
      </fill>
      <alignment horizontal="center" vertical="center"/>
    </dxf>
    <dxf>
      <fill>
        <patternFill patternType="solid">
          <fgColor indexed="64"/>
          <bgColor theme="5" tint="0.5999938962981048"/>
        </patternFill>
      </fill>
      <alignment horizontal="center" vertical="center"/>
      <border>
        <left style="thin">
          <color indexed="64"/>
        </left>
        <right/>
        <top style="thin">
          <color indexed="64"/>
        </top>
        <bottom style="thin">
          <color indexed="64"/>
        </bottom>
        <vertical/>
        <horizontal/>
      </border>
    </dxf>
    <dxf>
      <fill>
        <patternFill patternType="solid">
          <fgColor indexed="64"/>
          <bgColor theme="5" tint="0.5999938962981048"/>
        </patternFill>
      </fill>
      <alignment horizontal="center" vertical="center"/>
      <border>
        <left style="thin">
          <color indexed="64"/>
        </left>
        <right/>
        <top style="thin">
          <color indexed="64"/>
        </top>
        <bottom style="thin">
          <color indexed="64"/>
        </bottom>
        <vertical/>
        <horizontal/>
      </border>
    </dxf>
    <dxf>
      <fill>
        <patternFill patternType="solid">
          <fgColor indexed="64"/>
          <bgColor theme="5" tint="0.5999938962981048"/>
        </patternFill>
      </fill>
      <alignment horizontal="left" vertical="center"/>
      <border>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theme="5" tint="0.5999938962981048"/>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center"/>
      <border>
        <left style="thin">
          <color indexed="64"/>
        </left>
        <right/>
        <top style="thin">
          <color indexed="64"/>
        </top>
        <bottom style="thin">
          <color indexed="64"/>
        </bottom>
        <vertical/>
        <horizontal/>
      </border>
    </dxf>
    <dxf>
      <fill>
        <patternFill patternType="solid">
          <fgColor indexed="64"/>
          <bgColor theme="5" tint="0.5999938962981048"/>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5" tint="0.5999938962981048"/>
        </patternFill>
      </fill>
      <alignment horizontal="center" vertical="center"/>
      <border>
        <left style="thin">
          <color indexed="64"/>
        </left>
        <right/>
        <top style="thin">
          <color indexed="64"/>
        </top>
        <bottom style="thin">
          <color indexed="64"/>
        </bottom>
        <vertical/>
        <horizontal/>
      </border>
    </dxf>
    <dxf>
      <fill>
        <patternFill patternType="solid">
          <fgColor indexed="64"/>
          <bgColor theme="5" tint="0.5999938962981048"/>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general" vertical="bottom"/>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tint="0.5999938962981048"/>
        </patternFill>
      </fill>
      <alignment horizontal="center" vertical="center"/>
    </dxf>
    <dxf>
      <border outline="0">
        <bottom style="thin">
          <color indexed="64"/>
        </bottom>
      </border>
    </dxf>
    <dxf>
      <fill>
        <patternFill patternType="solid">
          <fgColor indexed="64"/>
          <bgColor theme="5" tint="0.5999938962981048"/>
        </patternFill>
      </fill>
      <alignment horizontal="center" vertical="center"/>
      <border outline="0">
        <left style="thin">
          <color indexed="64"/>
        </left>
        <right style="thin">
          <color indexed="64"/>
        </right>
        <top/>
        <bottom/>
      </border>
    </dxf>
    <dxf>
      <fill>
        <patternFill patternType="solid">
          <fgColor indexed="64"/>
          <bgColor theme="5" tint="0.5999938962981048"/>
        </patternFill>
      </fill>
      <alignment horizontal="center" vertical="center"/>
      <border>
        <left style="thin">
          <color indexed="64"/>
        </left>
        <right/>
        <top style="thin">
          <color indexed="64"/>
        </top>
        <bottom style="thin">
          <color indexed="64"/>
        </bottom>
        <vertical/>
        <horizontal/>
      </border>
    </dxf>
    <dxf>
      <fill>
        <patternFill patternType="solid">
          <fgColor indexed="64"/>
          <bgColor theme="5" tint="0.5999938962981048"/>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Calibri"/>
        <strike val="0"/>
        <outline val="0"/>
        <shadow val="0"/>
        <color theme="1"/>
        <sz val="14"/>
        <vertAlign val="baseline"/>
        <scheme val="minor"/>
      </font>
    </dxf>
    <dxf>
      <fill>
        <patternFill patternType="solid">
          <fgColor indexed="64"/>
          <bgColor theme="5" tint="0.5999938962981048"/>
        </patternFill>
      </fill>
      <alignment horizontal="center" vertical="bottom"/>
      <border>
        <left style="thin">
          <color indexed="64"/>
        </left>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tint="0.5999938962981048"/>
        </patternFill>
      </fill>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tint="0.5999938962981048"/>
        </patternFill>
      </fill>
      <alignment horizontal="center" vertical="bottom"/>
    </dxf>
    <dxf>
      <border outline="0">
        <bottom style="thin">
          <color indexed="64"/>
        </bottom>
      </border>
    </dxf>
    <dxf>
      <fill>
        <patternFill patternType="solid">
          <fgColor indexed="64"/>
          <bgColor theme="5" tint="0.5999938962981048"/>
        </patternFill>
      </fill>
      <alignment horizontal="center" vertical="bottom"/>
      <border outline="0">
        <left style="thin">
          <color indexed="64"/>
        </left>
        <right style="thin">
          <color indexed="64"/>
        </right>
        <top/>
        <bottom/>
      </border>
    </dxf>
    <dxf>
      <fill>
        <patternFill patternType="solid">
          <fgColor indexed="64"/>
          <bgColor theme="5"/>
        </patternFill>
      </fill>
      <alignment horizontal="center" vertical="bottom"/>
      <border>
        <left style="thin">
          <color indexed="64"/>
        </left>
        <right/>
        <top style="thin">
          <color indexed="64"/>
        </top>
        <bottom style="thin">
          <color indexed="64"/>
        </bottom>
        <vertical/>
        <horizontal/>
      </border>
    </dxf>
    <dxf>
      <fill>
        <patternFill patternType="solid">
          <fgColor indexed="64"/>
          <bgColor theme="5"/>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5"/>
        </patternFill>
      </fill>
      <alignment horizontal="center" vertical="bottom"/>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patternFill>
      </fill>
      <alignment horizontal="center" vertical="bottom"/>
    </dxf>
    <dxf>
      <border outline="0">
        <bottom style="thin">
          <color indexed="64"/>
        </bottom>
      </border>
    </dxf>
    <dxf>
      <fill>
        <patternFill patternType="solid">
          <fgColor indexed="64"/>
          <bgColor theme="5"/>
        </patternFill>
      </fill>
      <border outline="0">
        <left style="thin">
          <color indexed="64"/>
        </left>
        <right style="thin">
          <color indexed="64"/>
        </right>
        <top/>
        <bottom/>
      </bord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bottom"/>
    </dxf>
    <dxf>
      <border outline="0">
        <bottom style="thick">
          <color theme="0"/>
        </bottom>
      </border>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bottom"/>
    </dxf>
    <dxf>
      <font>
        <name val="Calibri"/>
        <strike val="0"/>
        <outline val="0"/>
        <shadow val="0"/>
        <condense val="0"/>
        <color theme="1"/>
        <extend val="0"/>
        <sz val="8"/>
        <vertAlign val="baseline"/>
        <scheme val="minor"/>
      </font>
      <alignment horizontal="center" vertical="center"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border outline="0">
        <bottom style="thick">
          <color theme="0"/>
        </bottom>
      </border>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border outline="0">
        <left style="thin">
          <color theme="0"/>
        </left>
        <right style="thin">
          <color theme="0"/>
        </right>
        <top/>
        <bottom/>
      </border>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dxf>
    <dxf>
      <alignment horizontal="center" vertical="center"/>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dxf>
    <dxf>
      <alignment horizontal="center" vertical="center"/>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dxf>
    <dxf>
      <alignment horizontal="center" vertical="center"/>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dxf>
    <dxf>
      <font>
        <name val="Calibri"/>
        <b val="1"/>
        <strike val="0"/>
        <outline val="0"/>
        <shadow val="0"/>
        <condense val="0"/>
        <color theme="0"/>
        <extend val="0"/>
        <sz val="8"/>
        <vertAlign val="baseline"/>
        <scheme val="minor"/>
      </font>
      <fill>
        <patternFill patternType="solid">
          <fgColor theme="6"/>
          <bgColor theme="6"/>
        </patternFill>
      </fill>
      <alignment horizontal="center" vertical="center" wrapText="1"/>
      <border outline="0">
        <left style="thin">
          <color theme="0"/>
        </left>
        <right style="thin">
          <color theme="0"/>
        </right>
        <top/>
        <bottom/>
      </border>
    </dxf>
    <dxf>
      <alignment horizontal="center" vertical="center"/>
    </dxf>
    <dxf>
      <alignment horizontal="center" vertical="center"/>
    </dxf>
    <dxf>
      <alignment horizontal="center" vertical="center"/>
    </dxf>
    <dxf>
      <alignment horizontal="center" vertical="center"/>
    </dxf>
    <dxf>
      <alignment horizontal="center" vertical="center"/>
    </dxf>
    <dxf>
      <font>
        <name val="Calibri"/>
        <strike val="0"/>
        <outline val="0"/>
        <shadow val="0"/>
        <condense val="0"/>
        <color theme="1"/>
        <extend val="0"/>
        <sz val="11"/>
        <vertAlign val="baseline"/>
        <scheme val="minor"/>
      </font>
      <fill>
        <patternFill patternType="solid">
          <fgColor theme="0" tint="-0.1499984740745262"/>
          <bgColor theme="0" tint="-0.1499984740745262"/>
        </patternFill>
      </fill>
      <alignment horizontal="center" vertical="center"/>
      <border>
        <left style="thin">
          <color theme="1"/>
        </left>
        <right style="thin">
          <color theme="1"/>
        </right>
        <top style="thin">
          <color theme="1"/>
        </top>
        <bottom style="thin">
          <color theme="1"/>
        </bottom>
        <vertical/>
        <horizontal/>
      </border>
    </dxf>
    <dxf>
      <alignment horizontal="center" vertical="center"/>
    </dxf>
    <dxf>
      <font>
        <name val="Calibri"/>
        <strike val="0"/>
        <outline val="0"/>
        <shadow val="0"/>
        <condense val="0"/>
        <color theme="1"/>
        <extend val="0"/>
        <sz val="11"/>
        <vertAlign val="baseline"/>
        <scheme val="minor"/>
      </font>
      <alignment horizontal="center" vertical="center"/>
      <border outline="0">
        <left style="thin">
          <color theme="1"/>
        </left>
        <right style="thin">
          <color theme="1"/>
        </right>
        <top/>
        <bottom/>
      </border>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border outline="0">
        <bottom style="thick">
          <color theme="0"/>
        </bottom>
      </border>
    </dxf>
    <dxf>
      <font>
        <name val="Calibri"/>
        <strike val="0"/>
        <outline val="0"/>
        <shadow val="0"/>
        <condense val="0"/>
        <color theme="1"/>
        <extend val="0"/>
        <sz val="8"/>
        <vertAlign val="baseline"/>
        <scheme val="minor"/>
      </font>
      <alignment horizontal="center" vertical="center" wrapText="1"/>
    </dxf>
    <dxf>
      <alignment horizontal="general" vertical="center" wrapText="1"/>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numFmt numFmtId="2" formatCode="0.00"/>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numFmt numFmtId="0" formatCode="General"/>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numFmt numFmtId="0" formatCode="General"/>
      <alignment horizontal="center" vertical="center" wrapText="1"/>
    </dxf>
    <dxf>
      <font>
        <name val="Calibri"/>
        <strike val="0"/>
        <outline val="0"/>
        <shadow val="0"/>
        <condense val="0"/>
        <color theme="1"/>
        <extend val="0"/>
        <sz val="8"/>
        <vertAlign val="baseline"/>
        <scheme val="minor"/>
      </font>
      <numFmt numFmtId="0" formatCode="General"/>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border>
        <left style="medium">
          <color indexed="64"/>
        </left>
        <right style="medium">
          <color indexed="64"/>
        </right>
        <top style="medium">
          <color indexed="64"/>
        </top>
        <bottom style="medium">
          <color indexed="64"/>
        </bottom>
      </border>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bottom"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bottom"/>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numFmt numFmtId="0" formatCode="General"/>
      <alignment horizontal="center" vertical="center"/>
    </dxf>
    <dxf>
      <font>
        <name val="Calibri"/>
        <strike val="0"/>
        <outline val="0"/>
        <shadow val="0"/>
        <condense val="0"/>
        <color theme="1"/>
        <extend val="0"/>
        <sz val="8"/>
        <vertAlign val="baseline"/>
        <scheme val="minor"/>
      </font>
      <numFmt numFmtId="0" formatCode="General"/>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numFmt numFmtId="2" formatCode="0.00"/>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theme="0" tint="-0.1499984740745262"/>
          <bgColor theme="0" tint="-0.1499984740745262"/>
        </patternFill>
      </fill>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00B0F0"/>
        </patternFill>
      </fill>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FF00"/>
        </patternFill>
      </fill>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FFC000"/>
        </patternFill>
      </fill>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fill>
        <patternFill patternType="solid">
          <fgColor indexed="64"/>
          <bgColor rgb="FF92D050"/>
        </patternFill>
      </fill>
      <alignment horizontal="center" vertical="center" wrapText="1"/>
    </dxf>
    <dxf>
      <font>
        <name val="Calibri"/>
        <strike val="0"/>
        <outline val="0"/>
        <shadow val="0"/>
        <condense val="0"/>
        <color theme="1"/>
        <extend val="0"/>
        <sz val="8"/>
        <vertAlign val="baseline"/>
        <scheme val="minor"/>
      </font>
      <alignment horizontal="center" vertical="center" wrapText="1"/>
    </dxf>
    <dxf>
      <font>
        <name val="Calibri"/>
        <strike val="0"/>
        <outline val="0"/>
        <shadow val="0"/>
        <condense val="0"/>
        <color theme="1"/>
        <extend val="0"/>
        <sz val="8"/>
        <vertAlign val="baseline"/>
        <scheme val="minor"/>
      </font>
    </dxf>
    <dxf>
      <font>
        <name val="Calibri"/>
        <strike val="0"/>
        <outline val="0"/>
        <shadow val="0"/>
        <condense val="0"/>
        <color theme="1"/>
        <extend val="0"/>
        <sz val="8"/>
        <vertAlign val="baseline"/>
        <scheme val="minor"/>
      </font>
    </dxf>
    <dxf>
      <font>
        <name val="Calibri"/>
        <strike val="0"/>
        <outline val="0"/>
        <shadow val="0"/>
        <condense val="0"/>
        <color theme="1"/>
        <extend val="0"/>
        <sz val="8"/>
        <vertAlign val="baseline"/>
        <scheme val="minor"/>
      </font>
    </dxf>
    <dxf>
      <font>
        <name val="Calibri"/>
        <strike val="0"/>
        <outline val="0"/>
        <shadow val="0"/>
        <condense val="0"/>
        <color theme="1"/>
        <extend val="0"/>
        <sz val="8"/>
        <vertAlign val="baseline"/>
        <scheme val="minor"/>
      </font>
    </dxf>
    <dxf>
      <font>
        <name val="Calibri"/>
        <strike val="0"/>
        <outline val="0"/>
        <shadow val="0"/>
        <condense val="0"/>
        <color theme="1"/>
        <extend val="0"/>
        <sz val="8"/>
        <vertAlign val="baseline"/>
        <scheme val="minor"/>
      </font>
      <numFmt numFmtId="0" formatCode="General"/>
    </dxf>
    <dxf>
      <font>
        <name val="Calibri"/>
        <strike val="0"/>
        <outline val="0"/>
        <shadow val="0"/>
        <condense val="0"/>
        <color theme="1"/>
        <extend val="0"/>
        <sz val="8"/>
        <vertAlign val="baseline"/>
        <scheme val="minor"/>
      </font>
      <numFmt numFmtId="0" formatCode="General"/>
      <alignment horizontal="center" vertical="center"/>
    </dxf>
    <dxf>
      <font>
        <name val="Calibri"/>
        <strike val="0"/>
        <outline val="0"/>
        <shadow val="0"/>
        <condense val="0"/>
        <color theme="1"/>
        <extend val="0"/>
        <sz val="8"/>
        <vertAlign val="baseline"/>
        <scheme val="minor"/>
      </font>
      <numFmt numFmtId="0" formatCode="General"/>
      <alignment horizontal="center" vertical="center"/>
    </dxf>
    <dxf>
      <font>
        <name val="Calibri"/>
        <strike val="0"/>
        <outline val="0"/>
        <shadow val="0"/>
        <condense val="0"/>
        <color theme="1"/>
        <extend val="0"/>
        <sz val="8"/>
        <vertAlign val="baseline"/>
        <scheme val="minor"/>
      </font>
      <alignment horizontal="center" vertical="center"/>
    </dxf>
    <dxf>
      <font>
        <name val="Calibri"/>
        <strike val="0"/>
        <outline val="0"/>
        <shadow val="0"/>
        <condense val="0"/>
        <color theme="1"/>
        <extend val="0"/>
        <sz val="8"/>
        <vertAlign val="baseline"/>
        <scheme val="minor"/>
      </font>
    </dxf>
    <dxf>
      <font>
        <name val="Calibri"/>
        <strike val="0"/>
        <outline val="0"/>
        <shadow val="0"/>
        <condense val="0"/>
        <color theme="1"/>
        <extend val="0"/>
        <sz val="8"/>
        <vertAlign val="baseline"/>
        <scheme val="minor"/>
      </font>
    </dxf>
    <dxf>
      <font>
        <name val="Calibri"/>
        <strike val="0"/>
        <outline val="0"/>
        <shadow val="0"/>
        <condense val="0"/>
        <color theme="1"/>
        <extend val="0"/>
        <sz val="8"/>
        <vertAlign val="baseline"/>
        <scheme val="minor"/>
      </font>
      <alignment horizontal="center" vertical="bottom"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numFmt numFmtId="4" formatCode="#,##0.00"/>
      <alignment horizontal="left"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numFmt numFmtId="3" formatCode="#,##0"/>
      <alignment horizontal="center" vertical="center" wrapText="1"/>
    </dxf>
    <dxf>
      <font>
        <name val="Arial"/>
        <strike val="0"/>
        <outline val="0"/>
        <shadow val="0"/>
        <condense val="0"/>
        <color rgb="FF000000"/>
        <extend val="0"/>
        <sz val="8"/>
        <vertAlign val="baseline"/>
      </font>
      <alignment horizontal="center" vertical="center" wrapText="1"/>
    </dxf>
    <dxf>
      <font>
        <name val="Arial"/>
        <strike val="0"/>
        <outline val="0"/>
        <shadow val="0"/>
        <condense val="0"/>
        <color rgb="FF000000"/>
        <extend val="0"/>
        <sz val="8"/>
        <vertAlign val="baseline"/>
      </font>
      <alignment horizontal="center" vertical="center" wrapText="1"/>
    </dxf>
    <dxf>
      <alignment horizontal="center" vertical="center" wrapText="1"/>
      <border>
        <left style="medium">
          <color rgb="FF000000"/>
        </left>
        <right style="medium">
          <color rgb="FF000000"/>
        </right>
        <top/>
        <bottom/>
      </border>
    </dxf>
    <dxf>
      <font>
        <name val="Calibri"/>
        <i val="1"/>
        <strike val="0"/>
        <outline val="0"/>
        <shadow val="0"/>
        <condense val="0"/>
        <color theme="1"/>
        <extend val="0"/>
        <sz val="8"/>
        <vertAlign val="baseline"/>
        <scheme val="minor"/>
      </font>
      <border>
        <left style="thin">
          <color auto="1"/>
        </left>
        <right style="medium">
          <color indexed="64"/>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rgb="FFFF0000"/>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rgb="FFFF0000"/>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rgb="FFFF0000"/>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rgb="FFFF0000"/>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border>
        <left style="thin">
          <color auto="1"/>
        </left>
        <right style="thin">
          <color auto="1"/>
        </right>
        <top style="thin">
          <color auto="1"/>
        </top>
        <bottom style="thin">
          <color auto="1"/>
        </bottom>
        <vertical style="thin">
          <color auto="1"/>
        </vertical>
        <horizontal style="thin">
          <color auto="1"/>
        </horizontal>
      </border>
    </dxf>
    <dxf>
      <font>
        <name val="Calibri"/>
        <i val="1"/>
        <strike val="0"/>
        <outline val="0"/>
        <shadow val="0"/>
        <condense val="0"/>
        <color theme="1"/>
        <extend val="0"/>
        <sz val="8"/>
        <vertAlign val="baseline"/>
        <scheme val="minor"/>
      </font>
      <fill>
        <patternFill patternType="solid">
          <fgColor theme="0" tint="-0.1499984740745262"/>
          <bgColor theme="0" tint="-0.1499984740745262"/>
        </patternFill>
      </fill>
      <alignment horizontal="center" vertical="center"/>
      <border>
        <left style="medium">
          <color indexed="64"/>
        </left>
        <right style="thin">
          <color auto="1"/>
        </right>
        <top style="thin">
          <color auto="1"/>
        </top>
        <bottom style="thin">
          <color auto="1"/>
        </bottom>
        <vertical style="thin">
          <color auto="1"/>
        </vertical>
        <horizontal style="thin">
          <color auto="1"/>
        </horizontal>
      </border>
    </dxf>
    <dxf>
      <border outline="0">
        <left style="medium">
          <color indexed="64"/>
        </left>
        <right style="medium">
          <color indexed="64"/>
        </right>
        <top style="medium">
          <color indexed="64"/>
        </top>
        <bottom style="medium">
          <color indexed="64"/>
        </bottom>
      </border>
    </dxf>
    <dxf>
      <font>
        <name val="Calibri"/>
        <i val="1"/>
        <strike val="0"/>
        <outline val="0"/>
        <shadow val="0"/>
        <condense val="0"/>
        <color theme="1"/>
        <extend val="0"/>
        <sz val="8"/>
        <vertAlign val="baseline"/>
        <scheme val="minor"/>
      </font>
    </dxf>
    <dxf>
      <font>
        <name val="Calibri"/>
        <i val="1"/>
        <strike val="0"/>
        <outline val="0"/>
        <shadow val="0"/>
        <condense val="0"/>
        <color theme="1"/>
        <extend val="0"/>
        <sz val="8"/>
        <vertAlign val="baseline"/>
        <scheme val="minor"/>
      </font>
      <fill>
        <patternFill patternType="solid">
          <fgColor theme="0" tint="-0.1499984740745262"/>
          <bgColor theme="0" tint="-0.1499984740745262"/>
        </patternFill>
      </fill>
      <alignment horizontal="center" vertical="center"/>
    </dxf>
    <dxf>
      <numFmt numFmtId="2" formatCode="0.00"/>
      <border outline="0">
        <left/>
        <right/>
        <top style="medium">
          <color auto="1"/>
        </top>
        <bottom style="medium">
          <color auto="1"/>
        </bottom>
      </border>
    </dxf>
    <dxf>
      <numFmt numFmtId="1" formatCode="0"/>
      <border>
        <left/>
        <right/>
        <top style="medium">
          <color auto="1"/>
        </top>
        <bottom style="medium">
          <color auto="1"/>
        </bottom>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alignment vertical="bottom" wrapText="1"/>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alignment vertical="bottom" wrapText="1"/>
    </dxf>
    <dxf>
      <numFmt numFmtId="1" formatCode="0"/>
      <alignment horizontal="center" vertical="center"/>
      <border>
        <left/>
        <right style="medium">
          <color indexed="64"/>
        </right>
        <top style="thin">
          <color auto="1"/>
        </top>
        <bottom style="thin">
          <color auto="1"/>
        </bottom>
        <vertical/>
        <horizontal style="thin">
          <color auto="1"/>
        </horizontal>
      </border>
    </dxf>
    <dxf>
      <numFmt numFmtId="1" formatCode="0"/>
      <alignment horizontal="center" vertical="center"/>
      <border>
        <left/>
        <right/>
        <top style="thin">
          <color auto="1"/>
        </top>
        <bottom style="thin">
          <color auto="1"/>
        </bottom>
        <vertical/>
        <horizontal style="thin">
          <color auto="1"/>
        </horizontal>
      </border>
    </dxf>
    <dxf>
      <numFmt numFmtId="1" formatCode="0"/>
      <alignment horizontal="center" vertical="center"/>
      <border>
        <left/>
        <right/>
        <top style="thin">
          <color auto="1"/>
        </top>
        <bottom style="thin">
          <color auto="1"/>
        </bottom>
        <vertical/>
        <horizontal style="thin">
          <color auto="1"/>
        </horizontal>
      </border>
    </dxf>
    <dxf>
      <numFmt numFmtId="1" formatCode="0"/>
      <alignment horizontal="center" vertical="center"/>
      <border>
        <left/>
        <right/>
        <top style="thin">
          <color auto="1"/>
        </top>
        <bottom style="thin">
          <color auto="1"/>
        </bottom>
        <vertical/>
        <horizontal style="thin">
          <color auto="1"/>
        </horizontal>
      </border>
    </dxf>
    <dxf>
      <numFmt numFmtId="0" formatCode="General"/>
      <alignment horizontal="center" vertical="center"/>
      <border>
        <left style="medium">
          <color indexed="64"/>
        </left>
        <right/>
        <top style="thin">
          <color auto="1"/>
        </top>
        <bottom style="thin">
          <color auto="1"/>
        </bottom>
        <vertical/>
        <horizontal style="thin">
          <color auto="1"/>
        </horizontal>
      </border>
    </dxf>
    <dxf>
      <alignment horizontal="center" vertical="center"/>
      <border>
        <left/>
        <right style="medium">
          <color indexed="64"/>
        </right>
        <top/>
        <bottom/>
        <vertical/>
        <horizontal/>
      </border>
    </dxf>
    <dxf>
      <alignment horizontal="center" vertical="center"/>
    </dxf>
    <dxf>
      <numFmt numFmtId="2" formatCode="0.00"/>
      <alignment horizontal="center" vertical="center"/>
    </dxf>
    <dxf>
      <numFmt numFmtId="164" formatCode="0.0"/>
      <alignment horizontal="center" vertical="center"/>
      <border>
        <left style="medium">
          <color indexed="64"/>
        </left>
        <right/>
        <top/>
        <bottom/>
        <vertical/>
        <horizontal/>
      </border>
    </dxf>
    <dxf>
      <alignment horizontal="center" vertical="bottom" wrapText="1"/>
    </dxf>
    <dxf>
      <numFmt numFmtId="164" formatCode="0.0"/>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numFmt numFmtId="164" formatCode="0.0"/>
      <alignment horizontal="center" vertical="center"/>
    </dxf>
    <dxf>
      <alignment horizontal="center" vertical="center"/>
    </dxf>
    <dxf>
      <font>
        <name val="Arial"/>
        <strike val="0"/>
        <outline val="0"/>
        <shadow val="0"/>
        <condense val="0"/>
        <color theme="1"/>
        <extend val="0"/>
        <sz val="11"/>
        <vertAlign val="baseline"/>
      </font>
      <numFmt numFmtId="3" formatCode="#,##0"/>
      <fill>
        <patternFill>
          <fgColor indexed="64"/>
          <bgColor indexed="65"/>
        </patternFill>
      </fill>
      <alignment horizontal="center" vertical="center"/>
    </dxf>
    <dxf>
      <font>
        <name val="Arial"/>
        <strike val="0"/>
        <outline val="0"/>
        <shadow val="0"/>
        <condense val="0"/>
        <color theme="1"/>
        <extend val="0"/>
        <sz val="11"/>
        <vertAlign val="baseline"/>
      </font>
      <numFmt numFmtId="3" formatCode="#,##0"/>
      <fill>
        <patternFill>
          <fgColor indexed="64"/>
          <bgColor indexed="65"/>
        </patternFill>
      </fill>
      <alignment horizontal="center" vertical="center"/>
    </dxf>
    <dxf>
      <alignment horizontal="center" vertical="center"/>
    </dxf>
    <dxf>
      <alignment horizontal="center" vertical="center"/>
    </dxf>
    <dxf>
      <alignment horizontal="center" vertical="center"/>
    </dxf>
    <dxf>
      <alignment vertical="bottom" wrapText="1"/>
    </dxf>
    <dxf>
      <numFmt numFmtId="2" formatCode="0.00"/>
      <border outline="0">
        <left/>
        <right/>
        <top style="medium">
          <color auto="1"/>
        </top>
        <bottom style="medium">
          <color auto="1"/>
        </bottom>
      </border>
    </dxf>
    <dxf>
      <numFmt numFmtId="1" formatCode="0"/>
      <border>
        <left/>
        <right/>
        <top style="medium">
          <color auto="1"/>
        </top>
        <bottom style="medium">
          <color auto="1"/>
        </bottom>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numFmt numFmtId="1" formatCode="0"/>
      <border>
        <left/>
        <right/>
        <top style="medium">
          <color auto="1"/>
        </top>
        <bottom style="medium">
          <color auto="1"/>
        </bottom>
        <vertical/>
        <horizontal style="medium">
          <color auto="1"/>
        </horizontal>
      </border>
    </dxf>
    <dxf>
      <alignment vertical="bottom" wrapText="1"/>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alignment vertical="bottom" wrapText="1"/>
    </dxf>
    <dxf>
      <numFmt numFmtId="1" formatCode="0"/>
      <alignment horizontal="center" vertical="center"/>
      <border>
        <left/>
        <right style="medium">
          <color indexed="64"/>
        </right>
        <top style="thin">
          <color auto="1"/>
        </top>
        <bottom style="thin">
          <color auto="1"/>
        </bottom>
        <vertical/>
        <horizontal style="thin">
          <color auto="1"/>
        </horizontal>
      </border>
    </dxf>
    <dxf>
      <numFmt numFmtId="1" formatCode="0"/>
      <alignment horizontal="center" vertical="center"/>
      <border>
        <left/>
        <right/>
        <top style="thin">
          <color auto="1"/>
        </top>
        <bottom style="thin">
          <color auto="1"/>
        </bottom>
        <vertical/>
        <horizontal style="thin">
          <color auto="1"/>
        </horizontal>
      </border>
    </dxf>
    <dxf>
      <numFmt numFmtId="1" formatCode="0"/>
      <alignment horizontal="center" vertical="center"/>
      <border>
        <left/>
        <right/>
        <top style="thin">
          <color auto="1"/>
        </top>
        <bottom style="thin">
          <color auto="1"/>
        </bottom>
        <vertical/>
        <horizontal style="thin">
          <color auto="1"/>
        </horizontal>
      </border>
    </dxf>
    <dxf>
      <numFmt numFmtId="1" formatCode="0"/>
      <alignment horizontal="center" vertical="center"/>
      <border>
        <left/>
        <right/>
        <top style="thin">
          <color auto="1"/>
        </top>
        <bottom style="thin">
          <color auto="1"/>
        </bottom>
        <vertical/>
        <horizontal style="thin">
          <color auto="1"/>
        </horizontal>
      </border>
    </dxf>
    <dxf>
      <numFmt numFmtId="0" formatCode="General"/>
      <alignment horizontal="center" vertical="center"/>
      <border>
        <left style="medium">
          <color indexed="64"/>
        </left>
        <right/>
        <top style="thin">
          <color auto="1"/>
        </top>
        <bottom style="thin">
          <color auto="1"/>
        </bottom>
        <vertical/>
        <horizontal style="thin">
          <color auto="1"/>
        </horizontal>
      </border>
    </dxf>
    <dxf>
      <alignment horizontal="center" vertical="center"/>
      <border>
        <left/>
        <right style="medium">
          <color indexed="64"/>
        </right>
        <top/>
        <bottom/>
        <vertical/>
        <horizontal/>
      </border>
    </dxf>
    <dxf>
      <alignment horizontal="center" vertical="center"/>
    </dxf>
    <dxf>
      <numFmt numFmtId="2" formatCode="0.00"/>
      <alignment horizontal="center" vertical="center"/>
    </dxf>
    <dxf>
      <numFmt numFmtId="164" formatCode="0.0"/>
      <alignment horizontal="center" vertical="center"/>
      <border>
        <left style="medium">
          <color indexed="64"/>
        </left>
        <right/>
        <top/>
        <bottom/>
        <vertical/>
        <horizontal/>
      </border>
    </dxf>
    <dxf>
      <alignment horizontal="center" vertical="bottom" wrapText="1"/>
    </dxf>
    <dxf>
      <numFmt numFmtId="164" formatCode="0.0"/>
      <alignment horizontal="center" vertical="center"/>
    </dxf>
    <dxf>
      <numFmt numFmtId="164" formatCode="0.0"/>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numFmt numFmtId="164" formatCode="0.0"/>
      <alignment horizontal="center" vertical="center"/>
    </dxf>
    <dxf>
      <alignment horizontal="center" vertical="center"/>
    </dxf>
    <dxf>
      <font>
        <name val="Arial"/>
        <strike val="0"/>
        <outline val="0"/>
        <shadow val="0"/>
        <condense val="0"/>
        <color theme="1"/>
        <extend val="0"/>
        <sz val="11"/>
        <vertAlign val="baseline"/>
      </font>
      <numFmt numFmtId="3" formatCode="#,##0"/>
      <fill>
        <patternFill>
          <fgColor indexed="64"/>
          <bgColor indexed="65"/>
        </patternFill>
      </fill>
      <alignment horizontal="center" vertical="center"/>
    </dxf>
    <dxf>
      <font>
        <name val="Arial"/>
        <strike val="0"/>
        <outline val="0"/>
        <shadow val="0"/>
        <condense val="0"/>
        <color theme="1"/>
        <extend val="0"/>
        <sz val="11"/>
        <vertAlign val="baseline"/>
      </font>
      <numFmt numFmtId="3" formatCode="#,##0"/>
      <fill>
        <patternFill>
          <fgColor indexed="64"/>
          <bgColor indexed="65"/>
        </patternFill>
      </fill>
      <alignment horizontal="center" vertical="center"/>
    </dxf>
    <dxf>
      <alignment horizontal="center" vertical="center"/>
    </dxf>
    <dxf>
      <alignment horizontal="center" vertical="center"/>
    </dxf>
    <dxf>
      <alignment horizontal="center" vertical="center"/>
    </dxf>
    <dxf>
      <alignment vertical="bottom" wrapText="1"/>
    </dxf>
    <dxf>
      <font>
        <name val="Calibri"/>
        <i val="1"/>
        <strike val="0"/>
        <outline val="0"/>
        <shadow val="0"/>
        <condense val="0"/>
        <color theme="1"/>
        <extend val="0"/>
        <sz val="11"/>
        <vertAlign val="baseline"/>
        <scheme val="minor"/>
      </font>
      <numFmt numFmtId="0" formatCode="General"/>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numFmt numFmtId="2" formatCode="0.00"/>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alignment horizontal="center" vertical="center"/>
    </dxf>
    <dxf>
      <font>
        <name val="Calibri"/>
        <i val="1"/>
        <strike val="0"/>
        <outline val="0"/>
        <shadow val="0"/>
        <condense val="0"/>
        <color theme="1"/>
        <extend val="0"/>
        <sz val="11"/>
        <vertAlign val="baseline"/>
        <scheme val="minor"/>
      </font>
      <alignment horizontal="center" vertical="center"/>
    </dxf>
    <dxf>
      <font>
        <name val="Calibri"/>
        <i val="1"/>
        <strike val="0"/>
        <outline val="0"/>
        <shadow val="0"/>
        <condense val="0"/>
        <color theme="1"/>
        <extend val="0"/>
        <sz val="11"/>
        <vertAlign val="baseline"/>
        <scheme val="minor"/>
      </font>
      <alignment horizontal="center" vertical="center"/>
    </dxf>
    <dxf>
      <font>
        <name val="Calibri"/>
        <i val="1"/>
        <strike val="0"/>
        <outline val="0"/>
        <shadow val="0"/>
        <condense val="0"/>
        <color theme="1"/>
        <extend val="0"/>
        <sz val="11"/>
        <vertAlign val="baseline"/>
        <scheme val="minor"/>
      </font>
      <alignment horizontal="center" vertical="center"/>
    </dxf>
    <dxf>
      <font>
        <name val="Calibri"/>
        <i val="1"/>
        <strike val="0"/>
        <outline val="0"/>
        <shadow val="0"/>
        <condense val="0"/>
        <color theme="1"/>
        <extend val="0"/>
        <sz val="11"/>
        <vertAlign val="baseline"/>
        <scheme val="minor"/>
      </font>
      <alignment horizontal="center" vertical="bottom"/>
    </dxf>
    <dxf>
      <font>
        <name val="Calibri"/>
        <i val="1"/>
        <strike val="0"/>
        <outline val="0"/>
        <shadow val="0"/>
        <condense val="0"/>
        <color theme="1"/>
        <extend val="0"/>
        <sz val="11"/>
        <vertAlign val="baseline"/>
        <scheme val="minor"/>
      </font>
    </dxf>
    <dxf>
      <font>
        <name val="Calibri"/>
        <i val="1"/>
        <strike val="0"/>
        <outline val="0"/>
        <shadow val="0"/>
        <condense val="0"/>
        <color theme="1"/>
        <extend val="0"/>
        <sz val="11"/>
        <vertAlign val="baseline"/>
        <scheme val="minor"/>
      </font>
    </dxf>
    <dxf>
      <numFmt numFmtId="2" formatCode="0.00"/>
      <border outline="0">
        <left style="thin">
          <color indexed="64"/>
        </left>
        <right/>
        <top style="thin">
          <color indexed="64"/>
        </top>
        <bottom/>
      </border>
    </dxf>
    <dxf>
      <numFmt numFmtId="2" formatCode="0.00"/>
      <border outline="0">
        <left style="thin">
          <color indexed="64"/>
        </left>
        <right/>
        <top style="thin">
          <color indexed="64"/>
        </top>
        <bottom/>
      </border>
    </dxf>
    <dxf>
      <border outline="0">
        <left style="thin">
          <color indexed="64"/>
        </left>
        <right style="thin">
          <color indexed="64"/>
        </right>
        <top style="thin">
          <color indexed="64"/>
        </top>
        <bottom/>
      </border>
    </dxf>
    <dxf>
      <border outline="0">
        <left style="thin">
          <color indexed="64"/>
        </left>
        <right style="thin">
          <color indexed="64"/>
        </right>
        <top style="thin">
          <color indexed="64"/>
        </top>
        <bottom/>
      </border>
    </dxf>
    <dxf>
      <numFmt numFmtId="0" formatCode="General"/>
      <border outline="0">
        <left/>
        <right style="thin">
          <color indexed="64"/>
        </right>
        <top style="thin">
          <color indexed="64"/>
        </top>
        <bottom/>
      </border>
    </dxf>
    <dxf>
      <numFmt numFmtId="0" formatCode="General"/>
      <border>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1" defaultTableStyle="TableStyleMedium9" defaultPivotStyle="PivotStyleLight16">
    <tableStyle name="Table Style 1" pivot="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 Type="http://schemas.openxmlformats.org/officeDocument/2006/relationships/image" Target="/xl/media/image4.png" Id="rId3" /><Relationship Type="http://schemas.openxmlformats.org/officeDocument/2006/relationships/image" Target="/xl/media/image5.png" Id="rId4" /><Relationship Type="http://schemas.openxmlformats.org/officeDocument/2006/relationships/image" Target="/xl/media/image6.png" Id="rId5" /><Relationship Type="http://schemas.openxmlformats.org/officeDocument/2006/relationships/image" Target="/xl/media/image7.png" Id="rId6" /></Relationships>
</file>

<file path=xl/drawings/_rels/drawing3.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 Type="http://schemas.openxmlformats.org/officeDocument/2006/relationships/image" Target="/xl/media/image10.png" Id="rId3" /><Relationship Type="http://schemas.openxmlformats.org/officeDocument/2006/relationships/image" Target="/xl/media/image11.png" Id="rId4" /></Relationships>
</file>

<file path=xl/drawings/_rels/drawing4.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 Type="http://schemas.openxmlformats.org/officeDocument/2006/relationships/image" Target="/xl/media/image15.png" Id="rId4" /><Relationship Type="http://schemas.openxmlformats.org/officeDocument/2006/relationships/image" Target="/xl/media/image16.png" Id="rId5" /><Relationship Type="http://schemas.openxmlformats.org/officeDocument/2006/relationships/image" Target="/xl/media/image17.png" Id="rId6" /><Relationship Type="http://schemas.openxmlformats.org/officeDocument/2006/relationships/image" Target="/xl/media/image18.png" Id="rId7" /><Relationship Type="http://schemas.openxmlformats.org/officeDocument/2006/relationships/image" Target="/xl/media/image19.png" Id="rId8" /><Relationship Type="http://schemas.openxmlformats.org/officeDocument/2006/relationships/image" Target="/xl/media/image20.png" Id="rId9" /><Relationship Type="http://schemas.openxmlformats.org/officeDocument/2006/relationships/image" Target="/xl/media/image21.png" Id="rId10" /><Relationship Type="http://schemas.openxmlformats.org/officeDocument/2006/relationships/image" Target="/xl/media/image22.png" Id="rId11" /><Relationship Type="http://schemas.openxmlformats.org/officeDocument/2006/relationships/image" Target="/xl/media/image23.png" Id="rId12" /><Relationship Type="http://schemas.openxmlformats.org/officeDocument/2006/relationships/image" Target="/xl/media/image24.png" Id="rId13" /><Relationship Type="http://schemas.openxmlformats.org/officeDocument/2006/relationships/image" Target="/xl/media/image25.png" Id="rId14" /><Relationship Type="http://schemas.openxmlformats.org/officeDocument/2006/relationships/image" Target="/xl/media/image26.png" Id="rId15" /><Relationship Type="http://schemas.openxmlformats.org/officeDocument/2006/relationships/image" Target="/xl/media/image27.png" Id="rId16" /></Relationships>
</file>

<file path=xl/drawings/_rels/drawing5.xml.rels><Relationships xmlns="http://schemas.openxmlformats.org/package/2006/relationships"><Relationship Type="http://schemas.openxmlformats.org/officeDocument/2006/relationships/image" Target="/xl/media/image28.png" Id="rId1" /><Relationship Type="http://schemas.openxmlformats.org/officeDocument/2006/relationships/image" Target="/xl/media/image29.png" Id="rId2" /><Relationship Type="http://schemas.openxmlformats.org/officeDocument/2006/relationships/image" Target="/xl/media/image30.png" Id="rId3" /><Relationship Type="http://schemas.openxmlformats.org/officeDocument/2006/relationships/image" Target="/xl/media/image31.png" Id="rId4" /><Relationship Type="http://schemas.openxmlformats.org/officeDocument/2006/relationships/image" Target="/xl/media/image32.png" Id="rId5" /><Relationship Type="http://schemas.openxmlformats.org/officeDocument/2006/relationships/image" Target="/xl/media/image33.png" Id="rId6" /><Relationship Type="http://schemas.openxmlformats.org/officeDocument/2006/relationships/image" Target="/xl/media/image34.png" Id="rId7" /><Relationship Type="http://schemas.openxmlformats.org/officeDocument/2006/relationships/image" Target="/xl/media/image35.png" Id="rId8" /><Relationship Type="http://schemas.openxmlformats.org/officeDocument/2006/relationships/image" Target="/xl/media/image36.png" Id="rId9" /><Relationship Type="http://schemas.openxmlformats.org/officeDocument/2006/relationships/image" Target="/xl/media/image37.png" Id="rId10" /><Relationship Type="http://schemas.openxmlformats.org/officeDocument/2006/relationships/image" Target="/xl/media/image38.png" Id="rId11" /><Relationship Type="http://schemas.openxmlformats.org/officeDocument/2006/relationships/image" Target="/xl/media/image39.png" Id="rId12" /><Relationship Type="http://schemas.openxmlformats.org/officeDocument/2006/relationships/image" Target="/xl/media/image40.png" Id="rId13" /><Relationship Type="http://schemas.openxmlformats.org/officeDocument/2006/relationships/image" Target="/xl/media/image41.png" Id="rId14" /><Relationship Type="http://schemas.openxmlformats.org/officeDocument/2006/relationships/image" Target="/xl/media/image42.png" Id="rId15" /><Relationship Type="http://schemas.openxmlformats.org/officeDocument/2006/relationships/image" Target="/xl/media/image43.png" Id="rId16" /></Relationships>
</file>

<file path=xl/drawings/_rels/drawing6.xml.rels><Relationships xmlns="http://schemas.openxmlformats.org/package/2006/relationships"><Relationship Type="http://schemas.openxmlformats.org/officeDocument/2006/relationships/image" Target="/xl/media/image44.png" Id="rId1" /><Relationship Type="http://schemas.openxmlformats.org/officeDocument/2006/relationships/image" Target="/xl/media/image45.png" Id="rId2" /><Relationship Type="http://schemas.openxmlformats.org/officeDocument/2006/relationships/image" Target="/xl/media/image46.png" Id="rId3" /><Relationship Type="http://schemas.openxmlformats.org/officeDocument/2006/relationships/image" Target="/xl/media/image47.png" Id="rId4" /><Relationship Type="http://schemas.openxmlformats.org/officeDocument/2006/relationships/image" Target="/xl/media/image48.png" Id="rId5" /><Relationship Type="http://schemas.openxmlformats.org/officeDocument/2006/relationships/image" Target="/xl/media/image49.png" Id="rId6" /></Relationships>
</file>

<file path=xl/drawings/_rels/drawing7.xml.rels><Relationships xmlns="http://schemas.openxmlformats.org/package/2006/relationships"><Relationship Type="http://schemas.openxmlformats.org/officeDocument/2006/relationships/image" Target="/xl/media/image50.png" Id="rId1" /><Relationship Type="http://schemas.openxmlformats.org/officeDocument/2006/relationships/image" Target="/xl/media/image51.png" Id="rId2" /></Relationships>
</file>

<file path=xl/drawings/_rels/drawing8.xml.rels><Relationships xmlns="http://schemas.openxmlformats.org/package/2006/relationships"><Relationship Type="http://schemas.openxmlformats.org/officeDocument/2006/relationships/image" Target="/xl/media/image52.png" Id="rId1" /><Relationship Type="http://schemas.openxmlformats.org/officeDocument/2006/relationships/image" Target="/xl/media/image53.png" Id="rId2" /><Relationship Type="http://schemas.openxmlformats.org/officeDocument/2006/relationships/image" Target="/xl/media/image54.png" Id="rId3" /><Relationship Type="http://schemas.openxmlformats.org/officeDocument/2006/relationships/image" Target="/xl/media/image55.png" Id="rId4" /><Relationship Type="http://schemas.openxmlformats.org/officeDocument/2006/relationships/image" Target="/xl/media/image56.png" Id="rId5" /><Relationship Type="http://schemas.openxmlformats.org/officeDocument/2006/relationships/image" Target="/xl/media/image57.png" Id="rId6" /><Relationship Type="http://schemas.openxmlformats.org/officeDocument/2006/relationships/image" Target="/xl/media/image58.png" Id="rId7" /><Relationship Type="http://schemas.openxmlformats.org/officeDocument/2006/relationships/image" Target="/xl/media/image59.png" Id="rId8" /><Relationship Type="http://schemas.openxmlformats.org/officeDocument/2006/relationships/image" Target="/xl/media/image60.png" Id="rId9" /><Relationship Type="http://schemas.openxmlformats.org/officeDocument/2006/relationships/image" Target="/xl/media/image61.png" Id="rId10" /><Relationship Type="http://schemas.openxmlformats.org/officeDocument/2006/relationships/image" Target="/xl/media/image62.png" Id="rId11" /><Relationship Type="http://schemas.openxmlformats.org/officeDocument/2006/relationships/image" Target="/xl/media/image63.png" Id="rId12" /><Relationship Type="http://schemas.openxmlformats.org/officeDocument/2006/relationships/image" Target="/xl/media/image64.png" Id="rId13" /><Relationship Type="http://schemas.openxmlformats.org/officeDocument/2006/relationships/image" Target="/xl/media/image65.png" Id="rId14" /><Relationship Type="http://schemas.openxmlformats.org/officeDocument/2006/relationships/image" Target="/xl/media/image66.png" Id="rId15" /><Relationship Type="http://schemas.openxmlformats.org/officeDocument/2006/relationships/image" Target="/xl/media/image67.png" Id="rId16" /><Relationship Type="http://schemas.openxmlformats.org/officeDocument/2006/relationships/image" Target="/xl/media/image68.png" Id="rId17" /><Relationship Type="http://schemas.openxmlformats.org/officeDocument/2006/relationships/image" Target="/xl/media/image69.png" Id="rId18" /><Relationship Type="http://schemas.openxmlformats.org/officeDocument/2006/relationships/image" Target="/xl/media/image70.png" Id="rId19" /><Relationship Type="http://schemas.openxmlformats.org/officeDocument/2006/relationships/image" Target="/xl/media/image71.png" Id="rId20" /></Relationships>
</file>

<file path=xl/drawings/_rels/drawing9.xml.rels><Relationships xmlns="http://schemas.openxmlformats.org/package/2006/relationships"><Relationship Type="http://schemas.openxmlformats.org/officeDocument/2006/relationships/image" Target="/xl/media/image72.png" Id="rId1" /><Relationship Type="http://schemas.openxmlformats.org/officeDocument/2006/relationships/image" Target="/xl/media/image73.png" Id="rId2" /><Relationship Type="http://schemas.openxmlformats.org/officeDocument/2006/relationships/image" Target="/xl/media/image74.png" Id="rId3" /><Relationship Type="http://schemas.openxmlformats.org/officeDocument/2006/relationships/image" Target="/xl/media/image75.png" Id="rId4" /><Relationship Type="http://schemas.openxmlformats.org/officeDocument/2006/relationships/image" Target="/xl/media/image76.png" Id="rId5" /><Relationship Type="http://schemas.openxmlformats.org/officeDocument/2006/relationships/image" Target="/xl/media/image77.png" Id="rId6" /><Relationship Type="http://schemas.openxmlformats.org/officeDocument/2006/relationships/image" Target="/xl/media/image78.png" Id="rId7" /><Relationship Type="http://schemas.openxmlformats.org/officeDocument/2006/relationships/image" Target="/xl/media/image79.png" Id="rId8" /><Relationship Type="http://schemas.openxmlformats.org/officeDocument/2006/relationships/image" Target="/xl/media/image80.png" Id="rId9" /><Relationship Type="http://schemas.openxmlformats.org/officeDocument/2006/relationships/image" Target="/xl/media/image81.png" Id="rId10" /><Relationship Type="http://schemas.openxmlformats.org/officeDocument/2006/relationships/image" Target="/xl/media/image82.png" Id="rId11" /></Relationships>
</file>

<file path=xl/drawings/_rels/drawing10.xml.rels><Relationships xmlns="http://schemas.openxmlformats.org/package/2006/relationships"><Relationship Type="http://schemas.openxmlformats.org/officeDocument/2006/relationships/image" Target="/xl/media/image83.png" Id="rId1" /><Relationship Type="http://schemas.openxmlformats.org/officeDocument/2006/relationships/image" Target="/xl/media/image84.png" Id="rId2" /><Relationship Type="http://schemas.openxmlformats.org/officeDocument/2006/relationships/image" Target="/xl/media/image85.png" Id="rId3" /><Relationship Type="http://schemas.openxmlformats.org/officeDocument/2006/relationships/image" Target="/xl/media/image86.png" Id="rId4" /><Relationship Type="http://schemas.openxmlformats.org/officeDocument/2006/relationships/image" Target="/xl/media/image87.png" Id="rId5" /><Relationship Type="http://schemas.openxmlformats.org/officeDocument/2006/relationships/image" Target="/xl/media/image88.png" Id="rId6" /><Relationship Type="http://schemas.openxmlformats.org/officeDocument/2006/relationships/image" Target="/xl/media/image89.png" Id="rId7" /></Relationships>
</file>

<file path=xl/drawings/_rels/drawing11.xml.rels><Relationships xmlns="http://schemas.openxmlformats.org/package/2006/relationships"><Relationship Type="http://schemas.openxmlformats.org/officeDocument/2006/relationships/image" Target="/xl/media/image90.png" Id="rId1" /><Relationship Type="http://schemas.openxmlformats.org/officeDocument/2006/relationships/image" Target="/xl/media/image91.png" Id="rId2" /><Relationship Type="http://schemas.openxmlformats.org/officeDocument/2006/relationships/image" Target="/xl/media/image92.png" Id="rId3" /><Relationship Type="http://schemas.openxmlformats.org/officeDocument/2006/relationships/image" Target="/xl/media/image93.png" Id="rId4" /><Relationship Type="http://schemas.openxmlformats.org/officeDocument/2006/relationships/image" Target="/xl/media/image94.png" Id="rId5" /><Relationship Type="http://schemas.openxmlformats.org/officeDocument/2006/relationships/image" Target="/xl/media/image95.png" Id="rId6" /><Relationship Type="http://schemas.openxmlformats.org/officeDocument/2006/relationships/image" Target="/xl/media/image96.png" Id="rId7" /><Relationship Type="http://schemas.openxmlformats.org/officeDocument/2006/relationships/image" Target="/xl/media/image97.png" Id="rId8" /><Relationship Type="http://schemas.openxmlformats.org/officeDocument/2006/relationships/image" Target="/xl/media/image98.png" Id="rId9" /><Relationship Type="http://schemas.openxmlformats.org/officeDocument/2006/relationships/image" Target="/xl/media/image99.png" Id="rId10" /><Relationship Type="http://schemas.openxmlformats.org/officeDocument/2006/relationships/image" Target="/xl/media/image100.png" Id="rId11" /><Relationship Type="http://schemas.openxmlformats.org/officeDocument/2006/relationships/image" Target="/xl/media/image101.png" Id="rId12" /><Relationship Type="http://schemas.openxmlformats.org/officeDocument/2006/relationships/image" Target="/xl/media/image102.png" Id="rId13" /><Relationship Type="http://schemas.openxmlformats.org/officeDocument/2006/relationships/image" Target="/xl/media/image103.png" Id="rId14" /><Relationship Type="http://schemas.openxmlformats.org/officeDocument/2006/relationships/image" Target="/xl/media/image104.png" Id="rId15" /><Relationship Type="http://schemas.openxmlformats.org/officeDocument/2006/relationships/image" Target="/xl/media/image105.png" Id="rId16" /><Relationship Type="http://schemas.openxmlformats.org/officeDocument/2006/relationships/image" Target="/xl/media/image106.png" Id="rId17" /><Relationship Type="http://schemas.openxmlformats.org/officeDocument/2006/relationships/image" Target="/xl/media/image107.png" Id="rId18" /><Relationship Type="http://schemas.openxmlformats.org/officeDocument/2006/relationships/image" Target="/xl/media/image108.png" Id="rId19" /><Relationship Type="http://schemas.openxmlformats.org/officeDocument/2006/relationships/image" Target="/xl/media/image109.png" Id="rId20" /><Relationship Type="http://schemas.openxmlformats.org/officeDocument/2006/relationships/image" Target="/xl/media/image110.png" Id="rId21" /><Relationship Type="http://schemas.openxmlformats.org/officeDocument/2006/relationships/image" Target="/xl/media/image111.png" Id="rId22" /></Relationships>
</file>

<file path=xl/drawings/_rels/drawing12.xml.rels><Relationships xmlns="http://schemas.openxmlformats.org/package/2006/relationships"><Relationship Type="http://schemas.openxmlformats.org/officeDocument/2006/relationships/image" Target="/xl/media/image11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11</col>
      <colOff>507999</colOff>
      <row>48</row>
      <rowOff>42333</rowOff>
    </from>
    <to>
      <col>27</col>
      <colOff>542176</colOff>
      <row>66</row>
      <rowOff>49406</rowOff>
    </to>
    <pic>
      <nvPicPr>
        <cNvPr id="2" name="Resim 1"/>
        <cNvPicPr>
          <a:picLocks noChangeAspect="1"/>
        </cNvPicPr>
      </nvPicPr>
      <blipFill>
        <a:blip r:embed="rId1"/>
        <a:stretch>
          <a:fillRect/>
        </a:stretch>
      </blipFill>
      <spPr>
        <a:xfrm>
          <a:off x="9556749" y="9376833"/>
          <a:ext cx="6687483" cy="5182323"/>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15</col>
      <colOff>152400</colOff>
      <row>2</row>
      <rowOff>0</rowOff>
    </from>
    <to>
      <col>33</col>
      <colOff>135062</colOff>
      <row>13</row>
      <rowOff>149943</rowOff>
    </to>
    <pic>
      <nvPicPr>
        <cNvPr id="3" name="Resim 2"/>
        <cNvPicPr>
          <a:picLocks noChangeAspect="1"/>
        </cNvPicPr>
      </nvPicPr>
      <blipFill>
        <a:blip r:embed="rId1"/>
        <a:stretch>
          <a:fillRect/>
        </a:stretch>
      </blipFill>
      <spPr>
        <a:xfrm>
          <a:off x="11306175" y="400050"/>
          <a:ext cx="10955462" cy="2426418"/>
        </a:xfrm>
        <a:prstGeom prst="rect">
          <avLst/>
        </a:prstGeom>
        <a:ln>
          <a:prstDash val="solid"/>
        </a:ln>
      </spPr>
    </pic>
    <clientData/>
  </twoCellAnchor>
  <twoCellAnchor editAs="oneCell">
    <from>
      <col>0</col>
      <colOff>209550</colOff>
      <row>18</row>
      <rowOff>9525</rowOff>
    </from>
    <to>
      <col>7</col>
      <colOff>790734</colOff>
      <row>39</row>
      <rowOff>114300</rowOff>
    </to>
    <pic>
      <nvPicPr>
        <cNvPr id="5" name="Resim 4"/>
        <cNvPicPr>
          <a:picLocks noChangeAspect="1"/>
        </cNvPicPr>
      </nvPicPr>
      <blipFill rotWithShape="1">
        <a:blip r:embed="rId2"/>
        <a:srcRect l="31723" t="20558" r="29366" b="29251"/>
        <a:stretch>
          <a:fillRect/>
        </a:stretch>
      </blipFill>
      <spPr>
        <a:xfrm>
          <a:off x="209550" y="3457575"/>
          <a:ext cx="5658009" cy="4105275"/>
        </a:xfrm>
        <a:prstGeom prst="rect">
          <avLst/>
        </a:prstGeom>
        <a:ln>
          <a:prstDash val="solid"/>
        </a:ln>
      </spPr>
    </pic>
    <clientData/>
  </twoCellAnchor>
  <twoCellAnchor editAs="oneCell">
    <from>
      <col>0</col>
      <colOff>152400</colOff>
      <row>40</row>
      <rowOff>38100</rowOff>
    </from>
    <to>
      <col>8</col>
      <colOff>104775</colOff>
      <row>60</row>
      <rowOff>62788</rowOff>
    </to>
    <pic>
      <nvPicPr>
        <cNvPr id="6" name="Resim 5"/>
        <cNvPicPr>
          <a:picLocks noChangeAspect="1"/>
        </cNvPicPr>
      </nvPicPr>
      <blipFill rotWithShape="1">
        <a:blip r:embed="rId3"/>
        <a:srcRect l="31202" t="27874" r="30252" b="27120"/>
        <a:stretch>
          <a:fillRect/>
        </a:stretch>
      </blipFill>
      <spPr>
        <a:xfrm>
          <a:off x="152400" y="7677150"/>
          <a:ext cx="5838825" cy="3834688"/>
        </a:xfrm>
        <a:prstGeom prst="rect">
          <avLst/>
        </a:prstGeom>
        <a:ln>
          <a:prstDash val="solid"/>
        </a:ln>
      </spPr>
    </pic>
    <clientData/>
  </twoCellAnchor>
  <twoCellAnchor editAs="oneCell">
    <from>
      <col>8</col>
      <colOff>76200</colOff>
      <row>17</row>
      <rowOff>123825</rowOff>
    </from>
    <to>
      <col>14</col>
      <colOff>552450</colOff>
      <row>48</row>
      <rowOff>89738</rowOff>
    </to>
    <pic>
      <nvPicPr>
        <cNvPr id="7" name="Resim 6"/>
        <cNvPicPr>
          <a:picLocks noChangeAspect="1"/>
        </cNvPicPr>
      </nvPicPr>
      <blipFill rotWithShape="1">
        <a:blip r:embed="rId4"/>
        <a:srcRect l="31567" t="12038" r="30355" b="10544"/>
        <a:stretch>
          <a:fillRect/>
        </a:stretch>
      </blipFill>
      <spPr>
        <a:xfrm>
          <a:off x="5962650" y="3381375"/>
          <a:ext cx="5133975" cy="5871413"/>
        </a:xfrm>
        <a:prstGeom prst="rect">
          <avLst/>
        </a:prstGeom>
        <a:ln>
          <a:prstDash val="solid"/>
        </a:ln>
      </spPr>
    </pic>
    <clientData/>
  </twoCellAnchor>
  <twoCellAnchor editAs="oneCell">
    <from>
      <col>15</col>
      <colOff>66675</colOff>
      <row>17</row>
      <rowOff>9525</rowOff>
    </from>
    <to>
      <col>24</col>
      <colOff>123825</colOff>
      <row>58</row>
      <rowOff>78433</rowOff>
    </to>
    <pic>
      <nvPicPr>
        <cNvPr id="9" name="Resim 8"/>
        <cNvPicPr>
          <a:picLocks noChangeAspect="1"/>
        </cNvPicPr>
      </nvPicPr>
      <blipFill rotWithShape="1">
        <a:blip r:embed="rId5"/>
        <a:srcRect l="33611" t="10001" r="33981" b="8108"/>
        <a:stretch>
          <a:fillRect/>
        </a:stretch>
      </blipFill>
      <spPr>
        <a:xfrm>
          <a:off x="11220450" y="3267075"/>
          <a:ext cx="5543550" cy="7879408"/>
        </a:xfrm>
        <a:prstGeom prst="rect">
          <avLst/>
        </a:prstGeom>
        <a:ln>
          <a:prstDash val="solid"/>
        </a:ln>
      </spPr>
    </pic>
    <clientData/>
  </twoCellAnchor>
  <twoCellAnchor editAs="oneCell">
    <from>
      <col>24</col>
      <colOff>0</colOff>
      <row>17</row>
      <rowOff>0</rowOff>
    </from>
    <to>
      <col>31</col>
      <colOff>288717</colOff>
      <row>42</row>
      <rowOff>76200</rowOff>
    </to>
    <pic>
      <nvPicPr>
        <cNvPr id="11" name="Resim 10"/>
        <cNvPicPr>
          <a:picLocks noChangeAspect="1"/>
        </cNvPicPr>
      </nvPicPr>
      <blipFill rotWithShape="1">
        <a:blip r:embed="rId6"/>
        <a:srcRect l="33610" t="25473" r="31529" b="8706"/>
        <a:stretch>
          <a:fillRect/>
        </a:stretch>
      </blipFill>
      <spPr>
        <a:xfrm>
          <a:off x="15420975" y="3257550"/>
          <a:ext cx="4555917" cy="4838700"/>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104775</rowOff>
    </from>
    <to>
      <col>10</col>
      <colOff>1377959</colOff>
      <row>66</row>
      <rowOff>6087</rowOff>
    </to>
    <pic>
      <nvPicPr>
        <cNvPr id="6" name="Resim 5"/>
        <cNvPicPr>
          <a:picLocks noChangeAspect="1"/>
        </cNvPicPr>
      </nvPicPr>
      <blipFill>
        <a:blip r:embed="rId1"/>
        <a:stretch>
          <a:fillRect/>
        </a:stretch>
      </blipFill>
      <spPr>
        <a:xfrm>
          <a:off x="0" y="8324850"/>
          <a:ext cx="9431066" cy="5487166"/>
        </a:xfrm>
        <a:prstGeom prst="rect">
          <avLst/>
        </a:prstGeom>
        <a:ln>
          <a:prstDash val="solid"/>
        </a:ln>
      </spPr>
    </pic>
    <clientData/>
  </twoCellAnchor>
  <twoCellAnchor editAs="oneCell">
    <from>
      <col>19</col>
      <colOff>533161</colOff>
      <row>14</row>
      <rowOff>76201</rowOff>
    </from>
    <to>
      <col>33</col>
      <colOff>423925</colOff>
      <row>42</row>
      <rowOff>65315</rowOff>
    </to>
    <pic>
      <nvPicPr>
        <cNvPr id="7" name="Resim 6"/>
        <cNvPicPr>
          <a:picLocks noChangeAspect="1"/>
        </cNvPicPr>
      </nvPicPr>
      <blipFill>
        <a:blip r:embed="rId2"/>
        <a:stretch>
          <a:fillRect/>
        </a:stretch>
      </blipFill>
      <spPr>
        <a:xfrm>
          <a:off x="18276875" y="2667001"/>
          <a:ext cx="8577562" cy="5497285"/>
        </a:xfrm>
        <a:prstGeom prst="rect">
          <avLst/>
        </a:prstGeom>
        <a:ln>
          <a:prstDash val="solid"/>
        </a:ln>
      </spPr>
    </pic>
    <clientData/>
  </twoCellAnchor>
  <twoCellAnchor editAs="oneCell">
    <from>
      <col>14</col>
      <colOff>1824</colOff>
      <row>0</row>
      <rowOff>0</rowOff>
    </from>
    <to>
      <col>17</col>
      <colOff>1922603</colOff>
      <row>21</row>
      <rowOff>44823</rowOff>
    </to>
    <pic>
      <nvPicPr>
        <cNvPr id="9" name="Resim 8"/>
        <cNvPicPr>
          <a:picLocks noChangeAspect="1"/>
        </cNvPicPr>
      </nvPicPr>
      <blipFill>
        <a:blip r:embed="rId3"/>
        <a:stretch>
          <a:fillRect/>
        </a:stretch>
      </blipFill>
      <spPr>
        <a:xfrm>
          <a:off x="11548241" y="0"/>
          <a:ext cx="4358876" cy="4140573"/>
        </a:xfrm>
        <a:prstGeom prst="rect">
          <avLst/>
        </a:prstGeom>
        <a:ln>
          <a:prstDash val="solid"/>
        </a:ln>
      </spPr>
    </pic>
    <clientData/>
  </twoCellAnchor>
  <twoCellAnchor editAs="oneCell">
    <from>
      <col>19</col>
      <colOff>54428</colOff>
      <row>0</row>
      <rowOff>0</rowOff>
    </from>
    <to>
      <col>31</col>
      <colOff>455578</colOff>
      <row>15</row>
      <rowOff>53463</rowOff>
    </to>
    <pic>
      <nvPicPr>
        <cNvPr id="8" name="Resim 7"/>
        <cNvPicPr>
          <a:picLocks noChangeAspect="1"/>
        </cNvPicPr>
      </nvPicPr>
      <blipFill>
        <a:blip r:embed="rId4"/>
        <a:stretch>
          <a:fillRect/>
        </a:stretch>
      </blipFill>
      <spPr>
        <a:xfrm>
          <a:off x="16448314" y="0"/>
          <a:ext cx="7868748" cy="282932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25</col>
      <colOff>416606</colOff>
      <row>0</row>
      <rowOff>95250</rowOff>
    </from>
    <to>
      <col>33</col>
      <colOff>201706</colOff>
      <row>13</row>
      <rowOff>167470</rowOff>
    </to>
    <pic>
      <nvPicPr>
        <cNvPr id="2" name="Resim 1"/>
        <cNvPicPr>
          <a:picLocks noChangeAspect="1"/>
        </cNvPicPr>
      </nvPicPr>
      <blipFill rotWithShape="1">
        <a:blip r:embed="rId1"/>
        <a:srcRect l="12952" t="7171" r="11874" b="3140"/>
        <a:stretch>
          <a:fillRect/>
        </a:stretch>
      </blipFill>
      <spPr>
        <a:xfrm>
          <a:off x="19763786" y="95250"/>
          <a:ext cx="5286740" cy="2449660"/>
        </a:xfrm>
        <a:prstGeom prst="rect">
          <avLst/>
        </a:prstGeom>
        <a:ln>
          <a:prstDash val="solid"/>
        </a:ln>
      </spPr>
    </pic>
    <clientData/>
  </twoCellAnchor>
  <twoCellAnchor editAs="oneCell">
    <from>
      <col>0</col>
      <colOff>513284</colOff>
      <row>0</row>
      <rowOff>0</rowOff>
    </from>
    <to>
      <col>7</col>
      <colOff>272413</colOff>
      <row>13</row>
      <rowOff>83577</rowOff>
    </to>
    <pic>
      <nvPicPr>
        <cNvPr id="3" name="Resim 2"/>
        <cNvPicPr>
          <a:picLocks noChangeAspect="1"/>
        </cNvPicPr>
      </nvPicPr>
      <blipFill rotWithShape="1">
        <a:blip r:embed="rId2"/>
        <a:srcRect l="27972" t="26485" r="21865" b="20916"/>
        <a:stretch>
          <a:fillRect/>
        </a:stretch>
      </blipFill>
      <spPr>
        <a:xfrm>
          <a:off x="513284" y="0"/>
          <a:ext cx="4453049" cy="2461017"/>
        </a:xfrm>
        <a:prstGeom prst="rect">
          <avLst/>
        </a:prstGeom>
        <a:ln>
          <a:prstDash val="solid"/>
        </a:ln>
      </spPr>
    </pic>
    <clientData/>
  </twoCellAnchor>
  <twoCellAnchor editAs="oneCell">
    <from>
      <col>7</col>
      <colOff>388802</colOff>
      <row>0</row>
      <rowOff>114097</rowOff>
    </from>
    <to>
      <col>14</col>
      <colOff>127182</colOff>
      <row>13</row>
      <rowOff>63874</rowOff>
    </to>
    <pic>
      <nvPicPr>
        <cNvPr id="4" name="Resim 3"/>
        <cNvPicPr>
          <a:picLocks noChangeAspect="1"/>
        </cNvPicPr>
      </nvPicPr>
      <blipFill rotWithShape="1">
        <a:blip r:embed="rId3"/>
        <a:srcRect l="23649" t="22412" r="19467" b="36009"/>
        <a:stretch>
          <a:fillRect/>
        </a:stretch>
      </blipFill>
      <spPr>
        <a:xfrm>
          <a:off x="5082722" y="114097"/>
          <a:ext cx="6047740" cy="2327217"/>
        </a:xfrm>
        <a:prstGeom prst="rect">
          <avLst/>
        </a:prstGeom>
        <a:ln>
          <a:prstDash val="solid"/>
        </a:ln>
      </spPr>
    </pic>
    <clientData/>
  </twoCellAnchor>
  <twoCellAnchor editAs="oneCell">
    <from>
      <col>14</col>
      <colOff>661146</colOff>
      <row>2</row>
      <rowOff>15688</rowOff>
    </from>
    <to>
      <col>21</col>
      <colOff>159927</colOff>
      <row>13</row>
      <rowOff>39091</rowOff>
    </to>
    <pic>
      <nvPicPr>
        <cNvPr id="5" name="Resim 4"/>
        <cNvPicPr>
          <a:picLocks noChangeAspect="1"/>
        </cNvPicPr>
      </nvPicPr>
      <blipFill rotWithShape="1">
        <a:blip r:embed="rId4"/>
        <a:srcRect l="23650" t="22040" r="20041" b="41012"/>
        <a:stretch>
          <a:fillRect/>
        </a:stretch>
      </blipFill>
      <spPr>
        <a:xfrm>
          <a:off x="11664426" y="381448"/>
          <a:ext cx="5267121" cy="2035083"/>
        </a:xfrm>
        <a:prstGeom prst="rect">
          <avLst/>
        </a:prstGeom>
        <a:ln>
          <a:prstDash val="solid"/>
        </a:ln>
      </spPr>
    </pic>
    <clientData/>
  </twoCellAnchor>
  <twoCellAnchor editAs="oneCell">
    <from>
      <col>34</col>
      <colOff>280708</colOff>
      <row>0</row>
      <rowOff>44824</rowOff>
    </from>
    <to>
      <col>41</col>
      <colOff>541438</colOff>
      <row>12</row>
      <rowOff>175679</rowOff>
    </to>
    <pic>
      <nvPicPr>
        <cNvPr id="6" name="Resim 5"/>
        <cNvPicPr>
          <a:picLocks noChangeAspect="1"/>
        </cNvPicPr>
      </nvPicPr>
      <blipFill rotWithShape="1">
        <a:blip r:embed="rId5"/>
        <a:srcRect l="23857" t="14200" r="20178" b="38436"/>
        <a:stretch>
          <a:fillRect/>
        </a:stretch>
      </blipFill>
      <spPr>
        <a:xfrm>
          <a:off x="25914388" y="44824"/>
          <a:ext cx="5213730" cy="2325415"/>
        </a:xfrm>
        <a:prstGeom prst="rect">
          <avLst/>
        </a:prstGeom>
        <a:ln>
          <a:prstDash val="solid"/>
        </a:ln>
      </spPr>
    </pic>
    <clientData/>
  </twoCellAnchor>
  <twoCellAnchor editAs="oneCell">
    <from>
      <col>29</col>
      <colOff>478338</colOff>
      <row>53</row>
      <rowOff>75362</rowOff>
    </from>
    <to>
      <col>38</col>
      <colOff>219499</colOff>
      <row>73</row>
      <rowOff>59485</rowOff>
    </to>
    <pic>
      <nvPicPr>
        <cNvPr id="7" name="Resim 6"/>
        <cNvPicPr>
          <a:picLocks noChangeAspect="1"/>
        </cNvPicPr>
      </nvPicPr>
      <blipFill rotWithShape="1">
        <a:blip r:embed="rId6"/>
        <a:srcRect l="31567" t="31856" r="30304" b="23972"/>
        <a:stretch>
          <a:fillRect/>
        </a:stretch>
      </blipFill>
      <spPr>
        <a:xfrm>
          <a:off x="22683018" y="10072802"/>
          <a:ext cx="6035281" cy="3641723"/>
        </a:xfrm>
        <a:prstGeom prst="rect">
          <avLst/>
        </a:prstGeom>
        <a:ln>
          <a:prstDash val="solid"/>
        </a:ln>
      </spPr>
    </pic>
    <clientData/>
  </twoCellAnchor>
  <twoCellAnchor editAs="oneCell">
    <from>
      <col>21</col>
      <colOff>157959</colOff>
      <row>54</row>
      <rowOff>4698</rowOff>
    </from>
    <to>
      <col>28</col>
      <colOff>573372</colOff>
      <row>72</row>
      <rowOff>169667</rowOff>
    </to>
    <pic>
      <nvPicPr>
        <cNvPr id="8" name="Resim 7"/>
        <cNvPicPr>
          <a:picLocks noChangeAspect="1"/>
        </cNvPicPr>
      </nvPicPr>
      <blipFill>
        <a:blip r:embed="rId7"/>
        <a:stretch>
          <a:fillRect/>
        </a:stretch>
      </blipFill>
      <spPr>
        <a:xfrm>
          <a:off x="16929579" y="10185018"/>
          <a:ext cx="5094093" cy="3456809"/>
        </a:xfrm>
        <a:prstGeom prst="rect">
          <avLst/>
        </a:prstGeom>
        <a:ln>
          <a:prstDash val="solid"/>
        </a:ln>
      </spPr>
    </pic>
    <clientData/>
  </twoCellAnchor>
  <twoCellAnchor editAs="oneCell">
    <from>
      <col>14</col>
      <colOff>384363</colOff>
      <row>53</row>
      <rowOff>140635</rowOff>
    </from>
    <to>
      <col>21</col>
      <colOff>88349</colOff>
      <row>72</row>
      <rowOff>23821</rowOff>
    </to>
    <pic>
      <nvPicPr>
        <cNvPr id="9" name="Resim 8"/>
        <cNvPicPr>
          <a:picLocks noChangeAspect="1"/>
        </cNvPicPr>
      </nvPicPr>
      <blipFill>
        <a:blip r:embed="rId8"/>
        <a:stretch>
          <a:fillRect/>
        </a:stretch>
      </blipFill>
      <spPr>
        <a:xfrm>
          <a:off x="11387643" y="10138075"/>
          <a:ext cx="5472326" cy="3357906"/>
        </a:xfrm>
        <a:prstGeom prst="rect">
          <avLst/>
        </a:prstGeom>
        <a:ln>
          <a:prstDash val="solid"/>
        </a:ln>
      </spPr>
    </pic>
    <clientData/>
  </twoCellAnchor>
  <twoCellAnchor editAs="oneCell">
    <from>
      <col>7</col>
      <colOff>211876</colOff>
      <row>61</row>
      <rowOff>104904</rowOff>
    </from>
    <to>
      <col>12</col>
      <colOff>19303</colOff>
      <row>70</row>
      <rowOff>0</rowOff>
    </to>
    <pic>
      <nvPicPr>
        <cNvPr id="10" name="Resim 9"/>
        <cNvPicPr>
          <a:picLocks noChangeAspect="1"/>
        </cNvPicPr>
      </nvPicPr>
      <blipFill rotWithShape="1">
        <a:blip r:embed="rId9"/>
        <a:srcRect l="35577" t="31949" r="34367" b="47679"/>
        <a:stretch>
          <a:fillRect/>
        </a:stretch>
      </blipFill>
      <spPr>
        <a:xfrm>
          <a:off x="4905796" y="11565384"/>
          <a:ext cx="4364187" cy="1541016"/>
        </a:xfrm>
        <a:prstGeom prst="rect">
          <avLst/>
        </a:prstGeom>
        <a:ln>
          <a:prstDash val="solid"/>
        </a:ln>
      </spPr>
    </pic>
    <clientData/>
  </twoCellAnchor>
  <twoCellAnchor editAs="oneCell">
    <from>
      <col>0</col>
      <colOff>1</colOff>
      <row>60</row>
      <rowOff>115678</rowOff>
    </from>
    <to>
      <col>6</col>
      <colOff>639481</colOff>
      <row>70</row>
      <rowOff>0</rowOff>
    </to>
    <pic>
      <nvPicPr>
        <cNvPr id="11" name="Resim 10"/>
        <cNvPicPr>
          <a:picLocks noChangeAspect="1"/>
        </cNvPicPr>
      </nvPicPr>
      <blipFill rotWithShape="1">
        <a:blip r:embed="rId10"/>
        <a:srcRect l="35786" t="45746" r="34523" b="33325"/>
        <a:stretch>
          <a:fillRect/>
        </a:stretch>
      </blipFill>
      <spPr>
        <a:xfrm>
          <a:off x="1" y="11393278"/>
          <a:ext cx="4586640" cy="1709536"/>
        </a:xfrm>
        <a:prstGeom prst="rect">
          <avLst/>
        </a:prstGeom>
        <a:ln>
          <a:prstDash val="solid"/>
        </a:ln>
      </spPr>
    </pic>
    <clientData/>
  </twoCellAnchor>
  <twoCellAnchor editAs="oneCell">
    <from>
      <col>14</col>
      <colOff>320228</colOff>
      <row>74</row>
      <rowOff>178777</rowOff>
    </from>
    <to>
      <col>21</col>
      <colOff>229650</colOff>
      <row>88</row>
      <rowOff>33781</rowOff>
    </to>
    <pic>
      <nvPicPr>
        <cNvPr id="12" name="Resim 11"/>
        <cNvPicPr>
          <a:picLocks noChangeAspect="1"/>
        </cNvPicPr>
      </nvPicPr>
      <blipFill rotWithShape="1">
        <a:blip r:embed="rId11"/>
        <a:srcRect l="31775" t="22410" r="31450" b="47587"/>
        <a:stretch>
          <a:fillRect/>
        </a:stretch>
      </blipFill>
      <spPr>
        <a:xfrm>
          <a:off x="11323508" y="14016697"/>
          <a:ext cx="5677762" cy="2415324"/>
        </a:xfrm>
        <a:prstGeom prst="rect">
          <avLst/>
        </a:prstGeom>
        <a:ln>
          <a:prstDash val="solid"/>
        </a:ln>
      </spPr>
    </pic>
    <clientData/>
  </twoCellAnchor>
  <twoCellAnchor editAs="oneCell">
    <from>
      <col>21</col>
      <colOff>216275</colOff>
      <row>74</row>
      <rowOff>16410</rowOff>
    </from>
    <to>
      <col>30</col>
      <colOff>97687</colOff>
      <row>90</row>
      <rowOff>62192</rowOff>
    </to>
    <pic>
      <nvPicPr>
        <cNvPr id="13" name="Resim 12"/>
        <cNvPicPr>
          <a:picLocks noChangeAspect="1"/>
        </cNvPicPr>
      </nvPicPr>
      <blipFill rotWithShape="1">
        <a:blip r:embed="rId12"/>
        <a:srcRect l="31723" t="59452" r="33273" b="6748"/>
        <a:stretch>
          <a:fillRect/>
        </a:stretch>
      </blipFill>
      <spPr>
        <a:xfrm>
          <a:off x="16987895" y="13854330"/>
          <a:ext cx="5863112" cy="2971862"/>
        </a:xfrm>
        <a:prstGeom prst="rect">
          <avLst/>
        </a:prstGeom>
        <a:ln>
          <a:prstDash val="solid"/>
        </a:ln>
      </spPr>
    </pic>
    <clientData/>
  </twoCellAnchor>
  <twoCellAnchor editAs="oneCell">
    <from>
      <col>7</col>
      <colOff>368932</colOff>
      <row>70</row>
      <rowOff>94922</rowOff>
    </from>
    <to>
      <col>14</col>
      <colOff>300329</colOff>
      <row>86</row>
      <rowOff>22411</rowOff>
    </to>
    <pic>
      <nvPicPr>
        <cNvPr id="14" name="Resim 13"/>
        <cNvPicPr>
          <a:picLocks noChangeAspect="1"/>
        </cNvPicPr>
      </nvPicPr>
      <blipFill rotWithShape="1">
        <a:blip r:embed="rId13"/>
        <a:srcRect l="27757" t="32996" r="26345" b="27254"/>
        <a:stretch>
          <a:fillRect/>
        </a:stretch>
      </blipFill>
      <spPr>
        <a:xfrm>
          <a:off x="5062852" y="13201322"/>
          <a:ext cx="6240757" cy="2853569"/>
        </a:xfrm>
        <a:prstGeom prst="rect">
          <avLst/>
        </a:prstGeom>
        <a:ln>
          <a:prstDash val="solid"/>
        </a:ln>
      </spPr>
    </pic>
    <clientData/>
  </twoCellAnchor>
  <twoCellAnchor editAs="oneCell">
    <from>
      <col>0</col>
      <colOff>0</colOff>
      <row>71</row>
      <rowOff>123753</rowOff>
    </from>
    <to>
      <col>7</col>
      <colOff>89647</colOff>
      <row>80</row>
      <rowOff>96723</rowOff>
    </to>
    <pic>
      <nvPicPr>
        <cNvPr id="15" name="Resim 14"/>
        <cNvPicPr>
          <a:picLocks noChangeAspect="1"/>
        </cNvPicPr>
      </nvPicPr>
      <blipFill rotWithShape="1">
        <a:blip r:embed="rId14"/>
        <a:srcRect l="27313" t="42437" r="26349" b="32278"/>
        <a:stretch>
          <a:fillRect/>
        </a:stretch>
      </blipFill>
      <spPr>
        <a:xfrm>
          <a:off x="0" y="13413033"/>
          <a:ext cx="4783567" cy="1618890"/>
        </a:xfrm>
        <a:prstGeom prst="rect">
          <avLst/>
        </a:prstGeom>
        <a:ln>
          <a:prstDash val="solid"/>
        </a:ln>
      </spPr>
    </pic>
    <clientData/>
  </twoCellAnchor>
  <twoCellAnchor editAs="oneCell">
    <from>
      <col>0</col>
      <colOff>257735</colOff>
      <row>54</row>
      <rowOff>69186</rowOff>
    </from>
    <to>
      <col>8</col>
      <colOff>874059</colOff>
      <row>60</row>
      <rowOff>51011</rowOff>
    </to>
    <pic>
      <nvPicPr>
        <cNvPr id="16" name="Resim 15"/>
        <cNvPicPr>
          <a:picLocks noChangeAspect="1"/>
        </cNvPicPr>
      </nvPicPr>
      <blipFill rotWithShape="1">
        <a:blip r:embed="rId15"/>
        <a:srcRect l="26045" t="51376" r="24719" b="32680"/>
        <a:stretch>
          <a:fillRect/>
        </a:stretch>
      </blipFill>
      <spPr>
        <a:xfrm>
          <a:off x="257735" y="10249506"/>
          <a:ext cx="6316084" cy="1079105"/>
        </a:xfrm>
        <a:prstGeom prst="rect">
          <avLst/>
        </a:prstGeom>
        <a:ln>
          <a:prstDash val="solid"/>
        </a:ln>
      </spPr>
    </pic>
    <clientData/>
  </twoCellAnchor>
  <twoCellAnchor editAs="oneCell">
    <from>
      <col>45</col>
      <colOff>56028</colOff>
      <row>13</row>
      <rowOff>22412</rowOff>
    </from>
    <to>
      <col>55</col>
      <colOff>504264</colOff>
      <row>35</row>
      <rowOff>137930</rowOff>
    </to>
    <pic>
      <nvPicPr>
        <cNvPr id="17" name="Resim 16"/>
        <cNvPicPr>
          <a:picLocks noChangeAspect="1"/>
        </cNvPicPr>
      </nvPicPr>
      <blipFill rotWithShape="1">
        <a:blip r:embed="rId16"/>
        <a:srcRect l="11868" t="18902" r="28050" b="4615"/>
        <a:stretch>
          <a:fillRect/>
        </a:stretch>
      </blipFill>
      <spPr>
        <a:xfrm>
          <a:off x="33812628" y="2399852"/>
          <a:ext cx="6544236" cy="4428438"/>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25</col>
      <colOff>416606</colOff>
      <row>0</row>
      <rowOff>95250</rowOff>
    </from>
    <to>
      <col>33</col>
      <colOff>201706</colOff>
      <row>13</row>
      <rowOff>167470</rowOff>
    </to>
    <pic>
      <nvPicPr>
        <cNvPr id="2" name="Resim 1"/>
        <cNvPicPr>
          <a:picLocks noChangeAspect="1"/>
        </cNvPicPr>
      </nvPicPr>
      <blipFill rotWithShape="1">
        <a:blip r:embed="rId1"/>
        <a:srcRect l="12952" t="7171" r="11874" b="3140"/>
        <a:stretch>
          <a:fillRect/>
        </a:stretch>
      </blipFill>
      <spPr>
        <a:xfrm>
          <a:off x="18592547" y="95250"/>
          <a:ext cx="5141512" cy="2548720"/>
        </a:xfrm>
        <a:prstGeom prst="rect">
          <avLst/>
        </a:prstGeom>
        <a:ln>
          <a:prstDash val="solid"/>
        </a:ln>
      </spPr>
    </pic>
    <clientData/>
  </twoCellAnchor>
  <twoCellAnchor editAs="oneCell">
    <from>
      <col>0</col>
      <colOff>513284</colOff>
      <row>0</row>
      <rowOff>0</rowOff>
    </from>
    <to>
      <col>7</col>
      <colOff>272413</colOff>
      <row>13</row>
      <rowOff>83577</rowOff>
    </to>
    <pic>
      <nvPicPr>
        <cNvPr id="3" name="Resim 2"/>
        <cNvPicPr>
          <a:picLocks noChangeAspect="1"/>
        </cNvPicPr>
      </nvPicPr>
      <blipFill rotWithShape="1">
        <a:blip r:embed="rId2"/>
        <a:srcRect l="27972" t="26485" r="21865" b="20916"/>
        <a:stretch>
          <a:fillRect/>
        </a:stretch>
      </blipFill>
      <spPr>
        <a:xfrm>
          <a:off x="513284" y="0"/>
          <a:ext cx="4331129" cy="2560077"/>
        </a:xfrm>
        <a:prstGeom prst="rect">
          <avLst/>
        </a:prstGeom>
        <a:ln>
          <a:prstDash val="solid"/>
        </a:ln>
      </spPr>
    </pic>
    <clientData/>
  </twoCellAnchor>
  <twoCellAnchor editAs="oneCell">
    <from>
      <col>7</col>
      <colOff>388802</colOff>
      <row>0</row>
      <rowOff>114097</rowOff>
    </from>
    <to>
      <col>14</col>
      <colOff>127182</colOff>
      <row>13</row>
      <rowOff>63874</rowOff>
    </to>
    <pic>
      <nvPicPr>
        <cNvPr id="4" name="Resim 3"/>
        <cNvPicPr>
          <a:picLocks noChangeAspect="1"/>
        </cNvPicPr>
      </nvPicPr>
      <blipFill rotWithShape="1">
        <a:blip r:embed="rId3"/>
        <a:srcRect l="23649" t="22412" r="19467" b="36009"/>
        <a:stretch>
          <a:fillRect/>
        </a:stretch>
      </blipFill>
      <spPr>
        <a:xfrm>
          <a:off x="4501361" y="114097"/>
          <a:ext cx="5870436" cy="2426277"/>
        </a:xfrm>
        <a:prstGeom prst="rect">
          <avLst/>
        </a:prstGeom>
        <a:ln>
          <a:prstDash val="solid"/>
        </a:ln>
      </spPr>
    </pic>
    <clientData/>
  </twoCellAnchor>
  <twoCellAnchor editAs="oneCell">
    <from>
      <col>14</col>
      <colOff>661146</colOff>
      <row>2</row>
      <rowOff>15688</rowOff>
    </from>
    <to>
      <col>21</col>
      <colOff>159927</colOff>
      <row>13</row>
      <rowOff>39091</rowOff>
    </to>
    <pic>
      <nvPicPr>
        <cNvPr id="5" name="Resim 4"/>
        <cNvPicPr>
          <a:picLocks noChangeAspect="1"/>
        </cNvPicPr>
      </nvPicPr>
      <blipFill rotWithShape="1">
        <a:blip r:embed="rId4"/>
        <a:srcRect l="23650" t="22040" r="20041" b="41012"/>
        <a:stretch>
          <a:fillRect/>
        </a:stretch>
      </blipFill>
      <spPr>
        <a:xfrm>
          <a:off x="11373970" y="396688"/>
          <a:ext cx="5101722" cy="2118903"/>
        </a:xfrm>
        <a:prstGeom prst="rect">
          <avLst/>
        </a:prstGeom>
        <a:ln>
          <a:prstDash val="solid"/>
        </a:ln>
      </spPr>
    </pic>
    <clientData/>
  </twoCellAnchor>
  <twoCellAnchor editAs="oneCell">
    <from>
      <col>34</col>
      <colOff>280708</colOff>
      <row>0</row>
      <rowOff>44824</rowOff>
    </from>
    <to>
      <col>41</col>
      <colOff>541438</colOff>
      <row>12</row>
      <rowOff>175679</rowOff>
    </to>
    <pic>
      <nvPicPr>
        <cNvPr id="6" name="Resim 5"/>
        <cNvPicPr>
          <a:picLocks noChangeAspect="1"/>
        </cNvPicPr>
      </nvPicPr>
      <blipFill rotWithShape="1">
        <a:blip r:embed="rId5"/>
        <a:srcRect l="23857" t="14200" r="20178" b="38436"/>
        <a:stretch>
          <a:fillRect/>
        </a:stretch>
      </blipFill>
      <spPr>
        <a:xfrm>
          <a:off x="25213796" y="44824"/>
          <a:ext cx="5079260" cy="2416855"/>
        </a:xfrm>
        <a:prstGeom prst="rect">
          <avLst/>
        </a:prstGeom>
        <a:ln>
          <a:prstDash val="solid"/>
        </a:ln>
      </spPr>
    </pic>
    <clientData/>
  </twoCellAnchor>
  <twoCellAnchor editAs="oneCell">
    <from>
      <col>29</col>
      <colOff>478338</colOff>
      <row>53</row>
      <rowOff>75362</rowOff>
    </from>
    <to>
      <col>38</col>
      <colOff>219499</colOff>
      <row>73</row>
      <rowOff>59485</rowOff>
    </to>
    <pic>
      <nvPicPr>
        <cNvPr id="9" name="Resim 8"/>
        <cNvPicPr>
          <a:picLocks noChangeAspect="1"/>
        </cNvPicPr>
      </nvPicPr>
      <blipFill rotWithShape="1">
        <a:blip r:embed="rId6"/>
        <a:srcRect l="31567" t="31856" r="30304" b="23972"/>
        <a:stretch>
          <a:fillRect/>
        </a:stretch>
      </blipFill>
      <spPr>
        <a:xfrm>
          <a:off x="22072073" y="10541656"/>
          <a:ext cx="5870779" cy="3794123"/>
        </a:xfrm>
        <a:prstGeom prst="rect">
          <avLst/>
        </a:prstGeom>
        <a:ln>
          <a:prstDash val="solid"/>
        </a:ln>
      </spPr>
    </pic>
    <clientData/>
  </twoCellAnchor>
  <twoCellAnchor editAs="oneCell">
    <from>
      <col>21</col>
      <colOff>157959</colOff>
      <row>54</row>
      <rowOff>4698</rowOff>
    </from>
    <to>
      <col>28</col>
      <colOff>573372</colOff>
      <row>72</row>
      <rowOff>169667</rowOff>
    </to>
    <pic>
      <nvPicPr>
        <cNvPr id="12" name="Resim 11"/>
        <cNvPicPr>
          <a:picLocks noChangeAspect="1"/>
        </cNvPicPr>
      </nvPicPr>
      <blipFill>
        <a:blip r:embed="rId7"/>
        <a:stretch>
          <a:fillRect/>
        </a:stretch>
      </blipFill>
      <spPr>
        <a:xfrm>
          <a:off x="14759224" y="10639080"/>
          <a:ext cx="4965001" cy="3593969"/>
        </a:xfrm>
        <a:prstGeom prst="rect">
          <avLst/>
        </a:prstGeom>
        <a:ln>
          <a:prstDash val="solid"/>
        </a:ln>
      </spPr>
    </pic>
    <clientData/>
  </twoCellAnchor>
  <twoCellAnchor editAs="oneCell">
    <from>
      <col>14</col>
      <colOff>384363</colOff>
      <row>53</row>
      <rowOff>140635</rowOff>
    </from>
    <to>
      <col>21</col>
      <colOff>88349</colOff>
      <row>72</row>
      <rowOff>23821</rowOff>
    </to>
    <pic>
      <nvPicPr>
        <cNvPr id="13" name="Resim 12"/>
        <cNvPicPr>
          <a:picLocks noChangeAspect="1"/>
        </cNvPicPr>
      </nvPicPr>
      <blipFill>
        <a:blip r:embed="rId8"/>
        <a:stretch>
          <a:fillRect/>
        </a:stretch>
      </blipFill>
      <spPr>
        <a:xfrm>
          <a:off x="11097187" y="10595723"/>
          <a:ext cx="5306927" cy="3502686"/>
        </a:xfrm>
        <a:prstGeom prst="rect">
          <avLst/>
        </a:prstGeom>
        <a:ln>
          <a:prstDash val="solid"/>
        </a:ln>
      </spPr>
    </pic>
    <clientData/>
  </twoCellAnchor>
  <twoCellAnchor editAs="oneCell">
    <from>
      <col>7</col>
      <colOff>211876</colOff>
      <row>61</row>
      <rowOff>104904</rowOff>
    </from>
    <to>
      <col>12</col>
      <colOff>19303</colOff>
      <row>70</row>
      <rowOff>0</rowOff>
    </to>
    <pic>
      <nvPicPr>
        <cNvPr id="15" name="Resim 14"/>
        <cNvPicPr>
          <a:picLocks noChangeAspect="1"/>
        </cNvPicPr>
      </nvPicPr>
      <blipFill rotWithShape="1">
        <a:blip r:embed="rId9"/>
        <a:srcRect l="35577" t="31949" r="34367" b="47679"/>
        <a:stretch>
          <a:fillRect/>
        </a:stretch>
      </blipFill>
      <spPr>
        <a:xfrm>
          <a:off x="4783876" y="12095198"/>
          <a:ext cx="4244956" cy="1609596"/>
        </a:xfrm>
        <a:prstGeom prst="rect">
          <avLst/>
        </a:prstGeom>
        <a:ln>
          <a:prstDash val="solid"/>
        </a:ln>
      </spPr>
    </pic>
    <clientData/>
  </twoCellAnchor>
  <twoCellAnchor editAs="oneCell">
    <from>
      <col>0</col>
      <colOff>1</colOff>
      <row>60</row>
      <rowOff>115678</rowOff>
    </from>
    <to>
      <col>6</col>
      <colOff>639481</colOff>
      <row>69</row>
      <rowOff>179294</rowOff>
    </to>
    <pic>
      <nvPicPr>
        <cNvPr id="16" name="Resim 15"/>
        <cNvPicPr>
          <a:picLocks noChangeAspect="1"/>
        </cNvPicPr>
      </nvPicPr>
      <blipFill rotWithShape="1">
        <a:blip r:embed="rId10"/>
        <a:srcRect l="35786" t="45746" r="34523" b="33325"/>
        <a:stretch>
          <a:fillRect/>
        </a:stretch>
      </blipFill>
      <spPr>
        <a:xfrm>
          <a:off x="1" y="11893060"/>
          <a:ext cx="4483098" cy="1778116"/>
        </a:xfrm>
        <a:prstGeom prst="rect">
          <avLst/>
        </a:prstGeom>
        <a:ln>
          <a:prstDash val="solid"/>
        </a:ln>
      </spPr>
    </pic>
    <clientData/>
  </twoCellAnchor>
  <twoCellAnchor editAs="oneCell">
    <from>
      <col>14</col>
      <colOff>320228</colOff>
      <row>74</row>
      <rowOff>178777</rowOff>
    </from>
    <to>
      <col>21</col>
      <colOff>229650</colOff>
      <row>88</row>
      <rowOff>33781</rowOff>
    </to>
    <pic>
      <nvPicPr>
        <cNvPr id="17" name="Resim 16"/>
        <cNvPicPr>
          <a:picLocks noChangeAspect="1"/>
        </cNvPicPr>
      </nvPicPr>
      <blipFill rotWithShape="1">
        <a:blip r:embed="rId11"/>
        <a:srcRect l="31775" t="22410" r="31450" b="47587"/>
        <a:stretch>
          <a:fillRect/>
        </a:stretch>
      </blipFill>
      <spPr>
        <a:xfrm>
          <a:off x="11033052" y="14645571"/>
          <a:ext cx="5512363" cy="2522004"/>
        </a:xfrm>
        <a:prstGeom prst="rect">
          <avLst/>
        </a:prstGeom>
        <a:ln>
          <a:prstDash val="solid"/>
        </a:ln>
      </spPr>
    </pic>
    <clientData/>
  </twoCellAnchor>
  <twoCellAnchor editAs="oneCell">
    <from>
      <col>21</col>
      <colOff>216275</colOff>
      <row>74</row>
      <rowOff>16410</rowOff>
    </from>
    <to>
      <col>30</col>
      <colOff>97687</colOff>
      <row>90</row>
      <rowOff>62192</rowOff>
    </to>
    <pic>
      <nvPicPr>
        <cNvPr id="18" name="Resim 17"/>
        <cNvPicPr>
          <a:picLocks noChangeAspect="1"/>
        </cNvPicPr>
      </nvPicPr>
      <blipFill rotWithShape="1">
        <a:blip r:embed="rId12"/>
        <a:srcRect l="31723" t="59452" r="33273" b="6748"/>
        <a:stretch>
          <a:fillRect/>
        </a:stretch>
      </blipFill>
      <spPr>
        <a:xfrm>
          <a:off x="16532040" y="14483204"/>
          <a:ext cx="5697265" cy="3093782"/>
        </a:xfrm>
        <a:prstGeom prst="rect">
          <avLst/>
        </a:prstGeom>
        <a:ln>
          <a:prstDash val="solid"/>
        </a:ln>
      </spPr>
    </pic>
    <clientData/>
  </twoCellAnchor>
  <twoCellAnchor editAs="oneCell">
    <from>
      <col>7</col>
      <colOff>368932</colOff>
      <row>70</row>
      <rowOff>94922</rowOff>
    </from>
    <to>
      <col>14</col>
      <colOff>300329</colOff>
      <row>86</row>
      <rowOff>22411</rowOff>
    </to>
    <pic>
      <nvPicPr>
        <cNvPr id="19" name="Resim 18"/>
        <cNvPicPr>
          <a:picLocks noChangeAspect="1"/>
        </cNvPicPr>
      </nvPicPr>
      <blipFill rotWithShape="1">
        <a:blip r:embed="rId13"/>
        <a:srcRect l="27757" t="32996" r="26345" b="27254"/>
        <a:stretch>
          <a:fillRect/>
        </a:stretch>
      </blipFill>
      <spPr>
        <a:xfrm>
          <a:off x="4940932" y="13799716"/>
          <a:ext cx="6072221" cy="2975489"/>
        </a:xfrm>
        <a:prstGeom prst="rect">
          <avLst/>
        </a:prstGeom>
        <a:ln>
          <a:prstDash val="solid"/>
        </a:ln>
      </spPr>
    </pic>
    <clientData/>
  </twoCellAnchor>
  <twoCellAnchor editAs="oneCell">
    <from>
      <col>0</col>
      <colOff>0</colOff>
      <row>71</row>
      <rowOff>123753</rowOff>
    </from>
    <to>
      <col>7</col>
      <colOff>89647</colOff>
      <row>80</row>
      <rowOff>96723</rowOff>
    </to>
    <pic>
      <nvPicPr>
        <cNvPr id="24" name="Resim 23"/>
        <cNvPicPr>
          <a:picLocks noChangeAspect="1"/>
        </cNvPicPr>
      </nvPicPr>
      <blipFill rotWithShape="1">
        <a:blip r:embed="rId14"/>
        <a:srcRect l="27313" t="42437" r="26349" b="32278"/>
        <a:stretch>
          <a:fillRect/>
        </a:stretch>
      </blipFill>
      <spPr>
        <a:xfrm>
          <a:off x="0" y="13996635"/>
          <a:ext cx="4661647" cy="1687470"/>
        </a:xfrm>
        <a:prstGeom prst="rect">
          <avLst/>
        </a:prstGeom>
        <a:ln>
          <a:prstDash val="solid"/>
        </a:ln>
      </spPr>
    </pic>
    <clientData/>
  </twoCellAnchor>
  <twoCellAnchor editAs="oneCell">
    <from>
      <col>0</col>
      <colOff>257735</colOff>
      <row>54</row>
      <rowOff>69186</rowOff>
    </from>
    <to>
      <col>8</col>
      <colOff>874059</colOff>
      <row>60</row>
      <rowOff>51011</rowOff>
    </to>
    <pic>
      <nvPicPr>
        <cNvPr id="25" name="Resim 24"/>
        <cNvPicPr>
          <a:picLocks noChangeAspect="1"/>
        </cNvPicPr>
      </nvPicPr>
      <blipFill rotWithShape="1">
        <a:blip r:embed="rId15"/>
        <a:srcRect l="26045" t="51376" r="24719" b="32680"/>
        <a:stretch>
          <a:fillRect/>
        </a:stretch>
      </blipFill>
      <spPr>
        <a:xfrm>
          <a:off x="257735" y="10703568"/>
          <a:ext cx="6174442" cy="1124825"/>
        </a:xfrm>
        <a:prstGeom prst="rect">
          <avLst/>
        </a:prstGeom>
        <a:ln>
          <a:prstDash val="solid"/>
        </a:ln>
      </spPr>
    </pic>
    <clientData/>
  </twoCellAnchor>
  <twoCellAnchor editAs="oneCell">
    <from>
      <col>45</col>
      <colOff>56028</colOff>
      <row>13</row>
      <rowOff>22412</rowOff>
    </from>
    <to>
      <col>55</col>
      <colOff>504264</colOff>
      <row>35</row>
      <rowOff>137930</rowOff>
    </to>
    <pic>
      <nvPicPr>
        <cNvPr id="7" name="Resim 6"/>
        <cNvPicPr>
          <a:picLocks noChangeAspect="1"/>
        </cNvPicPr>
      </nvPicPr>
      <blipFill rotWithShape="1">
        <a:blip r:embed="rId16"/>
        <a:srcRect l="11868" t="18902" r="28050" b="4615"/>
        <a:stretch>
          <a:fillRect/>
        </a:stretch>
      </blipFill>
      <spPr>
        <a:xfrm>
          <a:off x="25717499" y="2498912"/>
          <a:ext cx="6499413" cy="4653900"/>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24</col>
      <colOff>21979</colOff>
      <row>39</row>
      <rowOff>1</rowOff>
    </from>
    <to>
      <col>29</col>
      <colOff>440198</colOff>
      <row>56</row>
      <rowOff>35007</rowOff>
    </to>
    <pic>
      <nvPicPr>
        <cNvPr id="4" name="Resim 3"/>
        <cNvPicPr>
          <a:picLocks noChangeAspect="1"/>
        </cNvPicPr>
      </nvPicPr>
      <blipFill>
        <a:blip r:embed="rId1"/>
        <a:stretch>
          <a:fillRect/>
        </a:stretch>
      </blipFill>
      <spPr>
        <a:xfrm>
          <a:off x="19870614" y="6352443"/>
          <a:ext cx="4491988" cy="2665371"/>
        </a:xfrm>
        <a:prstGeom prst="rect">
          <avLst/>
        </a:prstGeom>
        <a:ln>
          <a:prstDash val="solid"/>
        </a:ln>
      </spPr>
    </pic>
    <clientData/>
  </twoCellAnchor>
  <twoCellAnchor editAs="oneCell">
    <from>
      <col>16</col>
      <colOff>14655</colOff>
      <row>55</row>
      <rowOff>109790</rowOff>
    </from>
    <to>
      <col>23</col>
      <colOff>945174</colOff>
      <row>75</row>
      <rowOff>119765</rowOff>
    </to>
    <pic>
      <nvPicPr>
        <cNvPr id="5" name="Resim 4"/>
        <cNvPicPr>
          <a:picLocks noChangeAspect="1"/>
        </cNvPicPr>
      </nvPicPr>
      <blipFill>
        <a:blip r:embed="rId2"/>
        <a:stretch>
          <a:fillRect/>
        </a:stretch>
      </blipFill>
      <spPr>
        <a:xfrm>
          <a:off x="11210193" y="8946059"/>
          <a:ext cx="3941884" cy="3079956"/>
        </a:xfrm>
        <a:prstGeom prst="rect">
          <avLst/>
        </a:prstGeom>
        <a:ln>
          <a:prstDash val="solid"/>
        </a:ln>
      </spPr>
    </pic>
    <clientData/>
  </twoCellAnchor>
  <twoCellAnchor editAs="oneCell">
    <from>
      <col>24</col>
      <colOff>51288</colOff>
      <row>55</row>
      <rowOff>121117</rowOff>
    </from>
    <to>
      <col>29</col>
      <colOff>365517</colOff>
      <row>73</row>
      <rowOff>120293</rowOff>
    </to>
    <pic>
      <nvPicPr>
        <cNvPr id="7" name="Resim 6"/>
        <cNvPicPr>
          <a:picLocks noChangeAspect="1"/>
        </cNvPicPr>
      </nvPicPr>
      <blipFill>
        <a:blip r:embed="rId3"/>
        <a:stretch>
          <a:fillRect/>
        </a:stretch>
      </blipFill>
      <spPr>
        <a:xfrm>
          <a:off x="15240000" y="8957386"/>
          <a:ext cx="4387998" cy="2776080"/>
        </a:xfrm>
        <a:prstGeom prst="rect">
          <avLst/>
        </a:prstGeom>
        <a:ln>
          <a:prstDash val="solid"/>
        </a:ln>
      </spPr>
    </pic>
    <clientData/>
  </twoCellAnchor>
  <twoCellAnchor editAs="oneCell">
    <from>
      <col>14</col>
      <colOff>95250</colOff>
      <row>36</row>
      <rowOff>118325</rowOff>
    </from>
    <to>
      <col>22</col>
      <colOff>573092</colOff>
      <row>55</row>
      <rowOff>114503</rowOff>
    </to>
    <pic>
      <nvPicPr>
        <cNvPr id="9" name="Resim 8"/>
        <cNvPicPr>
          <a:picLocks noChangeAspect="1"/>
        </cNvPicPr>
      </nvPicPr>
      <blipFill>
        <a:blip r:embed="rId4"/>
        <a:stretch>
          <a:fillRect/>
        </a:stretch>
      </blipFill>
      <spPr>
        <a:xfrm>
          <a:off x="15584365" y="6031152"/>
          <a:ext cx="3524250" cy="2919620"/>
        </a:xfrm>
        <a:prstGeom prst="rect">
          <avLst/>
        </a:prstGeom>
        <a:ln>
          <a:prstDash val="solid"/>
        </a:ln>
      </spPr>
    </pic>
    <clientData/>
  </twoCellAnchor>
  <twoCellAnchor editAs="oneCell">
    <from>
      <col>16</col>
      <colOff>117231</colOff>
      <row>75</row>
      <rowOff>124558</rowOff>
    </from>
    <to>
      <col>25</col>
      <colOff>218790</colOff>
      <row>111</row>
      <rowOff>24475</rowOff>
    </to>
    <pic>
      <nvPicPr>
        <cNvPr id="10" name="Resim 9"/>
        <cNvPicPr>
          <a:picLocks noChangeAspect="1"/>
        </cNvPicPr>
      </nvPicPr>
      <blipFill>
        <a:blip r:embed="rId5"/>
        <a:stretch>
          <a:fillRect/>
        </a:stretch>
      </blipFill>
      <spPr>
        <a:xfrm>
          <a:off x="15972693" y="12030808"/>
          <a:ext cx="4930001" cy="5314513"/>
        </a:xfrm>
        <a:prstGeom prst="rect">
          <avLst/>
        </a:prstGeom>
        <a:ln>
          <a:prstDash val="solid"/>
        </a:ln>
      </spPr>
    </pic>
    <clientData/>
  </twoCellAnchor>
  <twoCellAnchor editAs="oneCell">
    <from>
      <col>25</col>
      <colOff>712051</colOff>
      <row>74</row>
      <rowOff>117230</rowOff>
    </from>
    <to>
      <col>30</col>
      <colOff>351139</colOff>
      <row>105</row>
      <rowOff>2454</rowOff>
    </to>
    <pic>
      <nvPicPr>
        <cNvPr id="12" name="Resim 11"/>
        <cNvPicPr>
          <a:picLocks noChangeAspect="1"/>
        </cNvPicPr>
      </nvPicPr>
      <blipFill>
        <a:blip r:embed="rId6"/>
        <a:stretch>
          <a:fillRect/>
        </a:stretch>
      </blipFill>
      <spPr>
        <a:xfrm>
          <a:off x="20883070" y="11876942"/>
          <a:ext cx="4211088" cy="4567127"/>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15</col>
      <colOff>876300</colOff>
      <row>1</row>
      <rowOff>0</rowOff>
    </from>
    <to>
      <col>22</col>
      <colOff>195134</colOff>
      <row>30</row>
      <rowOff>107643</rowOff>
    </to>
    <pic>
      <nvPicPr>
        <cNvPr id="22" name="Resim 21"/>
        <cNvPicPr>
          <a:picLocks noChangeAspect="1"/>
        </cNvPicPr>
      </nvPicPr>
      <blipFill>
        <a:blip r:embed="rId1"/>
        <a:stretch>
          <a:fillRect/>
        </a:stretch>
      </blipFill>
      <spPr>
        <a:xfrm>
          <a:off x="10629900" y="190500"/>
          <a:ext cx="9510584" cy="6712278"/>
        </a:xfrm>
        <a:prstGeom prst="rect">
          <avLst/>
        </a:prstGeom>
        <a:ln>
          <a:prstDash val="solid"/>
        </a:ln>
      </spPr>
    </pic>
    <clientData/>
  </twoCellAnchor>
  <twoCellAnchor editAs="oneCell">
    <from>
      <col>21</col>
      <colOff>845820</colOff>
      <row>1</row>
      <rowOff>81915</rowOff>
    </from>
    <to>
      <col>27</col>
      <colOff>108585</colOff>
      <row>13</row>
      <rowOff>67543</rowOff>
    </to>
    <pic>
      <nvPicPr>
        <cNvPr id="23" name="Resim 22"/>
        <cNvPicPr>
          <a:picLocks noChangeAspect="1"/>
        </cNvPicPr>
      </nvPicPr>
      <blipFill>
        <a:blip r:embed="rId2"/>
        <a:stretch>
          <a:fillRect/>
        </a:stretch>
      </blipFill>
      <spPr>
        <a:xfrm>
          <a:off x="26304240" y="264795"/>
          <a:ext cx="4497705" cy="2690728"/>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32</col>
      <colOff>133350</colOff>
      <row>0</row>
      <rowOff>85724</rowOff>
    </from>
    <to>
      <col>39</col>
      <colOff>597451</colOff>
      <row>16</row>
      <rowOff>57149</rowOff>
    </to>
    <pic>
      <nvPicPr>
        <cNvPr id="4" name="Resim 3"/>
        <cNvPicPr>
          <a:picLocks noChangeAspect="1"/>
        </cNvPicPr>
      </nvPicPr>
      <blipFill rotWithShape="1">
        <a:blip r:embed="rId1"/>
        <a:srcRect l="39833" t="33967" r="6025" b="8757"/>
        <a:stretch>
          <a:fillRect/>
        </a:stretch>
      </blipFill>
      <spPr>
        <a:xfrm>
          <a:off x="33280350" y="85724"/>
          <a:ext cx="5074201" cy="3019425"/>
        </a:xfrm>
        <a:prstGeom prst="rect">
          <avLst/>
        </a:prstGeom>
        <a:ln>
          <a:prstDash val="solid"/>
        </a:ln>
      </spPr>
    </pic>
    <clientData/>
  </twoCellAnchor>
  <twoCellAnchor editAs="oneCell">
    <from>
      <col>24</col>
      <colOff>1457325</colOff>
      <row>0</row>
      <rowOff>76200</rowOff>
    </from>
    <to>
      <col>30</col>
      <colOff>340099</colOff>
      <row>21</row>
      <rowOff>215364</rowOff>
    </to>
    <pic>
      <nvPicPr>
        <cNvPr id="5" name="Resim 4"/>
        <cNvPicPr>
          <a:picLocks noChangeAspect="1"/>
        </cNvPicPr>
      </nvPicPr>
      <blipFill rotWithShape="1">
        <a:blip r:embed="rId2"/>
        <a:srcRect l="38944" t="24529" r="6863" b="8045"/>
        <a:stretch>
          <a:fillRect/>
        </a:stretch>
      </blipFill>
      <spPr>
        <a:xfrm>
          <a:off x="26936700" y="76200"/>
          <a:ext cx="5915025" cy="4139664"/>
        </a:xfrm>
        <a:prstGeom prst="rect">
          <avLst/>
        </a:prstGeom>
        <a:ln>
          <a:prstDash val="solid"/>
        </a:ln>
      </spPr>
    </pic>
    <clientData/>
  </twoCellAnchor>
  <twoCellAnchor editAs="oneCell">
    <from>
      <col>19</col>
      <colOff>28576</colOff>
      <row>0</row>
      <rowOff>28575</rowOff>
    </from>
    <to>
      <col>24</col>
      <colOff>1409700</colOff>
      <row>21</row>
      <rowOff>227379</rowOff>
    </to>
    <pic>
      <nvPicPr>
        <cNvPr id="6" name="Resim 5"/>
        <cNvPicPr>
          <a:picLocks noChangeAspect="1"/>
        </cNvPicPr>
      </nvPicPr>
      <blipFill rotWithShape="1">
        <a:blip r:embed="rId3"/>
        <a:srcRect l="38754" t="15094" r="5482" b="21194"/>
        <a:stretch>
          <a:fillRect/>
        </a:stretch>
      </blipFill>
      <spPr>
        <a:xfrm>
          <a:off x="17897476" y="28575"/>
          <a:ext cx="6534149" cy="4199304"/>
        </a:xfrm>
        <a:prstGeom prst="rect">
          <avLst/>
        </a:prstGeom>
        <a:ln>
          <a:prstDash val="solid"/>
        </a:ln>
      </spPr>
    </pic>
    <clientData/>
  </twoCellAnchor>
  <twoCellAnchor editAs="oneCell">
    <from>
      <col>0</col>
      <colOff>291353</colOff>
      <row>32</row>
      <rowOff>177613</rowOff>
    </from>
    <to>
      <col>5</col>
      <colOff>190500</colOff>
      <row>40</row>
      <rowOff>28828</rowOff>
    </to>
    <pic>
      <nvPicPr>
        <cNvPr id="7" name="Resim 6"/>
        <cNvPicPr>
          <a:picLocks noChangeAspect="1"/>
        </cNvPicPr>
      </nvPicPr>
      <blipFill rotWithShape="1">
        <a:blip r:embed="rId4"/>
        <a:srcRect l="4323" t="14632" r="19104" b="43326"/>
        <a:stretch>
          <a:fillRect/>
        </a:stretch>
      </blipFill>
      <spPr>
        <a:xfrm>
          <a:off x="291353" y="6497731"/>
          <a:ext cx="5961529" cy="1756215"/>
        </a:xfrm>
        <a:prstGeom prst="rect">
          <avLst/>
        </a:prstGeom>
        <a:ln>
          <a:prstDash val="solid"/>
        </a:ln>
      </spPr>
    </pic>
    <clientData/>
  </twoCellAnchor>
  <twoCellAnchor editAs="oneCell">
    <from>
      <col>5</col>
      <colOff>422088</colOff>
      <row>34</row>
      <rowOff>28761</rowOff>
    </from>
    <to>
      <col>9</col>
      <colOff>383988</colOff>
      <row>73</row>
      <rowOff>162112</rowOff>
    </to>
    <pic>
      <nvPicPr>
        <cNvPr id="11" name="Resim 10"/>
        <cNvPicPr>
          <a:picLocks noChangeAspect="1"/>
        </cNvPicPr>
      </nvPicPr>
      <blipFill rotWithShape="1">
        <a:blip r:embed="rId5"/>
        <a:srcRect l="49277" t="14910" r="29210" b="9711"/>
        <a:stretch>
          <a:fillRect/>
        </a:stretch>
      </blipFill>
      <spPr>
        <a:xfrm>
          <a:off x="6484470" y="6729879"/>
          <a:ext cx="3928783" cy="7943851"/>
        </a:xfrm>
        <a:prstGeom prst="rect">
          <avLst/>
        </a:prstGeom>
        <a:ln>
          <a:prstDash val="solid"/>
        </a:ln>
      </spPr>
    </pic>
    <clientData/>
  </twoCellAnchor>
  <twoCellAnchor editAs="oneCell">
    <from>
      <col>42</col>
      <colOff>19050</colOff>
      <row>0</row>
      <rowOff>0</rowOff>
    </from>
    <to>
      <col>54</col>
      <colOff>114300</colOff>
      <row>8</row>
      <rowOff>40293</rowOff>
    </to>
    <pic>
      <nvPicPr>
        <cNvPr id="12" name="Resim 11"/>
        <cNvPicPr>
          <a:picLocks noChangeAspect="1" noChangeArrowheads="1"/>
        </cNvPicPr>
      </nvPicPr>
      <blipFill>
        <a:blip r:embed="rId6"/>
        <a:srcRect/>
        <a:stretch>
          <a:fillRect/>
        </a:stretch>
      </blipFill>
      <spPr bwMode="auto">
        <a:xfrm>
          <a:off x="39528750" y="0"/>
          <a:ext cx="7410450" cy="1564293"/>
        </a:xfrm>
        <a:prstGeom prst="rect">
          <avLst/>
        </a:prstGeom>
        <a:noFill/>
        <a:ln>
          <a:prstDash val="solid"/>
        </a:ln>
      </spPr>
    </pic>
    <clientData/>
  </twoCellAnchor>
  <twoCellAnchor editAs="oneCell">
    <from>
      <col>42</col>
      <colOff>19051</colOff>
      <row>8</row>
      <rowOff>28575</rowOff>
    </from>
    <to>
      <col>54</col>
      <colOff>123825</colOff>
      <row>21</row>
      <rowOff>267661</rowOff>
    </to>
    <pic>
      <nvPicPr>
        <cNvPr id="14" name="Resim 13"/>
        <cNvPicPr>
          <a:picLocks noChangeAspect="1" noChangeArrowheads="1"/>
        </cNvPicPr>
      </nvPicPr>
      <blipFill>
        <a:blip r:embed="rId7"/>
        <a:srcRect/>
        <a:stretch>
          <a:fillRect/>
        </a:stretch>
      </blipFill>
      <spPr bwMode="auto">
        <a:xfrm>
          <a:off x="37147501" y="1552575"/>
          <a:ext cx="7419974" cy="2715586"/>
        </a:xfrm>
        <a:prstGeom prst="rect">
          <avLst/>
        </a:prstGeom>
        <a:noFill/>
        <a:ln>
          <a:prstDash val="solid"/>
        </a:ln>
      </spPr>
    </pic>
    <clientData/>
  </twoCellAnchor>
  <twoCellAnchor editAs="oneCell">
    <from>
      <col>42</col>
      <colOff>19052</colOff>
      <row>21</row>
      <rowOff>295276</rowOff>
    </from>
    <to>
      <col>54</col>
      <colOff>123826</colOff>
      <row>38</row>
      <rowOff>124304</rowOff>
    </to>
    <pic>
      <nvPicPr>
        <cNvPr id="16" name="Resim 15"/>
        <cNvPicPr>
          <a:picLocks noChangeAspect="1" noChangeArrowheads="1"/>
        </cNvPicPr>
      </nvPicPr>
      <blipFill>
        <a:blip r:embed="rId8"/>
        <a:srcRect/>
        <a:stretch>
          <a:fillRect/>
        </a:stretch>
      </blipFill>
      <spPr bwMode="auto">
        <a:xfrm>
          <a:off x="37147502" y="4295776"/>
          <a:ext cx="7419974" cy="3667603"/>
        </a:xfrm>
        <a:prstGeom prst="rect">
          <avLst/>
        </a:prstGeom>
        <a:noFill/>
        <a:ln>
          <a:prstDash val="solid"/>
        </a:ln>
      </spPr>
    </pic>
    <clientData/>
  </twoCellAnchor>
  <twoCellAnchor editAs="oneCell">
    <from>
      <col>42</col>
      <colOff>28576</colOff>
      <row>38</row>
      <rowOff>171451</rowOff>
    </from>
    <to>
      <col>54</col>
      <colOff>142875</colOff>
      <row>60</row>
      <rowOff>82974</rowOff>
    </to>
    <pic>
      <nvPicPr>
        <cNvPr id="17" name="Resim 16"/>
        <cNvPicPr>
          <a:picLocks noChangeAspect="1" noChangeArrowheads="1"/>
        </cNvPicPr>
      </nvPicPr>
      <blipFill>
        <a:blip r:embed="rId9"/>
        <a:srcRect/>
        <a:stretch>
          <a:fillRect/>
        </a:stretch>
      </blipFill>
      <spPr bwMode="auto">
        <a:xfrm>
          <a:off x="37157026" y="8010526"/>
          <a:ext cx="7429499" cy="4102523"/>
        </a:xfrm>
        <a:prstGeom prst="rect">
          <avLst/>
        </a:prstGeom>
        <a:noFill/>
        <a:ln>
          <a:prstDash val="solid"/>
        </a:ln>
      </spPr>
    </pic>
    <clientData/>
  </twoCellAnchor>
  <twoCellAnchor editAs="oneCell">
    <from>
      <col>42</col>
      <colOff>1</colOff>
      <row>60</row>
      <rowOff>133351</rowOff>
    </from>
    <to>
      <col>48</col>
      <colOff>552451</colOff>
      <row>73</row>
      <rowOff>610390</rowOff>
    </to>
    <pic>
      <nvPicPr>
        <cNvPr id="19" name="Resim 18"/>
        <cNvPicPr>
          <a:picLocks noChangeAspect="1" noChangeArrowheads="1"/>
        </cNvPicPr>
      </nvPicPr>
      <blipFill>
        <a:blip r:embed="rId10"/>
        <a:srcRect/>
        <a:stretch>
          <a:fillRect/>
        </a:stretch>
      </blipFill>
      <spPr bwMode="auto">
        <a:xfrm>
          <a:off x="39509701" y="12163426"/>
          <a:ext cx="4210050" cy="2953539"/>
        </a:xfrm>
        <a:prstGeom prst="rect">
          <avLst/>
        </a:prstGeom>
        <a:noFill/>
        <a:ln>
          <a:prstDash val="solid"/>
        </a:ln>
      </spPr>
    </pic>
    <clientData/>
  </twoCellAnchor>
  <twoCellAnchor editAs="oneCell">
    <from>
      <col>48</col>
      <colOff>590551</colOff>
      <row>60</row>
      <rowOff>142875</rowOff>
    </from>
    <to>
      <col>54</col>
      <colOff>533400</colOff>
      <row>71</row>
      <rowOff>167034</rowOff>
    </to>
    <pic>
      <nvPicPr>
        <cNvPr id="20" name="Resim 19"/>
        <cNvPicPr>
          <a:picLocks noChangeAspect="1" noChangeArrowheads="1"/>
        </cNvPicPr>
      </nvPicPr>
      <blipFill>
        <a:blip r:embed="rId11"/>
        <a:srcRect/>
        <a:stretch>
          <a:fillRect/>
        </a:stretch>
      </blipFill>
      <spPr bwMode="auto">
        <a:xfrm>
          <a:off x="43757851" y="12172950"/>
          <a:ext cx="3600449" cy="2119659"/>
        </a:xfrm>
        <a:prstGeom prst="rect">
          <avLst/>
        </a:prstGeom>
        <a:noFill/>
        <a:ln>
          <a:prstDash val="solid"/>
        </a:ln>
      </spPr>
    </pic>
    <clientData/>
  </twoCellAnchor>
  <twoCellAnchor editAs="oneCell">
    <from>
      <col>42</col>
      <colOff>9526</colOff>
      <row>73</row>
      <rowOff>628650</rowOff>
    </from>
    <to>
      <col>48</col>
      <colOff>571500</colOff>
      <row>82</row>
      <rowOff>128933</rowOff>
    </to>
    <pic>
      <nvPicPr>
        <cNvPr id="22" name="Resim 21"/>
        <cNvPicPr>
          <a:picLocks noChangeAspect="1" noChangeArrowheads="1"/>
        </cNvPicPr>
      </nvPicPr>
      <blipFill>
        <a:blip r:embed="rId12"/>
        <a:srcRect/>
        <a:stretch>
          <a:fillRect/>
        </a:stretch>
      </blipFill>
      <spPr bwMode="auto">
        <a:xfrm>
          <a:off x="39519226" y="15135225"/>
          <a:ext cx="4219574" cy="1976783"/>
        </a:xfrm>
        <a:prstGeom prst="rect">
          <avLst/>
        </a:prstGeom>
        <a:noFill/>
        <a:ln>
          <a:prstDash val="solid"/>
        </a:ln>
      </spPr>
    </pic>
    <clientData/>
  </twoCellAnchor>
  <twoCellAnchor editAs="oneCell">
    <from>
      <col>48</col>
      <colOff>600075</colOff>
      <row>72</row>
      <rowOff>19050</rowOff>
    </from>
    <to>
      <col>54</col>
      <colOff>495300</colOff>
      <row>84</row>
      <rowOff>88896</rowOff>
    </to>
    <pic>
      <nvPicPr>
        <cNvPr id="23" name="Resim 22"/>
        <cNvPicPr>
          <a:picLocks noChangeAspect="1" noChangeArrowheads="1"/>
        </cNvPicPr>
      </nvPicPr>
      <blipFill>
        <a:blip r:embed="rId13"/>
        <a:srcRect/>
        <a:stretch>
          <a:fillRect/>
        </a:stretch>
      </blipFill>
      <spPr bwMode="auto">
        <a:xfrm>
          <a:off x="43767375" y="14335125"/>
          <a:ext cx="3552825" cy="3117846"/>
        </a:xfrm>
        <a:prstGeom prst="rect">
          <avLst/>
        </a:prstGeom>
        <a:noFill/>
        <a:ln>
          <a:prstDash val="solid"/>
        </a:ln>
      </spPr>
    </pic>
    <clientData/>
  </twoCellAnchor>
  <twoCellAnchor editAs="oneCell">
    <from>
      <col>41</col>
      <colOff>603472</colOff>
      <row>84</row>
      <rowOff>142875</rowOff>
    </from>
    <to>
      <col>56</col>
      <colOff>523875</colOff>
      <row>95</row>
      <rowOff>3084</rowOff>
    </to>
    <pic>
      <nvPicPr>
        <cNvPr id="24" name="Resim 23"/>
        <cNvPicPr>
          <a:picLocks noChangeAspect="1" noChangeArrowheads="1"/>
        </cNvPicPr>
      </nvPicPr>
      <blipFill>
        <a:blip r:embed="rId14"/>
        <a:srcRect/>
        <a:stretch>
          <a:fillRect/>
        </a:stretch>
      </blipFill>
      <spPr bwMode="auto">
        <a:xfrm>
          <a:off x="39503572" y="17506950"/>
          <a:ext cx="9064403" cy="1952123"/>
        </a:xfrm>
        <a:prstGeom prst="rect">
          <avLst/>
        </a:prstGeom>
        <a:noFill/>
        <a:ln>
          <a:prstDash val="solid"/>
        </a:ln>
      </spPr>
    </pic>
    <clientData/>
  </twoCellAnchor>
  <twoCellAnchor editAs="oneCell">
    <from>
      <col>0</col>
      <colOff>0</colOff>
      <row>40</row>
      <rowOff>180977</rowOff>
    </from>
    <to>
      <col>5</col>
      <colOff>257174</colOff>
      <row>57</row>
      <rowOff>177185</rowOff>
    </to>
    <pic>
      <nvPicPr>
        <cNvPr id="8" name="Resim 7"/>
        <cNvPicPr>
          <a:picLocks noChangeAspect="1"/>
        </cNvPicPr>
      </nvPicPr>
      <blipFill rotWithShape="1">
        <a:blip r:embed="rId15"/>
        <a:srcRect l="7657" t="13520" r="11864" b="13415"/>
        <a:stretch>
          <a:fillRect/>
        </a:stretch>
      </blipFill>
      <spPr>
        <a:xfrm>
          <a:off x="0" y="8401052"/>
          <a:ext cx="6334124" cy="3234708"/>
        </a:xfrm>
        <a:prstGeom prst="rect">
          <avLst/>
        </a:prstGeom>
        <a:ln>
          <a:prstDash val="solid"/>
        </a:ln>
      </spPr>
    </pic>
    <clientData/>
  </twoCellAnchor>
  <twoCellAnchor editAs="oneCell">
    <from>
      <col>0</col>
      <colOff>0</colOff>
      <row>58</row>
      <rowOff>38101</rowOff>
    </from>
    <to>
      <col>5</col>
      <colOff>322301</colOff>
      <row>81</row>
      <rowOff>171450</rowOff>
    </to>
    <pic>
      <nvPicPr>
        <cNvPr id="9" name="Resim 8"/>
        <cNvPicPr>
          <a:picLocks noChangeAspect="1"/>
        </cNvPicPr>
      </nvPicPr>
      <blipFill rotWithShape="1">
        <a:blip r:embed="rId16"/>
        <a:srcRect l="23128" t="11113" r="24626" b="14526"/>
        <a:stretch>
          <a:fillRect/>
        </a:stretch>
      </blipFill>
      <spPr>
        <a:xfrm>
          <a:off x="0" y="11687176"/>
          <a:ext cx="6399251" cy="5276849"/>
        </a:xfrm>
        <a:prstGeom prst="rect">
          <avLst/>
        </a:prstGeom>
        <a:ln>
          <a:prstDash val="solid"/>
        </a:ln>
      </spPr>
    </pic>
    <clientData/>
  </twoCellAnchor>
  <twoCellAnchor editAs="oneCell">
    <from>
      <col>0</col>
      <colOff>0</colOff>
      <row>82</row>
      <rowOff>114301</rowOff>
    </from>
    <to>
      <col>5</col>
      <colOff>238125</colOff>
      <row>98</row>
      <rowOff>137223</rowOff>
    </to>
    <pic>
      <nvPicPr>
        <cNvPr id="10" name="Resim 9"/>
        <cNvPicPr>
          <a:picLocks noChangeAspect="1"/>
        </cNvPicPr>
      </nvPicPr>
      <blipFill rotWithShape="1">
        <a:blip r:embed="rId17"/>
        <a:srcRect l="23322" t="20846" r="24430" b="33986"/>
        <a:stretch>
          <a:fillRect/>
        </a:stretch>
      </blipFill>
      <spPr>
        <a:xfrm>
          <a:off x="0" y="17097376"/>
          <a:ext cx="6315075" cy="3070922"/>
        </a:xfrm>
        <a:prstGeom prst="rect">
          <avLst/>
        </a:prstGeom>
        <a:ln>
          <a:prstDash val="solid"/>
        </a:ln>
      </spPr>
    </pic>
    <clientData/>
  </twoCellAnchor>
  <twoCellAnchor editAs="oneCell">
    <from>
      <col>3</col>
      <colOff>1423147</colOff>
      <row>0</row>
      <rowOff>22412</rowOff>
    </from>
    <to>
      <col>6</col>
      <colOff>930122</colOff>
      <row>14</row>
      <rowOff>32311</rowOff>
    </to>
    <pic>
      <nvPicPr>
        <cNvPr id="13" name="Resim 12"/>
        <cNvPicPr>
          <a:picLocks noChangeAspect="1"/>
        </cNvPicPr>
      </nvPicPr>
      <blipFill>
        <a:blip r:embed="rId18"/>
        <a:stretch>
          <a:fillRect/>
        </a:stretch>
      </blipFill>
      <spPr>
        <a:xfrm>
          <a:off x="4258235" y="22412"/>
          <a:ext cx="4258269" cy="2676899"/>
        </a:xfrm>
        <a:prstGeom prst="rect">
          <avLst/>
        </a:prstGeom>
        <a:ln>
          <a:prstDash val="solid"/>
        </a:ln>
      </spPr>
    </pic>
    <clientData/>
  </twoCellAnchor>
  <twoCellAnchor editAs="oneCell">
    <from>
      <col>6</col>
      <colOff>952501</colOff>
      <row>0</row>
      <rowOff>56030</rowOff>
    </from>
    <to>
      <col>11</col>
      <colOff>818038</colOff>
      <row>12</row>
      <rowOff>113507</rowOff>
    </to>
    <pic>
      <nvPicPr>
        <cNvPr id="18" name="Resim 17"/>
        <cNvPicPr>
          <a:picLocks noChangeAspect="1"/>
        </cNvPicPr>
      </nvPicPr>
      <blipFill>
        <a:blip r:embed="rId19"/>
        <a:stretch>
          <a:fillRect/>
        </a:stretch>
      </blipFill>
      <spPr>
        <a:xfrm>
          <a:off x="8538883" y="56030"/>
          <a:ext cx="4067743" cy="2343477"/>
        </a:xfrm>
        <a:prstGeom prst="rect">
          <avLst/>
        </a:prstGeom>
        <a:ln>
          <a:prstDash val="solid"/>
        </a:ln>
      </spPr>
    </pic>
    <clientData/>
  </twoCellAnchor>
  <twoCellAnchor editAs="oneCell">
    <from>
      <col>0</col>
      <colOff>11207</colOff>
      <row>0</row>
      <rowOff>44824</rowOff>
    </from>
    <to>
      <col>3</col>
      <colOff>1405809</colOff>
      <row>12</row>
      <rowOff>7038</rowOff>
    </to>
    <pic>
      <nvPicPr>
        <cNvPr id="21" name="Resim 20"/>
        <cNvPicPr>
          <a:picLocks noChangeAspect="1"/>
        </cNvPicPr>
      </nvPicPr>
      <blipFill>
        <a:blip r:embed="rId20"/>
        <a:stretch>
          <a:fillRect/>
        </a:stretch>
      </blipFill>
      <spPr>
        <a:xfrm>
          <a:off x="11207" y="44824"/>
          <a:ext cx="4229690" cy="2248214"/>
        </a:xfrm>
        <a:prstGeom prst="rect">
          <avLst/>
        </a:prstGeom>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76200</colOff>
      <row>0</row>
      <rowOff>0</rowOff>
    </from>
    <to>
      <col>3</col>
      <colOff>266700</colOff>
      <row>17</row>
      <rowOff>32629</rowOff>
    </to>
    <pic>
      <nvPicPr>
        <cNvPr id="2" name="Resim 1"/>
        <cNvPicPr>
          <a:picLocks noChangeAspect="1"/>
        </cNvPicPr>
      </nvPicPr>
      <blipFill rotWithShape="1">
        <a:blip r:embed="rId1"/>
        <a:srcRect l="6488" t="20820" r="51883" b="6709"/>
        <a:stretch>
          <a:fillRect/>
        </a:stretch>
      </blipFill>
      <spPr>
        <a:xfrm>
          <a:off x="76200" y="0"/>
          <a:ext cx="4581525" cy="3556879"/>
        </a:xfrm>
        <a:prstGeom prst="rect">
          <avLst/>
        </a:prstGeom>
        <a:ln>
          <a:prstDash val="solid"/>
        </a:ln>
      </spPr>
    </pic>
    <clientData/>
  </twoCellAnchor>
  <twoCellAnchor editAs="oneCell">
    <from>
      <col>4</col>
      <colOff>361949</colOff>
      <row>0</row>
      <rowOff>171450</rowOff>
    </from>
    <to>
      <col>11</col>
      <colOff>685800</colOff>
      <row>17</row>
      <rowOff>142885</rowOff>
    </to>
    <pic>
      <nvPicPr>
        <cNvPr id="6" name="Resim 5"/>
        <cNvPicPr>
          <a:picLocks noChangeAspect="1"/>
        </cNvPicPr>
      </nvPicPr>
      <blipFill>
        <a:blip r:embed="rId2"/>
        <a:stretch>
          <a:fillRect/>
        </a:stretch>
      </blipFill>
      <spPr>
        <a:xfrm>
          <a:off x="5362574" y="171450"/>
          <a:ext cx="5905501" cy="3495685"/>
        </a:xfrm>
        <a:prstGeom prst="rect">
          <avLst/>
        </a:prstGeom>
        <a:ln>
          <a:prstDash val="solid"/>
        </a:ln>
      </spPr>
    </pic>
    <clientData/>
  </twoCellAnchor>
  <twoCellAnchor editAs="oneCell">
    <from>
      <col>21</col>
      <colOff>523875</colOff>
      <row>0</row>
      <rowOff>0</rowOff>
    </from>
    <to>
      <col>26</col>
      <colOff>362800</colOff>
      <row>32</row>
      <rowOff>146352</rowOff>
    </to>
    <pic>
      <nvPicPr>
        <cNvPr id="8" name="Resim 7"/>
        <cNvPicPr>
          <a:picLocks noChangeAspect="1"/>
        </cNvPicPr>
      </nvPicPr>
      <blipFill>
        <a:blip r:embed="rId3"/>
        <a:stretch>
          <a:fillRect/>
        </a:stretch>
      </blipFill>
      <spPr>
        <a:xfrm>
          <a:off x="21631275" y="0"/>
          <a:ext cx="5687275" cy="7413927"/>
        </a:xfrm>
        <a:prstGeom prst="rect">
          <avLst/>
        </a:prstGeom>
        <a:ln>
          <a:prstDash val="solid"/>
        </a:ln>
      </spPr>
    </pic>
    <clientData/>
  </twoCellAnchor>
  <twoCellAnchor editAs="oneCell">
    <from>
      <col>26</col>
      <colOff>295276</colOff>
      <row>0</row>
      <rowOff>0</rowOff>
    </from>
    <to>
      <col>40</col>
      <colOff>419100</colOff>
      <row>29</row>
      <rowOff>5648</rowOff>
    </to>
    <pic>
      <nvPicPr>
        <cNvPr id="9" name="Resim 8"/>
        <cNvPicPr>
          <a:picLocks noChangeAspect="1"/>
        </cNvPicPr>
      </nvPicPr>
      <blipFill>
        <a:blip r:embed="rId4"/>
        <a:stretch>
          <a:fillRect/>
        </a:stretch>
      </blipFill>
      <spPr>
        <a:xfrm>
          <a:off x="31480126" y="0"/>
          <a:ext cx="8658224" cy="6692198"/>
        </a:xfrm>
        <a:prstGeom prst="rect">
          <avLst/>
        </a:prstGeom>
        <a:ln>
          <a:prstDash val="solid"/>
        </a:ln>
      </spPr>
    </pic>
    <clientData/>
  </twoCellAnchor>
  <twoCellAnchor editAs="oneCell">
    <from>
      <col>26</col>
      <colOff>361950</colOff>
      <row>29</row>
      <rowOff>0</rowOff>
    </from>
    <to>
      <col>31</col>
      <colOff>324270</colOff>
      <row>42</row>
      <rowOff>48007</rowOff>
    </to>
    <pic>
      <nvPicPr>
        <cNvPr id="10" name="Resim 9"/>
        <cNvPicPr>
          <a:picLocks noChangeAspect="1"/>
        </cNvPicPr>
      </nvPicPr>
      <blipFill>
        <a:blip r:embed="rId5"/>
        <a:stretch>
          <a:fillRect/>
        </a:stretch>
      </blipFill>
      <spPr>
        <a:xfrm>
          <a:off x="31546800" y="6686550"/>
          <a:ext cx="3010320" cy="2734057"/>
        </a:xfrm>
        <a:prstGeom prst="rect">
          <avLst/>
        </a:prstGeom>
        <a:ln>
          <a:prstDash val="solid"/>
        </a:ln>
      </spPr>
    </pic>
    <clientData/>
  </twoCellAnchor>
  <twoCellAnchor editAs="oneCell">
    <from>
      <col>43</col>
      <colOff>0</colOff>
      <row>1</row>
      <rowOff>0</rowOff>
    </from>
    <to>
      <col>52</col>
      <colOff>501872</colOff>
      <row>20</row>
      <rowOff>441416</rowOff>
    </to>
    <pic>
      <nvPicPr>
        <cNvPr id="3" name="Resim 2"/>
        <cNvPicPr>
          <a:picLocks noChangeAspect="1"/>
        </cNvPicPr>
      </nvPicPr>
      <blipFill>
        <a:blip r:embed="rId6"/>
        <a:stretch>
          <a:fillRect/>
        </a:stretch>
      </blipFill>
      <spPr>
        <a:xfrm>
          <a:off x="41637857" y="204107"/>
          <a:ext cx="6012765" cy="4463143"/>
        </a:xfrm>
        <a:prstGeom prst="rect">
          <avLst/>
        </a:prstGeom>
        <a:ln>
          <a:prstDash val="solid"/>
        </a:ln>
      </spPr>
    </pic>
    <clientData/>
  </twoCellAnchor>
  <twoCellAnchor editAs="oneCell">
    <from>
      <col>54</col>
      <colOff>0</colOff>
      <row>1</row>
      <rowOff>1</rowOff>
    </from>
    <to>
      <col>66</col>
      <colOff>544286</colOff>
      <row>20</row>
      <rowOff>341090</rowOff>
    </to>
    <pic>
      <nvPicPr>
        <cNvPr id="4" name="Resim 3"/>
        <cNvPicPr>
          <a:picLocks noChangeAspect="1"/>
        </cNvPicPr>
      </nvPicPr>
      <blipFill>
        <a:blip r:embed="rId7"/>
        <a:stretch>
          <a:fillRect/>
        </a:stretch>
      </blipFill>
      <spPr>
        <a:xfrm>
          <a:off x="48373393" y="204108"/>
          <a:ext cx="7892143" cy="4355196"/>
        </a:xfrm>
        <a:prstGeom prst="rect">
          <avLst/>
        </a:prstGeom>
        <a:ln>
          <a:prstDash val="solid"/>
        </a:ln>
      </spPr>
    </pic>
    <clientData/>
  </twoCellAnchor>
  <twoCellAnchor editAs="oneCell">
    <from>
      <col>68</col>
      <colOff>1</colOff>
      <row>1</row>
      <rowOff>0</rowOff>
    </from>
    <to>
      <col>78</col>
      <colOff>258537</colOff>
      <row>21</row>
      <rowOff>142421</rowOff>
    </to>
    <pic>
      <nvPicPr>
        <cNvPr id="7" name="Resim 6"/>
        <cNvPicPr>
          <a:picLocks noChangeAspect="1"/>
        </cNvPicPr>
      </nvPicPr>
      <blipFill>
        <a:blip r:embed="rId8"/>
        <a:stretch>
          <a:fillRect/>
        </a:stretch>
      </blipFill>
      <spPr>
        <a:xfrm>
          <a:off x="56945894" y="204107"/>
          <a:ext cx="6381750" cy="4619171"/>
        </a:xfrm>
        <a:prstGeom prst="rect">
          <avLst/>
        </a:prstGeom>
        <a:ln>
          <a:prstDash val="solid"/>
        </a:ln>
      </spPr>
    </pic>
    <clientData/>
  </twoCellAnchor>
  <twoCellAnchor editAs="oneCell">
    <from>
      <col>53</col>
      <colOff>54429</colOff>
      <row>24</row>
      <rowOff>27215</rowOff>
    </from>
    <to>
      <col>60</col>
      <colOff>55027</colOff>
      <row>54</row>
      <rowOff>119342</rowOff>
    </to>
    <pic>
      <nvPicPr>
        <cNvPr id="12" name="Resim 11"/>
        <cNvPicPr>
          <a:picLocks noChangeAspect="1"/>
        </cNvPicPr>
      </nvPicPr>
      <blipFill>
        <a:blip r:embed="rId9"/>
        <a:stretch>
          <a:fillRect/>
        </a:stretch>
      </blipFill>
      <spPr>
        <a:xfrm>
          <a:off x="47815500" y="5320394"/>
          <a:ext cx="4286848" cy="6868484"/>
        </a:xfrm>
        <a:prstGeom prst="rect">
          <avLst/>
        </a:prstGeom>
        <a:ln>
          <a:prstDash val="solid"/>
        </a:ln>
      </spPr>
    </pic>
    <clientData/>
  </twoCellAnchor>
  <twoCellAnchor editAs="oneCell">
    <from>
      <col>45</col>
      <colOff>0</colOff>
      <row>24</row>
      <rowOff>0</rowOff>
    </from>
    <to>
      <col>51</col>
      <colOff>603393</colOff>
      <row>55</row>
      <rowOff>63601</rowOff>
    </to>
    <pic>
      <nvPicPr>
        <cNvPr id="13" name="Resim 12"/>
        <cNvPicPr>
          <a:picLocks noChangeAspect="1"/>
        </cNvPicPr>
      </nvPicPr>
      <blipFill>
        <a:blip r:embed="rId10"/>
        <a:stretch>
          <a:fillRect/>
        </a:stretch>
      </blipFill>
      <spPr>
        <a:xfrm>
          <a:off x="42862500" y="5293179"/>
          <a:ext cx="4277322" cy="7220958"/>
        </a:xfrm>
        <a:prstGeom prst="rect">
          <avLst/>
        </a:prstGeom>
        <a:ln>
          <a:prstDash val="solid"/>
        </a:ln>
      </spPr>
    </pic>
    <clientData/>
  </twoCellAnchor>
  <twoCellAnchor editAs="oneCell">
    <from>
      <col>45</col>
      <colOff>68036</colOff>
      <row>55</row>
      <rowOff>40822</rowOff>
    </from>
    <to>
      <col>51</col>
      <colOff>528534</colOff>
      <row>71</row>
      <rowOff>127091</rowOff>
    </to>
    <pic>
      <nvPicPr>
        <cNvPr id="14" name="Resim 13"/>
        <cNvPicPr>
          <a:picLocks noChangeAspect="1"/>
        </cNvPicPr>
      </nvPicPr>
      <blipFill>
        <a:blip r:embed="rId11"/>
        <a:stretch>
          <a:fillRect/>
        </a:stretch>
      </blipFill>
      <spPr>
        <a:xfrm>
          <a:off x="42930536" y="12491358"/>
          <a:ext cx="4134427" cy="3896269"/>
        </a:xfrm>
        <a:prstGeom prst="rect">
          <avLst/>
        </a:prstGeom>
        <a:ln>
          <a:prstDash val="solid"/>
        </a:ln>
      </spPr>
    </pic>
    <clientData/>
  </two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oneCell">
    <from>
      <col>0</col>
      <colOff>19050</colOff>
      <row>17</row>
      <rowOff>104775</rowOff>
    </from>
    <to>
      <col>14</col>
      <colOff>123825</colOff>
      <row>54</row>
      <rowOff>138704</rowOff>
    </to>
    <pic>
      <nvPicPr>
        <cNvPr id="2" name="Resim 1"/>
        <cNvPicPr>
          <a:picLocks noChangeAspect="1"/>
        </cNvPicPr>
      </nvPicPr>
      <blipFill rotWithShape="1">
        <a:blip r:embed="rId1"/>
        <a:srcRect l="28352" t="7541" r="29307" b="23535"/>
        <a:stretch>
          <a:fillRect/>
        </a:stretch>
      </blipFill>
      <spPr>
        <a:xfrm>
          <a:off x="19050" y="3390900"/>
          <a:ext cx="8639175" cy="7082429"/>
        </a:xfrm>
        <a:prstGeom prst="rect">
          <avLst/>
        </a:prstGeom>
        <a:ln>
          <a:prstDash val="solid"/>
        </a:ln>
      </spPr>
    </pic>
    <clientData/>
  </twoCellAnchor>
  <twoCellAnchor editAs="oneCell">
    <from>
      <col>25</col>
      <colOff>66675</colOff>
      <row>25</row>
      <rowOff>47625</rowOff>
    </from>
    <to>
      <col>41</col>
      <colOff>38100</colOff>
      <row>53</row>
      <rowOff>18519</rowOff>
    </to>
    <pic>
      <nvPicPr>
        <cNvPr id="3" name="Resim 2"/>
        <cNvPicPr>
          <a:picLocks noChangeAspect="1"/>
        </cNvPicPr>
      </nvPicPr>
      <blipFill rotWithShape="1">
        <a:blip r:embed="rId2"/>
        <a:srcRect l="5730" t="9392" r="9661" b="9115"/>
        <a:stretch>
          <a:fillRect/>
        </a:stretch>
      </blipFill>
      <spPr>
        <a:xfrm>
          <a:off x="12573000" y="4857750"/>
          <a:ext cx="9725025" cy="5304894"/>
        </a:xfrm>
        <a:prstGeom prst="rect">
          <avLst/>
        </a:prstGeom>
        <a:ln>
          <a:prstDash val="solid"/>
        </a:ln>
      </spPr>
    </pic>
    <clientData/>
  </twoCellAnchor>
  <twoCellAnchor editAs="oneCell">
    <from>
      <col>0</col>
      <colOff>0</colOff>
      <row>57</row>
      <rowOff>19049</rowOff>
    </from>
    <to>
      <col>14</col>
      <colOff>190500</colOff>
      <row>68</row>
      <rowOff>142875</rowOff>
    </to>
    <pic>
      <nvPicPr>
        <cNvPr id="4" name="Resim 3"/>
        <cNvPicPr>
          <a:picLocks noChangeAspect="1"/>
        </cNvPicPr>
      </nvPicPr>
      <blipFill rotWithShape="1">
        <a:blip r:embed="rId3"/>
        <a:srcRect l="43496" t="13612" r="8790" b="64718"/>
        <a:stretch>
          <a:fillRect/>
        </a:stretch>
      </blipFill>
      <spPr>
        <a:xfrm>
          <a:off x="0" y="10925174"/>
          <a:ext cx="8724900" cy="2228851"/>
        </a:xfrm>
        <a:prstGeom prst="rect">
          <avLst/>
        </a:prstGeom>
        <a:ln>
          <a:prstDash val="solid"/>
        </a:ln>
      </spPr>
    </pic>
    <clientData/>
  </twoCellAnchor>
  <twoCellAnchor editAs="oneCell">
    <from>
      <col>0</col>
      <colOff>0</colOff>
      <row>69</row>
      <rowOff>28575</rowOff>
    </from>
    <to>
      <col>15</col>
      <colOff>1202873</colOff>
      <row>97</row>
      <rowOff>66675</rowOff>
    </to>
    <pic>
      <nvPicPr>
        <cNvPr id="5" name="Resim 4"/>
        <cNvPicPr>
          <a:picLocks noChangeAspect="1"/>
        </cNvPicPr>
      </nvPicPr>
      <blipFill rotWithShape="1">
        <a:blip r:embed="rId4"/>
        <a:srcRect l="40058" t="19261" r="3373" b="28510"/>
        <a:stretch>
          <a:fillRect/>
        </a:stretch>
      </blipFill>
      <spPr>
        <a:xfrm>
          <a:off x="0" y="13230225"/>
          <a:ext cx="10344151" cy="5372100"/>
        </a:xfrm>
        <a:prstGeom prst="rect">
          <avLst/>
        </a:prstGeom>
        <a:ln>
          <a:prstDash val="solid"/>
        </a:ln>
      </spPr>
    </pic>
    <clientData/>
  </twoCellAnchor>
  <twoCellAnchor editAs="oneCell">
    <from>
      <col>0</col>
      <colOff>9525</colOff>
      <row>97</row>
      <rowOff>19049</rowOff>
    </from>
    <to>
      <col>15</col>
      <colOff>1202872</colOff>
      <row>112</row>
      <rowOff>9525</rowOff>
    </to>
    <pic>
      <nvPicPr>
        <cNvPr id="6" name="Resim 5"/>
        <cNvPicPr>
          <a:picLocks noChangeAspect="1"/>
        </cNvPicPr>
      </nvPicPr>
      <blipFill rotWithShape="1">
        <a:blip r:embed="rId5"/>
        <a:srcRect l="39902" t="13057" r="3321" b="59161"/>
        <a:stretch>
          <a:fillRect/>
        </a:stretch>
      </blipFill>
      <spPr>
        <a:xfrm>
          <a:off x="9525" y="18554699"/>
          <a:ext cx="10334625" cy="2857501"/>
        </a:xfrm>
        <a:prstGeom prst="rect">
          <avLst/>
        </a:prstGeom>
        <a:ln>
          <a:prstDash val="solid"/>
        </a:ln>
      </spPr>
    </pic>
    <clientData/>
  </twoCellAnchor>
  <twoCellAnchor editAs="oneCell">
    <from>
      <col>0</col>
      <colOff>0</colOff>
      <row>0</row>
      <rowOff>0</rowOff>
    </from>
    <to>
      <col>14</col>
      <colOff>104775</colOff>
      <row>17</row>
      <rowOff>96520</rowOff>
    </to>
    <pic>
      <nvPicPr>
        <cNvPr id="7" name="Resim 6"/>
        <cNvPicPr>
          <a:picLocks noChangeAspect="1"/>
        </cNvPicPr>
      </nvPicPr>
      <blipFill rotWithShape="1">
        <a:blip r:embed="rId6"/>
        <a:srcRect l="37818" t="16577" r="6081" b="44530"/>
        <a:stretch>
          <a:fillRect/>
        </a:stretch>
      </blipFill>
      <spPr>
        <a:xfrm>
          <a:off x="0" y="0"/>
          <a:ext cx="8639175" cy="3369038"/>
        </a:xfrm>
        <a:prstGeom prst="rect">
          <avLst/>
        </a:prstGeom>
        <a:ln>
          <a:prstDash val="solid"/>
        </a:ln>
      </spPr>
    </pic>
    <clientData/>
  </twoCellAnchor>
  <twoCellAnchor editAs="oneCell">
    <from>
      <col>25</col>
      <colOff>66675</colOff>
      <row>0</row>
      <rowOff>1</rowOff>
    </from>
    <to>
      <col>41</col>
      <colOff>38101</colOff>
      <row>25</row>
      <rowOff>42183</rowOff>
    </to>
    <pic>
      <nvPicPr>
        <cNvPr id="8" name="Resim 7"/>
        <cNvPicPr>
          <a:picLocks noChangeAspect="1"/>
        </cNvPicPr>
      </nvPicPr>
      <blipFill rotWithShape="1">
        <a:blip r:embed="rId7"/>
        <a:srcRect l="37974" t="15836" r="5769" b="29805"/>
        <a:stretch>
          <a:fillRect/>
        </a:stretch>
      </blipFill>
      <spPr>
        <a:xfrm>
          <a:off x="12573000" y="1"/>
          <a:ext cx="9725026" cy="4838700"/>
        </a:xfrm>
        <a:prstGeom prst="rect">
          <avLst/>
        </a:prstGeom>
        <a:ln>
          <a:prstDash val="solid"/>
        </a:ln>
      </spPr>
    </pic>
    <clientData/>
  </twoCellAnchor>
</wsDr>
</file>

<file path=xl/drawings/drawing11.xml><?xml version="1.0" encoding="utf-8"?>
<wsDr xmlns:a="http://schemas.openxmlformats.org/drawingml/2006/main" xmlns:r="http://schemas.openxmlformats.org/officeDocument/2006/relationships" xmlns="http://schemas.openxmlformats.org/drawingml/2006/spreadsheetDrawing">
  <twoCellAnchor editAs="oneCell">
    <from>
      <col>0</col>
      <colOff>85725</colOff>
      <row>0</row>
      <rowOff>171450</rowOff>
    </from>
    <to>
      <col>13</col>
      <colOff>38100</colOff>
      <row>9</row>
      <rowOff>39315</rowOff>
    </to>
    <pic>
      <nvPicPr>
        <cNvPr id="3" name="Resim 2"/>
        <cNvPicPr>
          <a:picLocks noChangeAspect="1" noChangeArrowheads="1"/>
        </cNvPicPr>
      </nvPicPr>
      <blipFill>
        <a:blip r:embed="rId1"/>
        <a:srcRect/>
        <a:stretch>
          <a:fillRect/>
        </a:stretch>
      </blipFill>
      <spPr bwMode="auto">
        <a:xfrm>
          <a:off x="85725" y="171450"/>
          <a:ext cx="7877175" cy="1582365"/>
        </a:xfrm>
        <a:prstGeom prst="rect">
          <avLst/>
        </a:prstGeom>
        <a:noFill/>
        <a:ln>
          <a:prstDash val="solid"/>
        </a:ln>
      </spPr>
    </pic>
    <clientData/>
  </twoCellAnchor>
  <twoCellAnchor editAs="oneCell">
    <from>
      <col>0</col>
      <colOff>57150</colOff>
      <row>10</row>
      <rowOff>38100</rowOff>
    </from>
    <to>
      <col>13</col>
      <colOff>47625</colOff>
      <row>25</row>
      <rowOff>146595</rowOff>
    </to>
    <pic>
      <nvPicPr>
        <cNvPr id="4" name="Resim 3"/>
        <cNvPicPr>
          <a:picLocks noChangeAspect="1" noChangeArrowheads="1"/>
        </cNvPicPr>
      </nvPicPr>
      <blipFill>
        <a:blip r:embed="rId2"/>
        <a:srcRect/>
        <a:stretch>
          <a:fillRect/>
        </a:stretch>
      </blipFill>
      <spPr bwMode="auto">
        <a:xfrm>
          <a:off x="57150" y="1943100"/>
          <a:ext cx="7915275" cy="2965995"/>
        </a:xfrm>
        <a:prstGeom prst="rect">
          <avLst/>
        </a:prstGeom>
        <a:noFill/>
        <a:ln>
          <a:prstDash val="solid"/>
        </a:ln>
      </spPr>
    </pic>
    <clientData/>
  </twoCellAnchor>
  <twoCellAnchor editAs="oneCell">
    <from>
      <col>0</col>
      <colOff>0</colOff>
      <row>27</row>
      <rowOff>161925</rowOff>
    </from>
    <to>
      <col>13</col>
      <colOff>184029</colOff>
      <row>54</row>
      <rowOff>0</rowOff>
    </to>
    <pic>
      <nvPicPr>
        <cNvPr id="5" name="Resim 4"/>
        <cNvPicPr>
          <a:picLocks noChangeAspect="1" noChangeArrowheads="1"/>
        </cNvPicPr>
      </nvPicPr>
      <blipFill>
        <a:blip r:embed="rId3"/>
        <a:srcRect/>
        <a:stretch>
          <a:fillRect/>
        </a:stretch>
      </blipFill>
      <spPr bwMode="auto">
        <a:xfrm>
          <a:off x="0" y="5305425"/>
          <a:ext cx="8108829" cy="4981575"/>
        </a:xfrm>
        <a:prstGeom prst="rect">
          <avLst/>
        </a:prstGeom>
        <a:noFill/>
        <a:ln>
          <a:prstDash val="solid"/>
        </a:ln>
      </spPr>
    </pic>
    <clientData/>
  </twoCellAnchor>
  <twoCellAnchor editAs="oneCell">
    <from>
      <col>0</col>
      <colOff>47625</colOff>
      <row>54</row>
      <rowOff>152401</rowOff>
    </from>
    <to>
      <col>13</col>
      <colOff>152400</colOff>
      <row>67</row>
      <rowOff>107819</rowOff>
    </to>
    <pic>
      <nvPicPr>
        <cNvPr id="6" name="Resim 5"/>
        <cNvPicPr>
          <a:picLocks noChangeAspect="1" noChangeArrowheads="1"/>
        </cNvPicPr>
      </nvPicPr>
      <blipFill>
        <a:blip r:embed="rId4"/>
        <a:srcRect/>
        <a:stretch>
          <a:fillRect/>
        </a:stretch>
      </blipFill>
      <spPr bwMode="auto">
        <a:xfrm>
          <a:off x="47625" y="10439401"/>
          <a:ext cx="8029575" cy="2431918"/>
        </a:xfrm>
        <a:prstGeom prst="rect">
          <avLst/>
        </a:prstGeom>
        <a:noFill/>
        <a:ln>
          <a:prstDash val="solid"/>
        </a:ln>
      </spPr>
    </pic>
    <clientData/>
  </twoCellAnchor>
  <twoCellAnchor editAs="oneCell">
    <from>
      <col>0</col>
      <colOff>28575</colOff>
      <row>68</row>
      <rowOff>57151</rowOff>
    </from>
    <to>
      <col>6</col>
      <colOff>361950</colOff>
      <row>79</row>
      <rowOff>148065</rowOff>
    </to>
    <pic>
      <nvPicPr>
        <cNvPr id="7" name="Resim 6"/>
        <cNvPicPr>
          <a:picLocks noChangeAspect="1" noChangeArrowheads="1"/>
        </cNvPicPr>
      </nvPicPr>
      <blipFill>
        <a:blip r:embed="rId5"/>
        <a:srcRect/>
        <a:stretch>
          <a:fillRect/>
        </a:stretch>
      </blipFill>
      <spPr bwMode="auto">
        <a:xfrm>
          <a:off x="28575" y="13011151"/>
          <a:ext cx="3990975" cy="2186414"/>
        </a:xfrm>
        <a:prstGeom prst="rect">
          <avLst/>
        </a:prstGeom>
        <a:noFill/>
        <a:ln>
          <a:prstDash val="solid"/>
        </a:ln>
      </spPr>
    </pic>
    <clientData/>
  </twoCellAnchor>
  <twoCellAnchor editAs="oneCell">
    <from>
      <col>7</col>
      <colOff>28575</colOff>
      <row>68</row>
      <rowOff>76200</rowOff>
    </from>
    <to>
      <col>14</col>
      <colOff>47625</colOff>
      <row>79</row>
      <rowOff>9255</rowOff>
    </to>
    <pic>
      <nvPicPr>
        <cNvPr id="9" name="Resim 8"/>
        <cNvPicPr>
          <a:picLocks noChangeAspect="1" noChangeArrowheads="1"/>
        </cNvPicPr>
      </nvPicPr>
      <blipFill>
        <a:blip r:embed="rId6"/>
        <a:srcRect/>
        <a:stretch>
          <a:fillRect/>
        </a:stretch>
      </blipFill>
      <spPr bwMode="auto">
        <a:xfrm>
          <a:off x="4295775" y="13030200"/>
          <a:ext cx="4286250" cy="2028555"/>
        </a:xfrm>
        <a:prstGeom prst="rect">
          <avLst/>
        </a:prstGeom>
        <a:noFill/>
        <a:ln>
          <a:prstDash val="solid"/>
        </a:ln>
      </spPr>
    </pic>
    <clientData/>
  </twoCellAnchor>
  <twoCellAnchor editAs="oneCell">
    <from>
      <col>17</col>
      <colOff>0</colOff>
      <row>0</row>
      <rowOff>85725</rowOff>
    </from>
    <to>
      <col>31</col>
      <colOff>419100</colOff>
      <row>10</row>
      <rowOff>486</rowOff>
    </to>
    <pic>
      <nvPicPr>
        <cNvPr id="11" name="Resim 10"/>
        <cNvPicPr>
          <a:picLocks noChangeAspect="1" noChangeArrowheads="1"/>
        </cNvPicPr>
      </nvPicPr>
      <blipFill>
        <a:blip r:embed="rId7"/>
        <a:srcRect/>
        <a:stretch>
          <a:fillRect/>
        </a:stretch>
      </blipFill>
      <spPr bwMode="auto">
        <a:xfrm>
          <a:off x="10363200" y="85725"/>
          <a:ext cx="8953500" cy="1819761"/>
        </a:xfrm>
        <a:prstGeom prst="rect">
          <avLst/>
        </a:prstGeom>
        <a:noFill/>
        <a:ln>
          <a:prstDash val="solid"/>
        </a:ln>
      </spPr>
    </pic>
    <clientData/>
  </twoCellAnchor>
  <twoCellAnchor editAs="oneCell">
    <from>
      <col>17</col>
      <colOff>9525</colOff>
      <row>11</row>
      <rowOff>19050</rowOff>
    </from>
    <to>
      <col>31</col>
      <colOff>85725</colOff>
      <row>25</row>
      <rowOff>35873</rowOff>
    </to>
    <pic>
      <nvPicPr>
        <cNvPr id="12" name="Resim 11"/>
        <cNvPicPr>
          <a:picLocks noChangeAspect="1" noChangeArrowheads="1"/>
        </cNvPicPr>
      </nvPicPr>
      <blipFill>
        <a:blip r:embed="rId8"/>
        <a:srcRect/>
        <a:stretch>
          <a:fillRect/>
        </a:stretch>
      </blipFill>
      <spPr bwMode="auto">
        <a:xfrm>
          <a:off x="10372725" y="2114550"/>
          <a:ext cx="8610600" cy="2683823"/>
        </a:xfrm>
        <a:prstGeom prst="rect">
          <avLst/>
        </a:prstGeom>
        <a:noFill/>
        <a:ln>
          <a:prstDash val="solid"/>
        </a:ln>
      </spPr>
    </pic>
    <clientData/>
  </twoCellAnchor>
  <twoCellAnchor editAs="oneCell">
    <from>
      <col>17</col>
      <colOff>9526</colOff>
      <row>26</row>
      <rowOff>19050</rowOff>
    </from>
    <to>
      <col>24</col>
      <colOff>590550</colOff>
      <row>37</row>
      <rowOff>57063</rowOff>
    </to>
    <pic>
      <nvPicPr>
        <cNvPr id="13" name="Resim 12"/>
        <cNvPicPr>
          <a:picLocks noChangeAspect="1" noChangeArrowheads="1"/>
        </cNvPicPr>
      </nvPicPr>
      <blipFill>
        <a:blip r:embed="rId9"/>
        <a:srcRect/>
        <a:stretch>
          <a:fillRect/>
        </a:stretch>
      </blipFill>
      <spPr bwMode="auto">
        <a:xfrm>
          <a:off x="10372726" y="4972050"/>
          <a:ext cx="4848224" cy="2133513"/>
        </a:xfrm>
        <a:prstGeom prst="rect">
          <avLst/>
        </a:prstGeom>
        <a:noFill/>
        <a:ln>
          <a:prstDash val="solid"/>
        </a:ln>
      </spPr>
    </pic>
    <clientData/>
  </twoCellAnchor>
  <twoCellAnchor editAs="oneCell">
    <from>
      <col>16</col>
      <colOff>600075</colOff>
      <row>37</row>
      <rowOff>177800</rowOff>
    </from>
    <to>
      <col>30</col>
      <colOff>428625</colOff>
      <row>57</row>
      <rowOff>0</rowOff>
    </to>
    <pic>
      <nvPicPr>
        <cNvPr id="14" name="Resim 13"/>
        <cNvPicPr>
          <a:picLocks noChangeAspect="1" noChangeArrowheads="1"/>
        </cNvPicPr>
      </nvPicPr>
      <blipFill>
        <a:blip r:embed="rId10"/>
        <a:srcRect/>
        <a:stretch>
          <a:fillRect/>
        </a:stretch>
      </blipFill>
      <spPr bwMode="auto">
        <a:xfrm>
          <a:off x="10353675" y="7226300"/>
          <a:ext cx="8362950" cy="3632200"/>
        </a:xfrm>
        <a:prstGeom prst="rect">
          <avLst/>
        </a:prstGeom>
        <a:noFill/>
        <a:ln>
          <a:prstDash val="solid"/>
        </a:ln>
      </spPr>
    </pic>
    <clientData/>
  </twoCellAnchor>
  <twoCellAnchor editAs="oneCell">
    <from>
      <col>16</col>
      <colOff>592879</colOff>
      <row>57</row>
      <rowOff>47626</rowOff>
    </from>
    <to>
      <col>30</col>
      <colOff>457201</colOff>
      <row>69</row>
      <rowOff>165816</rowOff>
    </to>
    <pic>
      <nvPicPr>
        <cNvPr id="15" name="Resim 14"/>
        <cNvPicPr>
          <a:picLocks noChangeAspect="1" noChangeArrowheads="1"/>
        </cNvPicPr>
      </nvPicPr>
      <blipFill>
        <a:blip r:embed="rId11"/>
        <a:srcRect/>
        <a:stretch>
          <a:fillRect/>
        </a:stretch>
      </blipFill>
      <spPr bwMode="auto">
        <a:xfrm>
          <a:off x="10346479" y="10906126"/>
          <a:ext cx="8398722" cy="2404190"/>
        </a:xfrm>
        <a:prstGeom prst="rect">
          <avLst/>
        </a:prstGeom>
        <a:noFill/>
        <a:ln>
          <a:prstDash val="solid"/>
        </a:ln>
      </spPr>
    </pic>
    <clientData/>
  </twoCellAnchor>
  <twoCellAnchor editAs="oneCell">
    <from>
      <col>17</col>
      <colOff>28575</colOff>
      <row>70</row>
      <rowOff>180975</rowOff>
    </from>
    <to>
      <col>23</col>
      <colOff>60959</colOff>
      <row>85</row>
      <rowOff>161925</rowOff>
    </to>
    <pic>
      <nvPicPr>
        <cNvPr id="16" name="Resim 15"/>
        <cNvPicPr>
          <a:picLocks noChangeAspect="1" noChangeArrowheads="1"/>
        </cNvPicPr>
      </nvPicPr>
      <blipFill>
        <a:blip r:embed="rId12"/>
        <a:srcRect/>
        <a:stretch>
          <a:fillRect/>
        </a:stretch>
      </blipFill>
      <spPr bwMode="auto">
        <a:xfrm>
          <a:off x="10391775" y="13515975"/>
          <a:ext cx="3689984" cy="2838450"/>
        </a:xfrm>
        <a:prstGeom prst="rect">
          <avLst/>
        </a:prstGeom>
        <a:noFill/>
        <a:ln>
          <a:prstDash val="solid"/>
        </a:ln>
      </spPr>
    </pic>
    <clientData/>
  </twoCellAnchor>
  <twoCellAnchor editAs="oneCell">
    <from>
      <col>23</col>
      <colOff>514350</colOff>
      <row>71</row>
      <rowOff>19050</rowOff>
    </from>
    <to>
      <col>30</col>
      <colOff>495300</colOff>
      <row>82</row>
      <rowOff>27774</rowOff>
    </to>
    <pic>
      <nvPicPr>
        <cNvPr id="18" name="Resim 17"/>
        <cNvPicPr>
          <a:picLocks noChangeAspect="1" noChangeArrowheads="1"/>
        </cNvPicPr>
      </nvPicPr>
      <blipFill>
        <a:blip r:embed="rId13"/>
        <a:srcRect/>
        <a:stretch>
          <a:fillRect/>
        </a:stretch>
      </blipFill>
      <spPr bwMode="auto">
        <a:xfrm>
          <a:off x="14535150" y="13544550"/>
          <a:ext cx="4248150" cy="2104224"/>
        </a:xfrm>
        <a:prstGeom prst="rect">
          <avLst/>
        </a:prstGeom>
        <a:noFill/>
        <a:ln>
          <a:prstDash val="solid"/>
        </a:ln>
      </spPr>
    </pic>
    <clientData/>
  </twoCellAnchor>
  <twoCellAnchor editAs="oneCell">
    <from>
      <col>33</col>
      <colOff>85725</colOff>
      <row>73</row>
      <rowOff>66362</rowOff>
    </from>
    <to>
      <col>41</col>
      <colOff>66675</colOff>
      <row>90</row>
      <rowOff>48596</rowOff>
    </to>
    <pic>
      <nvPicPr>
        <cNvPr id="21" name="Resim 20"/>
        <cNvPicPr>
          <a:picLocks noChangeAspect="1" noChangeArrowheads="1"/>
        </cNvPicPr>
      </nvPicPr>
      <blipFill>
        <a:blip r:embed="rId14"/>
        <a:srcRect/>
        <a:stretch>
          <a:fillRect/>
        </a:stretch>
      </blipFill>
      <spPr bwMode="auto">
        <a:xfrm>
          <a:off x="20202525" y="13972862"/>
          <a:ext cx="4857750" cy="3220734"/>
        </a:xfrm>
        <a:prstGeom prst="rect">
          <avLst/>
        </a:prstGeom>
        <a:noFill/>
        <a:ln>
          <a:prstDash val="solid"/>
        </a:ln>
      </spPr>
    </pic>
    <clientData/>
  </twoCellAnchor>
  <twoCellAnchor editAs="oneCell">
    <from>
      <col>41</col>
      <colOff>85726</colOff>
      <row>73</row>
      <rowOff>57150</rowOff>
    </from>
    <to>
      <col>47</col>
      <colOff>505272</colOff>
      <row>84</row>
      <rowOff>171450</rowOff>
    </to>
    <pic>
      <nvPicPr>
        <cNvPr id="22" name="Resim 21"/>
        <cNvPicPr>
          <a:picLocks noChangeAspect="1" noChangeArrowheads="1"/>
        </cNvPicPr>
      </nvPicPr>
      <blipFill>
        <a:blip r:embed="rId15"/>
        <a:srcRect/>
        <a:stretch>
          <a:fillRect/>
        </a:stretch>
      </blipFill>
      <spPr bwMode="auto">
        <a:xfrm>
          <a:off x="33423226" y="14001750"/>
          <a:ext cx="4077146" cy="2209800"/>
        </a:xfrm>
        <a:prstGeom prst="rect">
          <avLst/>
        </a:prstGeom>
        <a:noFill/>
        <a:ln>
          <a:prstDash val="solid"/>
        </a:ln>
      </spPr>
    </pic>
    <clientData/>
  </twoCellAnchor>
  <twoCellAnchor editAs="oneCell">
    <from>
      <col>33</col>
      <colOff>47417</colOff>
      <row>91</row>
      <rowOff>1</rowOff>
    </from>
    <to>
      <col>41</col>
      <colOff>44765</colOff>
      <row>102</row>
      <rowOff>1</rowOff>
    </to>
    <pic>
      <nvPicPr>
        <cNvPr id="23" name="Resim 22"/>
        <cNvPicPr>
          <a:picLocks noChangeAspect="1" noChangeArrowheads="1"/>
        </cNvPicPr>
      </nvPicPr>
      <blipFill>
        <a:blip r:embed="rId16"/>
        <a:srcRect/>
        <a:stretch>
          <a:fillRect/>
        </a:stretch>
      </blipFill>
      <spPr bwMode="auto">
        <a:xfrm>
          <a:off x="20164217" y="17335501"/>
          <a:ext cx="4874148" cy="2095500"/>
        </a:xfrm>
        <a:prstGeom prst="rect">
          <avLst/>
        </a:prstGeom>
        <a:noFill/>
        <a:ln>
          <a:prstDash val="solid"/>
        </a:ln>
      </spPr>
    </pic>
    <clientData/>
  </twoCellAnchor>
  <twoCellAnchor editAs="oneCell">
    <from>
      <col>41</col>
      <colOff>95249</colOff>
      <row>85</row>
      <rowOff>0</rowOff>
    </from>
    <to>
      <col>47</col>
      <colOff>485774</colOff>
      <row>102</row>
      <rowOff>120316</rowOff>
    </to>
    <pic>
      <nvPicPr>
        <cNvPr id="24" name="Resim 23"/>
        <cNvPicPr>
          <a:picLocks noChangeAspect="1" noChangeArrowheads="1"/>
        </cNvPicPr>
      </nvPicPr>
      <blipFill>
        <a:blip r:embed="rId17"/>
        <a:srcRect/>
        <a:stretch>
          <a:fillRect/>
        </a:stretch>
      </blipFill>
      <spPr bwMode="auto">
        <a:xfrm>
          <a:off x="25088849" y="16192500"/>
          <a:ext cx="4048125" cy="3358816"/>
        </a:xfrm>
        <a:prstGeom prst="rect">
          <avLst/>
        </a:prstGeom>
        <a:noFill/>
        <a:ln>
          <a:prstDash val="solid"/>
        </a:ln>
      </spPr>
    </pic>
    <clientData/>
  </twoCellAnchor>
  <twoCellAnchor editAs="oneCell">
    <from>
      <col>33</col>
      <colOff>38100</colOff>
      <row>102</row>
      <rowOff>161925</rowOff>
    </from>
    <to>
      <col>47</col>
      <colOff>523875</colOff>
      <row>113</row>
      <rowOff>9023</rowOff>
    </to>
    <pic>
      <nvPicPr>
        <cNvPr id="25" name="Resim 24"/>
        <cNvPicPr>
          <a:picLocks noChangeAspect="1" noChangeArrowheads="1"/>
        </cNvPicPr>
      </nvPicPr>
      <blipFill>
        <a:blip r:embed="rId18"/>
        <a:srcRect/>
        <a:stretch>
          <a:fillRect/>
        </a:stretch>
      </blipFill>
      <spPr bwMode="auto">
        <a:xfrm>
          <a:off x="28498800" y="19631025"/>
          <a:ext cx="9020175" cy="1942598"/>
        </a:xfrm>
        <a:prstGeom prst="rect">
          <avLst/>
        </a:prstGeom>
        <a:noFill/>
        <a:ln>
          <a:prstDash val="solid"/>
        </a:ln>
      </spPr>
    </pic>
    <clientData/>
  </twoCellAnchor>
  <twoCellAnchor editAs="oneCell">
    <from>
      <col>33</col>
      <colOff>38100</colOff>
      <row>1</row>
      <rowOff>180976</rowOff>
    </from>
    <to>
      <col>47</col>
      <colOff>590550</colOff>
      <row>12</row>
      <rowOff>3645</rowOff>
    </to>
    <pic>
      <nvPicPr>
        <cNvPr id="26" name="Resim 25"/>
        <cNvPicPr>
          <a:picLocks noChangeAspect="1" noChangeArrowheads="1"/>
        </cNvPicPr>
      </nvPicPr>
      <blipFill>
        <a:blip r:embed="rId19"/>
        <a:srcRect/>
        <a:stretch>
          <a:fillRect/>
        </a:stretch>
      </blipFill>
      <spPr bwMode="auto">
        <a:xfrm>
          <a:off x="28498800" y="180976"/>
          <a:ext cx="9086850" cy="1918169"/>
        </a:xfrm>
        <a:prstGeom prst="rect">
          <avLst/>
        </a:prstGeom>
        <a:noFill/>
        <a:ln>
          <a:prstDash val="solid"/>
        </a:ln>
      </spPr>
    </pic>
    <clientData/>
  </twoCellAnchor>
  <twoCellAnchor editAs="oneCell">
    <from>
      <col>33</col>
      <colOff>76200</colOff>
      <row>12</row>
      <rowOff>57150</rowOff>
    </from>
    <to>
      <col>46</col>
      <colOff>123825</colOff>
      <row>27</row>
      <rowOff>117424</rowOff>
    </to>
    <pic>
      <nvPicPr>
        <cNvPr id="27" name="Resim 26"/>
        <cNvPicPr>
          <a:picLocks noChangeAspect="1" noChangeArrowheads="1"/>
        </cNvPicPr>
      </nvPicPr>
      <blipFill>
        <a:blip r:embed="rId20"/>
        <a:srcRect/>
        <a:stretch>
          <a:fillRect/>
        </a:stretch>
      </blipFill>
      <spPr bwMode="auto">
        <a:xfrm>
          <a:off x="28536900" y="2152650"/>
          <a:ext cx="7972425" cy="2917774"/>
        </a:xfrm>
        <a:prstGeom prst="rect">
          <avLst/>
        </a:prstGeom>
        <a:noFill/>
        <a:ln>
          <a:prstDash val="solid"/>
        </a:ln>
      </spPr>
    </pic>
    <clientData/>
  </twoCellAnchor>
  <twoCellAnchor editAs="oneCell">
    <from>
      <col>33</col>
      <colOff>85726</colOff>
      <row>27</row>
      <rowOff>180976</rowOff>
    </from>
    <to>
      <col>46</col>
      <colOff>119494</colOff>
      <row>48</row>
      <rowOff>114300</rowOff>
    </to>
    <pic>
      <nvPicPr>
        <cNvPr id="28" name="Resim 27"/>
        <cNvPicPr>
          <a:picLocks noChangeAspect="1" noChangeArrowheads="1"/>
        </cNvPicPr>
      </nvPicPr>
      <blipFill>
        <a:blip r:embed="rId21"/>
        <a:srcRect/>
        <a:stretch>
          <a:fillRect/>
        </a:stretch>
      </blipFill>
      <spPr bwMode="auto">
        <a:xfrm>
          <a:off x="20202526" y="5324476"/>
          <a:ext cx="7958568" cy="3933824"/>
        </a:xfrm>
        <a:prstGeom prst="rect">
          <avLst/>
        </a:prstGeom>
        <a:noFill/>
        <a:ln>
          <a:prstDash val="solid"/>
        </a:ln>
      </spPr>
    </pic>
    <clientData/>
  </twoCellAnchor>
  <twoCellAnchor editAs="oneCell">
    <from>
      <col>33</col>
      <colOff>76200</colOff>
      <row>48</row>
      <rowOff>133350</rowOff>
    </from>
    <to>
      <col>46</col>
      <colOff>142875</colOff>
      <row>71</row>
      <rowOff>164692</rowOff>
    </to>
    <pic>
      <nvPicPr>
        <cNvPr id="29" name="Resim 28"/>
        <cNvPicPr>
          <a:picLocks noChangeAspect="1" noChangeArrowheads="1"/>
        </cNvPicPr>
      </nvPicPr>
      <blipFill>
        <a:blip r:embed="rId22"/>
        <a:srcRect/>
        <a:stretch>
          <a:fillRect/>
        </a:stretch>
      </blipFill>
      <spPr bwMode="auto">
        <a:xfrm>
          <a:off x="20193000" y="9277350"/>
          <a:ext cx="7991475" cy="4412842"/>
        </a:xfrm>
        <a:prstGeom prst="rect">
          <avLst/>
        </a:prstGeom>
        <a:noFill/>
        <a:ln>
          <a:prstDash val="solid"/>
        </a:ln>
      </spPr>
    </pic>
    <clientData/>
  </twoCellAnchor>
</wsDr>
</file>

<file path=xl/drawings/drawing12.xml><?xml version="1.0" encoding="utf-8"?>
<wsDr xmlns:a="http://schemas.openxmlformats.org/drawingml/2006/main" xmlns:r="http://schemas.openxmlformats.org/officeDocument/2006/relationships" xmlns="http://schemas.openxmlformats.org/drawingml/2006/spreadsheetDrawing">
  <oneCellAnchor>
    <from>
      <col>3</col>
      <colOff>600074</colOff>
      <row>0</row>
      <rowOff>104775</rowOff>
    </from>
    <ext cx="7111177" cy="6191250"/>
    <pic>
      <nvPicPr>
        <cNvPr id="2" name="Resim 1"/>
        <cNvPicPr>
          <a:picLocks noChangeAspect="1"/>
        </cNvPicPr>
      </nvPicPr>
      <blipFill rotWithShape="1">
        <a:blip r:embed="rId1"/>
        <a:srcRect l="24222" t="12224" r="25043" b="9248"/>
        <a:stretch>
          <a:fillRect/>
        </a:stretch>
      </blipFill>
      <spPr>
        <a:xfrm>
          <a:off x="2428874" y="104775"/>
          <a:ext cx="7111177" cy="6191250"/>
        </a:xfrm>
        <a:prstGeom prst="rect">
          <avLst/>
        </a:prstGeom>
        <a:ln>
          <a:prstDash val="solid"/>
        </a:ln>
      </spPr>
    </pic>
    <clientData/>
  </oneCellAnchor>
</wsDr>
</file>

<file path=xl/tables/table1.xml><?xml version="1.0" encoding="utf-8"?>
<table xmlns="http://schemas.openxmlformats.org/spreadsheetml/2006/main" id="1" name="Tablo34" displayName="Tablo34" ref="AA2:AD6" headerRowCount="1" totalsRowCount="1" headerRowBorderDxfId="836" tableBorderDxfId="835" totalsRowBorderDxfId="834">
  <autoFilter ref="AA2:AD5">
    <filterColumn colId="0" hiddenButton="1" showButton="1"/>
    <filterColumn colId="1" hiddenButton="1" showButton="1"/>
    <filterColumn colId="2" hiddenButton="1" showButton="1"/>
    <filterColumn colId="3" hiddenButton="1" showButton="1"/>
  </autoFilter>
  <tableColumns count="4">
    <tableColumn id="1" name="Çap" dataDxfId="833" totalsRowDxfId="832">
      <calculatedColumnFormula>E7</calculatedColumnFormula>
    </tableColumn>
    <tableColumn id="2" name="Uzunluk" dataDxfId="831" totalsRowDxfId="830"/>
    <tableColumn id="3" name="Hacim" totalsRowFunction="custom" dataDxfId="829" totalsRowDxfId="828">
      <calculatedColumnFormula>3.14*POWER((AA3-2*E10)/1000,2)*AB3/4</calculatedColumnFormula>
      <totalsRowFormula>SUM(AC3:AC5)</totalsRowFormula>
    </tableColumn>
    <tableColumn id="4" name="Sütun1"/>
  </tableColumns>
  <tableStyleInfo name="TableStyleMedium1" showFirstColumn="0" showLastColumn="0" showRowStripes="1" showColumnStripes="0"/>
</table>
</file>

<file path=xl/tables/table2.xml><?xml version="1.0" encoding="utf-8"?>
<table xmlns="http://schemas.openxmlformats.org/spreadsheetml/2006/main" id="2" name="Tablo35" displayName="Tablo35" ref="O23:S26" headerRowCount="1" totalsRowShown="0" headerRowDxfId="827" dataDxfId="826">
  <autoFilter ref="O23:S26">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Sütun1" dataDxfId="825"/>
    <tableColumn id="4" name="D (Inch)" dataDxfId="824"/>
    <tableColumn id="5" name="D (mm)" dataDxfId="823">
      <calculatedColumnFormula>VLOOKUP(P24,Tablo2[[ÇAP inch]:[ÇAP mm]],2,0)</calculatedColumnFormula>
    </tableColumn>
    <tableColumn id="6" name="S (Mpa)" dataDxfId="822">
      <calculatedColumnFormula>ROUND(VLOOKUP(P24,Tablo2[[ÇAP inch]:[Tensile Mpa]],4,0)/145.0377,0)</calculatedColumnFormula>
    </tableColumn>
    <tableColumn id="7" name="P (Bar)" dataDxfId="821"/>
  </tableColumns>
  <tableStyleInfo name="TableStyleMedium1" showFirstColumn="0" showLastColumn="0" showRowStripes="1" showColumnStripes="0"/>
</table>
</file>

<file path=xl/tables/table3.xml><?xml version="1.0" encoding="utf-8"?>
<table xmlns="http://schemas.openxmlformats.org/spreadsheetml/2006/main" id="3" name="Tablo38" displayName="Tablo38" ref="O29:S50" headerRowCount="0" totalsRowShown="0" headerRowDxfId="820" dataDxfId="819">
  <tableColumns count="5">
    <tableColumn id="1" name="Sütun1" headerRowDxfId="818" dataDxfId="817"/>
    <tableColumn id="2" name="Sütun2" headerRowDxfId="816" dataDxfId="815"/>
    <tableColumn id="3" name="Sütun3" headerRowDxfId="814" dataDxfId="813"/>
    <tableColumn id="4" name="Sütun4" headerRowDxfId="812" dataDxfId="811"/>
    <tableColumn id="5" name="Sütun5" headerRowDxfId="810" dataDxfId="809">
      <calculatedColumnFormula>IF(P29&gt;2*P11,"Değer 2*d den büyük!","Değer uygun")</calculatedColumnFormula>
    </tableColumn>
  </tableColumns>
  <tableStyleInfo name="TableStyleMedium15" showFirstColumn="0" showLastColumn="0" showRowStripes="1" showColumnStripes="0"/>
</table>
</file>

<file path=xl/tables/table4.xml><?xml version="1.0" encoding="utf-8"?>
<table xmlns="http://schemas.openxmlformats.org/spreadsheetml/2006/main" id="4" name="Tablo244" displayName="Tablo244" ref="B20:P53" headerRowCount="1" totalsRowShown="0" headerRowDxfId="808">
  <autoFilter ref="B20:P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autoFilter>
  <tableColumns count="15">
    <tableColumn id="1" name="ÇAP inch" dataDxfId="807"/>
    <tableColumn id="2" name="ÇAP mm" dataDxfId="806"/>
    <tableColumn id="3" name="MALZEME" dataDxfId="805"/>
    <tableColumn id="12" name="SMYS Psi" dataDxfId="804"/>
    <tableColumn id="13" name="Tensile Mpa" dataDxfId="803"/>
    <tableColumn id="4" name="Et Kalınlığı " dataDxfId="802"/>
    <tableColumn id="5" name="Max Bas. bar" dataDxfId="801"/>
    <tableColumn id="6" name="Et Kalınlığı 2" dataDxfId="800"/>
    <tableColumn id="7" name="Max Bas. Bar2" dataDxfId="799"/>
    <tableColumn id="8" name="Et Kalınlığı 3" dataDxfId="798"/>
    <tableColumn id="9" name="Max Bas. Bar3" dataDxfId="797"/>
    <tableColumn id="10" name="Et Kalınlığı 4" dataDxfId="796"/>
    <tableColumn id="11" name="Max Bas. Bar4" dataDxfId="795"/>
    <tableColumn id="14" name="Et Kalınlığı 5" dataDxfId="794"/>
    <tableColumn id="15" name="Max Bas. Bar5" dataDxfId="793">
      <calculatedColumnFormula>2*Tablo244[[#This Row],[SMYS Psi]]*Tablo244[[#This Row],[Et Kalınlığı 5]]/Tablo244[[#This Row],[ÇAP mm]]/14.50377</calculatedColumnFormula>
    </tableColumn>
  </tableColumns>
  <tableStyleInfo name="TableStyleMedium15" showFirstColumn="0" showLastColumn="0" showRowStripes="1" showColumnStripes="0"/>
</table>
</file>

<file path=xl/tables/table5.xml><?xml version="1.0" encoding="utf-8"?>
<table xmlns="http://schemas.openxmlformats.org/spreadsheetml/2006/main" id="5" name="Tablo645" displayName="Tablo645" ref="Q20:Y53" headerRowCount="1" totalsRowShown="0" headerRowDxfId="792">
  <autoFilter ref="Q20:Y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autoFilter>
  <tableColumns count="9">
    <tableColumn id="2" name="Boru Ucu MAX" dataDxfId="791">
      <calculatedColumnFormula>#REF!+1.6</calculatedColumnFormula>
    </tableColumn>
    <tableColumn id="3" name="Boru Ucu Min" dataDxfId="790">
      <calculatedColumnFormula>#REF!-1.6</calculatedColumnFormula>
    </tableColumn>
    <tableColumn id="4" name="Boru Gövde MAX" dataDxfId="789">
      <calculatedColumnFormula>IF(Tablo244[[#This Row],[ÇAP mm]]*0.005-4&lt;0,Tablo244[[#This Row],[ÇAP mm]]*1.005,Tablo244[[#This Row],[ÇAP mm]]+4)</calculatedColumnFormula>
    </tableColumn>
    <tableColumn id="5" name="Boru Gövde Min" dataDxfId="788">
      <calculatedColumnFormula>IF(Tablo244[[#This Row],[ÇAP mm]]*0.005-4&lt;0,Tablo244[[#This Row],[ÇAP mm]]*0.995,Tablo244[[#This Row],[ÇAP mm]]+4)</calculatedColumnFormula>
    </tableColumn>
    <tableColumn id="6" name="D/t" dataDxfId="787">
      <calculatedColumnFormula>Tablo244[[#This Row],[ÇAP mm]]/Tablo244[[#This Row],[Et Kalınlığı ]]</calculatedColumnFormula>
    </tableColumn>
    <tableColumn id="7" name="D/t2" dataDxfId="786">
      <calculatedColumnFormula>Tablo244[[#This Row],[ÇAP mm]]/Tablo244[[#This Row],[Et Kalınlığı 2]]</calculatedColumnFormula>
    </tableColumn>
    <tableColumn id="8" name="D/t3" dataDxfId="785">
      <calculatedColumnFormula>Tablo244[[#This Row],[ÇAP mm]]/Tablo244[[#This Row],[Et Kalınlığı 3]]</calculatedColumnFormula>
    </tableColumn>
    <tableColumn id="9" name="D/t4" dataDxfId="784">
      <calculatedColumnFormula>Tablo244[[#This Row],[ÇAP mm]]/Tablo244[[#This Row],[Et Kalınlığı 4]]</calculatedColumnFormula>
    </tableColumn>
    <tableColumn id="1" name="D/t5" dataDxfId="783">
      <calculatedColumnFormula>Tablo244[[#This Row],[ÇAP mm]]/Tablo244[[#This Row],[Et Kalınlığı 5]]</calculatedColumnFormula>
    </tableColumn>
  </tableColumns>
  <tableStyleInfo name="TableStyleMedium1" showFirstColumn="0" showLastColumn="0" showRowStripes="1" showColumnStripes="0"/>
</table>
</file>

<file path=xl/tables/table6.xml><?xml version="1.0" encoding="utf-8"?>
<table xmlns="http://schemas.openxmlformats.org/spreadsheetml/2006/main" id="6" name="Tablo847" displayName="Tablo847" ref="Z20:AI53" headerRowCount="1" totalsRowShown="0" headerRowDxfId="782">
  <autoFilter ref="Z20:AI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autoFilter>
  <tableColumns count="10">
    <tableColumn id="1" name="Boru Ucu 1">
      <calculatedColumnFormula>IF(Tablo244[[#This Row],[ÇAP mm]]/Tablo244[[#This Row],[Et Kalınlığı ]]&lt;75,Tablo244[[#This Row],[ÇAP mm]]*0.01/2,"Anlaşmaya bağlıdır.")</calculatedColumnFormula>
    </tableColumn>
    <tableColumn id="2" name="Boru Gövdesi 1">
      <calculatedColumnFormula>IF(Tablo244[[#This Row],[ÇAP mm]]/Tablo244[[#This Row],[Et Kalınlığı ]]&lt;75,Tablo244[[#This Row],[ÇAP mm]]*0.015/2,"Anlaşmaya bağlıdır.")</calculatedColumnFormula>
    </tableColumn>
    <tableColumn id="3" name="Boru Ucu 2" dataDxfId="781">
      <calculatedColumnFormula>IF(Tablo244[[#This Row],[ÇAP mm]]/Tablo244[[#This Row],[Et Kalınlığı 2]]&lt;75,Tablo244[[#This Row],[ÇAP mm]]*0.01/2,"Anlaşmaya bağlıdır.")</calculatedColumnFormula>
    </tableColumn>
    <tableColumn id="4" name="Boru Gövdesi 2" dataDxfId="780">
      <calculatedColumnFormula>IF(Tablo244[[#This Row],[ÇAP mm]]/Tablo244[[#This Row],[Et Kalınlığı 2]]&lt;75,Tablo244[[#This Row],[ÇAP mm]]*0.015/2,"Anlaşmaya bağlıdır.")</calculatedColumnFormula>
    </tableColumn>
    <tableColumn id="5" name="Boru Ucu 3" dataDxfId="779">
      <calculatedColumnFormula>IF(Tablo244[[#This Row],[ÇAP mm]]/Tablo244[[#This Row],[Et Kalınlığı 3]]&lt;75,Tablo244[[#This Row],[ÇAP mm]]*0.01/2,"Anlaşmaya bağlıdır.")</calculatedColumnFormula>
    </tableColumn>
    <tableColumn id="6" name="Boru Gövdesi 3" dataDxfId="778">
      <calculatedColumnFormula>IF(Tablo244[[#This Row],[ÇAP mm]]/Tablo244[[#This Row],[Et Kalınlığı 3]]&lt;75,Tablo244[[#This Row],[ÇAP mm]]*0.015/2,"Anlaşmaya bağlıdır.")</calculatedColumnFormula>
    </tableColumn>
    <tableColumn id="7" name="Boru Ucu 4" dataDxfId="777"/>
    <tableColumn id="8" name="Boru Gövdesi 4" dataDxfId="776"/>
    <tableColumn id="9" name="Boru Ucu 5" dataDxfId="775">
      <calculatedColumnFormula>IF(Tablo244[[#This Row],[ÇAP mm]]/Tablo244[[#This Row],[Et Kalınlığı 4]]&lt;75,Tablo244[[#This Row],[ÇAP mm]]*0.015/2,"Anlaşmaya bağlıdır.")</calculatedColumnFormula>
    </tableColumn>
    <tableColumn id="10" name="Boru Gövdesi 5" dataDxfId="774">
      <calculatedColumnFormula>IF(Tablo244[[#This Row],[ÇAP mm]]/Tablo244[[#This Row],[Et Kalınlığı 5]]&lt;75,Tablo244[[#This Row],[ÇAP mm]]*0.02,"Anlaşmaya bağlıdır.")</calculatedColumnFormula>
    </tableColumn>
  </tableColumns>
  <tableStyleInfo name="TableStyleMedium15" showFirstColumn="0" showLastColumn="0" showRowStripes="1" showColumnStripes="0"/>
</table>
</file>

<file path=xl/tables/table7.xml><?xml version="1.0" encoding="utf-8"?>
<table xmlns="http://schemas.openxmlformats.org/spreadsheetml/2006/main" id="7" name="Tablo151" displayName="Tablo151" ref="AJ20:AS53" headerRowCount="1" totalsRowShown="0" headerRowDxfId="773">
  <autoFilter ref="AJ20:AS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autoFilter>
  <tableColumns count="10">
    <tableColumn id="1" name="Axc mm2" dataDxfId="772">
      <calculatedColumnFormula>IF(38*Tablo244[[#This Row],[Et Kalınlığı ]]&lt;485,Tablo244[[#This Row],[Et Kalınlığı ]]*38,485)</calculatedColumnFormula>
    </tableColumn>
    <tableColumn id="2" name="Af mm" dataDxfId="771">
      <calculatedColumnFormula>1940*POWER(AJ21,0.2)/POWER(Tablo244[[#This Row],[Tensile Mpa]],0.9)</calculatedColumnFormula>
    </tableColumn>
    <tableColumn id="3" name="Axc mm22" dataDxfId="770">
      <calculatedColumnFormula>IF(38*Tablo244[[#This Row],[Et Kalınlığı 2]]&lt;485,Tablo244[[#This Row],[Et Kalınlığı ]]*38,485)</calculatedColumnFormula>
    </tableColumn>
    <tableColumn id="4" name="Af mm2" dataDxfId="769">
      <calculatedColumnFormula>1940*POWER(AL21,0.2)/POWER(Tablo244[[#This Row],[Tensile Mpa]],0.9)</calculatedColumnFormula>
    </tableColumn>
    <tableColumn id="5" name="Axc mm23" dataDxfId="768">
      <calculatedColumnFormula>IF(38*Tablo244[[#This Row],[Et Kalınlığı 3]]&lt;485,Tablo244[[#This Row],[Et Kalınlığı ]]*38,485)</calculatedColumnFormula>
    </tableColumn>
    <tableColumn id="6" name="Af mm3" dataDxfId="767">
      <calculatedColumnFormula>1940*POWER(AN21,0.2)/POWER(Tablo244[[#This Row],[Tensile Mpa]],0.9)</calculatedColumnFormula>
    </tableColumn>
    <tableColumn id="7" name="Axc mm24" dataDxfId="766">
      <calculatedColumnFormula>IF(40*Tablo244[[#This Row],[Et Kalınlığı 4]]&lt;485,Tablo244[[#This Row],[Et Kalınlığı 4]]*40,485)</calculatedColumnFormula>
    </tableColumn>
    <tableColumn id="8" name="Af mm4" dataDxfId="765">
      <calculatedColumnFormula>1940*POWER(ROUND(Tablo151[[#This Row],[Axc mm24]],-1),0.2)/POWER(Tablo244[[#This Row],[Tensile Mpa]],0.9)</calculatedColumnFormula>
    </tableColumn>
    <tableColumn id="9" name="Axc mm25" dataDxfId="764">
      <calculatedColumnFormula>IF(40*Tablo244[[#This Row],[Et Kalınlığı 5]]&lt;485,Tablo244[[#This Row],[Et Kalınlığı 4]]*40,485)</calculatedColumnFormula>
    </tableColumn>
    <tableColumn id="10" name="Af mm5" dataDxfId="763">
      <calculatedColumnFormula>1940*POWER(ROUND(Tablo151[[#This Row],[Axc mm25]],-1),0.2)/POWER(Tablo244[[#This Row],[Tensile Mpa]],0.9)</calculatedColumnFormula>
    </tableColumn>
  </tableColumns>
  <tableStyleInfo name="TableStyleMedium15" showFirstColumn="0" showLastColumn="0" showRowStripes="1" showColumnStripes="0"/>
</table>
</file>

<file path=xl/tables/table8.xml><?xml version="1.0" encoding="utf-8"?>
<table xmlns="http://schemas.openxmlformats.org/spreadsheetml/2006/main" id="8" name="Tablo2" displayName="Tablo2" ref="B20:P53" headerRowCount="1" totalsRowShown="0" headerRowDxfId="762">
  <autoFilter ref="B20:P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autoFilter>
  <tableColumns count="15">
    <tableColumn id="1" name="ÇAP inch" dataDxfId="761"/>
    <tableColumn id="2" name="ÇAP mm" dataDxfId="760"/>
    <tableColumn id="3" name="MALZEME" dataDxfId="759"/>
    <tableColumn id="12" name="SMYS Psi" dataDxfId="758"/>
    <tableColumn id="13" name="Tensile Mpa" dataDxfId="757"/>
    <tableColumn id="4" name="Et Kalınlığı " dataDxfId="756"/>
    <tableColumn id="5" name="Max Bas. bar" dataDxfId="755"/>
    <tableColumn id="6" name="Et Kalınlığı 2" dataDxfId="754"/>
    <tableColumn id="7" name="Max Bas. Bar2" dataDxfId="753"/>
    <tableColumn id="8" name="Et Kalınlığı 3" dataDxfId="752"/>
    <tableColumn id="9" name="Max Bas. Bar3" dataDxfId="751"/>
    <tableColumn id="10" name="Et Kalınlığı 4" dataDxfId="750"/>
    <tableColumn id="11" name="Max Bas. Bar4" dataDxfId="749"/>
    <tableColumn id="14" name="Et Kalınlığı 5" dataDxfId="748"/>
    <tableColumn id="15" name="Max Bas. Bar5" dataDxfId="747">
      <calculatedColumnFormula>2*Tablo2[[#This Row],[SMYS Psi]]*Tablo2[[#This Row],[Et Kalınlığı 5]]/Tablo2[[#This Row],[ÇAP mm]]/14.50377</calculatedColumnFormula>
    </tableColumn>
  </tableColumns>
  <tableStyleInfo name="TableStyleMedium15" showFirstColumn="0" showLastColumn="0" showRowStripes="1" showColumnStripes="0"/>
</table>
</file>

<file path=xl/tables/table9.xml><?xml version="1.0" encoding="utf-8"?>
<table xmlns="http://schemas.openxmlformats.org/spreadsheetml/2006/main" id="9" name="Tablo6" displayName="Tablo6" ref="Q20:Y53" headerRowCount="1" totalsRowShown="0" headerRowDxfId="746">
  <autoFilter ref="Q20:Y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autoFilter>
  <tableColumns count="9">
    <tableColumn id="2" name="Boru Ucu MAX" dataDxfId="745">
      <calculatedColumnFormula>#REF!+1.6</calculatedColumnFormula>
    </tableColumn>
    <tableColumn id="3" name="Boru Ucu Min" dataDxfId="744">
      <calculatedColumnFormula>#REF!-1.6</calculatedColumnFormula>
    </tableColumn>
    <tableColumn id="4" name="Boru Gövde MAX" dataDxfId="743">
      <calculatedColumnFormula>IF(Tablo2[[#This Row],[ÇAP mm]]*0.005-4&lt;0,Tablo2[[#This Row],[ÇAP mm]]*1.005,Tablo2[[#This Row],[ÇAP mm]]+4)</calculatedColumnFormula>
    </tableColumn>
    <tableColumn id="5" name="Boru Gövde Min" dataDxfId="742">
      <calculatedColumnFormula>IF(Tablo2[[#This Row],[ÇAP mm]]*0.005-4&lt;0,Tablo2[[#This Row],[ÇAP mm]]*0.995,Tablo2[[#This Row],[ÇAP mm]]+4)</calculatedColumnFormula>
    </tableColumn>
    <tableColumn id="6" name="D/t" dataDxfId="741">
      <calculatedColumnFormula>Tablo2[[#This Row],[ÇAP mm]]/Tablo2[[#This Row],[Et Kalınlığı ]]</calculatedColumnFormula>
    </tableColumn>
    <tableColumn id="7" name="D/t2" dataDxfId="740">
      <calculatedColumnFormula>Tablo2[[#This Row],[ÇAP mm]]/Tablo2[[#This Row],[Et Kalınlığı 2]]</calculatedColumnFormula>
    </tableColumn>
    <tableColumn id="8" name="D/t3" dataDxfId="739">
      <calculatedColumnFormula>Tablo2[[#This Row],[ÇAP mm]]/Tablo2[[#This Row],[Et Kalınlığı 3]]</calculatedColumnFormula>
    </tableColumn>
    <tableColumn id="9" name="D/t4" dataDxfId="738">
      <calculatedColumnFormula>Tablo2[[#This Row],[ÇAP mm]]/Tablo2[[#This Row],[Et Kalınlığı 4]]</calculatedColumnFormula>
    </tableColumn>
    <tableColumn id="1" name="D/t5" dataDxfId="737">
      <calculatedColumnFormula>Tablo2[[#This Row],[ÇAP mm]]/Tablo2[[#This Row],[Et Kalınlığı 5]]</calculatedColumnFormula>
    </tableColumn>
  </tableColumns>
  <tableStyleInfo name="TableStyleMedium1" showFirstColumn="0" showLastColumn="0" showRowStripes="1" showColumnStripes="0"/>
</table>
</file>

<file path=xl/tables/table10.xml><?xml version="1.0" encoding="utf-8"?>
<table xmlns="http://schemas.openxmlformats.org/spreadsheetml/2006/main" id="10" name="Tablo8" displayName="Tablo8" ref="Z20:AI53" headerRowCount="1" totalsRowShown="0" headerRowDxfId="736">
  <autoFilter ref="Z20:AI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autoFilter>
  <tableColumns count="10">
    <tableColumn id="1" name="Boru Ucu 1">
      <calculatedColumnFormula>IF(Tablo2[[#This Row],[ÇAP mm]]/Tablo2[[#This Row],[Et Kalınlığı ]]&lt;75,Tablo2[[#This Row],[ÇAP mm]]*0.01/2,"Anlaşmaya bağlıdır.")</calculatedColumnFormula>
    </tableColumn>
    <tableColumn id="2" name="Boru Gövdesi 1">
      <calculatedColumnFormula>IF(Tablo2[[#This Row],[ÇAP mm]]/Tablo2[[#This Row],[Et Kalınlığı ]]&lt;75,Tablo2[[#This Row],[ÇAP mm]]*0.015/2,"Anlaşmaya bağlıdır.")</calculatedColumnFormula>
    </tableColumn>
    <tableColumn id="3" name="Boru Ucu 2" dataDxfId="735">
      <calculatedColumnFormula>IF(Tablo2[[#This Row],[ÇAP mm]]/Tablo2[[#This Row],[Et Kalınlığı 2]]&lt;75,Tablo2[[#This Row],[ÇAP mm]]*0.01/2,"Anlaşmaya bağlıdır.")</calculatedColumnFormula>
    </tableColumn>
    <tableColumn id="4" name="Boru Gövdesi 2" dataDxfId="734">
      <calculatedColumnFormula>IF(Tablo2[[#This Row],[ÇAP mm]]/Tablo2[[#This Row],[Et Kalınlığı 2]]&lt;75,Tablo2[[#This Row],[ÇAP mm]]*0.015/2,"Anlaşmaya bağlıdır.")</calculatedColumnFormula>
    </tableColumn>
    <tableColumn id="5" name="Boru Ucu 3" dataDxfId="733">
      <calculatedColumnFormula>IF(Tablo2[[#This Row],[ÇAP mm]]/Tablo2[[#This Row],[Et Kalınlığı 3]]&lt;75,Tablo2[[#This Row],[ÇAP mm]]*0.01/2,"Anlaşmaya bağlıdır.")</calculatedColumnFormula>
    </tableColumn>
    <tableColumn id="6" name="Boru Gövdesi 3" dataDxfId="732">
      <calculatedColumnFormula>IF(Tablo2[[#This Row],[ÇAP mm]]/Tablo2[[#This Row],[Et Kalınlığı 3]]&lt;75,Tablo2[[#This Row],[ÇAP mm]]*0.015/2,"Anlaşmaya bağlıdır.")</calculatedColumnFormula>
    </tableColumn>
    <tableColumn id="7" name="Boru Ucu 4" dataDxfId="731"/>
    <tableColumn id="8" name="Boru Gövdesi 4" dataDxfId="730"/>
    <tableColumn id="9" name="Boru Ucu 5" dataDxfId="729">
      <calculatedColumnFormula>IF(Tablo2[[#This Row],[ÇAP mm]]/Tablo2[[#This Row],[Et Kalınlığı 4]]&lt;75,Tablo2[[#This Row],[ÇAP mm]]*0.015/2,"Anlaşmaya bağlıdır.")</calculatedColumnFormula>
    </tableColumn>
    <tableColumn id="10" name="Boru Gövdesi 5" dataDxfId="728">
      <calculatedColumnFormula>IF(Tablo2[[#This Row],[ÇAP mm]]/Tablo2[[#This Row],[Et Kalınlığı 5]]&lt;75,Tablo2[[#This Row],[ÇAP mm]]*0.02,"Anlaşmaya bağlıdır.")</calculatedColumnFormula>
    </tableColumn>
  </tableColumns>
  <tableStyleInfo name="TableStyleMedium15" showFirstColumn="0" showLastColumn="0" showRowStripes="1" showColumnStripes="0"/>
</table>
</file>

<file path=xl/tables/table11.xml><?xml version="1.0" encoding="utf-8"?>
<table xmlns="http://schemas.openxmlformats.org/spreadsheetml/2006/main" id="11" name="Tablo1" displayName="Tablo1" ref="AJ20:AS53" headerRowCount="1" totalsRowShown="0" headerRowDxfId="727">
  <autoFilter ref="AJ20:AS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autoFilter>
  <tableColumns count="10">
    <tableColumn id="1" name="Axc mm2" dataDxfId="726">
      <calculatedColumnFormula>IF(38*Tablo2[[#This Row],[Et Kalınlığı ]]&lt;485,Tablo2[[#This Row],[Et Kalınlığı ]]*38,485)</calculatedColumnFormula>
    </tableColumn>
    <tableColumn id="2" name="Af mm" dataDxfId="725">
      <calculatedColumnFormula>1940*POWER(AJ21,0.2)/POWER(Tablo2[[#This Row],[Tensile Mpa]],0.9)</calculatedColumnFormula>
    </tableColumn>
    <tableColumn id="3" name="Axc mm22" dataDxfId="724">
      <calculatedColumnFormula>IF(38*Tablo2[[#This Row],[Et Kalınlığı 2]]&lt;485,Tablo2[[#This Row],[Et Kalınlığı ]]*38,485)</calculatedColumnFormula>
    </tableColumn>
    <tableColumn id="4" name="Af mm2" dataDxfId="723">
      <calculatedColumnFormula>1940*POWER(AL21,0.2)/POWER(Tablo2[[#This Row],[Tensile Mpa]],0.9)</calculatedColumnFormula>
    </tableColumn>
    <tableColumn id="5" name="Axc mm23" dataDxfId="722">
      <calculatedColumnFormula>IF(38*Tablo2[[#This Row],[Et Kalınlığı 3]]&lt;485,Tablo2[[#This Row],[Et Kalınlığı ]]*38,485)</calculatedColumnFormula>
    </tableColumn>
    <tableColumn id="6" name="Af mm3" dataDxfId="721">
      <calculatedColumnFormula>1940*POWER(AN21,0.2)/POWER(Tablo2[[#This Row],[Tensile Mpa]],0.9)</calculatedColumnFormula>
    </tableColumn>
    <tableColumn id="7" name="Axc mm24" dataDxfId="720">
      <calculatedColumnFormula>IF(40*Tablo2[[#This Row],[Et Kalınlığı 4]]&lt;485,Tablo2[[#This Row],[Et Kalınlığı 4]]*40,485)</calculatedColumnFormula>
    </tableColumn>
    <tableColumn id="8" name="Af mm4" dataDxfId="719">
      <calculatedColumnFormula>1940*POWER(ROUND(Tablo1[[#This Row],[Axc mm24]],-1),0.2)/POWER(Tablo2[[#This Row],[Tensile Mpa]],0.9)</calculatedColumnFormula>
    </tableColumn>
    <tableColumn id="9" name="Axc mm25" dataDxfId="718">
      <calculatedColumnFormula>IF(40*Tablo2[[#This Row],[Et Kalınlığı 5]]&lt;485,Tablo2[[#This Row],[Et Kalınlığı 4]]*40,485)</calculatedColumnFormula>
    </tableColumn>
    <tableColumn id="10" name="Af mm5" dataDxfId="717">
      <calculatedColumnFormula>1940*POWER(ROUND(Tablo1[[#This Row],[Axc mm25]],-1),0.2)/POWER(Tablo2[[#This Row],[Tensile Mpa]],0.9)</calculatedColumnFormula>
    </tableColumn>
  </tableColumns>
  <tableStyleInfo name="TableStyleMedium15" showFirstColumn="0" showLastColumn="0" showRowStripes="1" showColumnStripes="0"/>
</table>
</file>

<file path=xl/tables/table12.xml><?xml version="1.0" encoding="utf-8"?>
<table xmlns="http://schemas.openxmlformats.org/spreadsheetml/2006/main" id="12" name="Branch" displayName="Branch" ref="AN2:BT34" headerRowCount="1" totalsRowShown="0" headerRowDxfId="716" dataDxfId="715" tableBorderDxfId="714">
  <autoFilter ref="AN2:BT3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autoFilter>
  <tableColumns count="33">
    <tableColumn id="3" name="½&quot; " dataDxfId="713"/>
    <tableColumn id="4" name="¾&quot;" dataDxfId="712"/>
    <tableColumn id="5" name="1&quot; " dataDxfId="711"/>
    <tableColumn id="6" name="1¼&quot;" dataDxfId="710"/>
    <tableColumn id="7" name="1½&quot; " dataDxfId="709"/>
    <tableColumn id="8" name="2&quot; " dataDxfId="708"/>
    <tableColumn id="9" name="2½&quot; " dataDxfId="707"/>
    <tableColumn id="10" name="3&quot;" dataDxfId="706"/>
    <tableColumn id="11" name="4&quot;" dataDxfId="705"/>
    <tableColumn id="12" name="5&quot;" dataDxfId="704"/>
    <tableColumn id="13" name="6&quot;" dataDxfId="703"/>
    <tableColumn id="14" name="8&quot;" dataDxfId="702"/>
    <tableColumn id="15" name="10&quot;" dataDxfId="701"/>
    <tableColumn id="16" name="12&quot;" dataDxfId="700"/>
    <tableColumn id="17" name="14&quot;" dataDxfId="699"/>
    <tableColumn id="18" name="16&quot;" dataDxfId="698"/>
    <tableColumn id="19" name="18&quot;" dataDxfId="697"/>
    <tableColumn id="20" name="20&quot;" dataDxfId="696"/>
    <tableColumn id="21" name="22&quot;" dataDxfId="695"/>
    <tableColumn id="22" name="24&quot;" dataDxfId="694"/>
    <tableColumn id="23" name="30&quot;" dataDxfId="693"/>
    <tableColumn id="24" name="32&quot;" dataDxfId="692"/>
    <tableColumn id="25" name="34&quot;" dataDxfId="691"/>
    <tableColumn id="26" name="36&quot;" dataDxfId="690"/>
    <tableColumn id="27" name="38&quot;" dataDxfId="689"/>
    <tableColumn id="28" name="40&quot;" dataDxfId="688"/>
    <tableColumn id="29" name="42&quot;" dataDxfId="687"/>
    <tableColumn id="30" name="44&quot;" dataDxfId="686"/>
    <tableColumn id="31" name="46&quot;" dataDxfId="685"/>
    <tableColumn id="32" name="48&quot;" dataDxfId="684"/>
    <tableColumn id="33" name="52&quot;" dataDxfId="683"/>
    <tableColumn id="34" name="56&quot;" dataDxfId="682"/>
    <tableColumn id="35" name="60&quot;" dataDxfId="681"/>
  </tableColumns>
  <tableStyleInfo name="TableStyleLight1" showFirstColumn="0" showLastColumn="0" showRowStripes="1" showColumnStripes="0"/>
</table>
</file>

<file path=xl/tables/table13.xml><?xml version="1.0" encoding="utf-8"?>
<table xmlns="http://schemas.openxmlformats.org/spreadsheetml/2006/main" id="13" name="Fitting_Flanş" displayName="Fitting_Flanş" ref="X2:AJ35" headerRowCount="1" totalsRowShown="0" headerRowDxfId="680" dataDxfId="679">
  <tableColumns count="13">
    <tableColumn id="1" name="BORU DIŞ ÇAPI Anma (inch)" dataDxfId="678"/>
    <tableColumn id="2" name="DN " dataDxfId="677"/>
    <tableColumn id="3" name="Nominal (inch)" dataDxfId="676"/>
    <tableColumn id="4" name="Nominal (mm)" dataDxfId="675"/>
    <tableColumn id="5" name="Fitting Malzeme Standart" dataDxfId="674"/>
    <tableColumn id="12" name="Fitting Üretim Standart" dataDxfId="673"/>
    <tableColumn id="6" name="Flanş Malzeme Standart" dataDxfId="672"/>
    <tableColumn id="13" name="Flanş Üretim Standart" dataDxfId="671"/>
    <tableColumn id="7" name="HAT BORULARI F=0,72" dataDxfId="670"/>
    <tableColumn id="8" name="HAT BORULARI F=0,60" dataDxfId="669"/>
    <tableColumn id="9" name="HAT BORULARI F=0,50" dataDxfId="668"/>
    <tableColumn id="10" name="İSTASYON BORULARI 75 bar" dataDxfId="667"/>
    <tableColumn id="11" name="İSTASYON BORULARI 82,5 bar" dataDxfId="666"/>
  </tableColumns>
  <tableStyleInfo name="TableStyleLight15" showFirstColumn="1" showLastColumn="0" showRowStripes="0" showColumnStripes="0"/>
</table>
</file>

<file path=xl/tables/table14.xml><?xml version="1.0" encoding="utf-8"?>
<table xmlns="http://schemas.openxmlformats.org/spreadsheetml/2006/main" id="14" name="Tablo15" displayName="Tablo15" ref="A2:I7" headerRowCount="1" totalsRowShown="0" headerRowDxfId="665" dataDxfId="664">
  <autoFilter ref="A2:I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autoFilter>
  <tableColumns count="9">
    <tableColumn id="1" name="FİTTİNG" dataDxfId="663"/>
    <tableColumn id="2" name="Çap(inch)" dataDxfId="662"/>
    <tableColumn id="6" name="Çap(mm)" dataDxfId="661">
      <calculatedColumnFormula>VLOOKUP(Tablo15[[#This Row],[Çap(inch)]],Fitting_Flanş[[#All],[BORU DIŞ ÇAPI Anma (inch)]:[Nominal (mm)]],4,0)</calculatedColumnFormula>
    </tableColumn>
    <tableColumn id="3" name="Üretim Standardı" dataDxfId="660">
      <calculatedColumnFormula>VLOOKUP(B3,Fitting_Flanş[#All],(IF(Tablo15[[#This Row],[FİTTİNG]]="FLANŞ",6,5)),FALSE)</calculatedColumnFormula>
    </tableColumn>
    <tableColumn id="4" name="Üretim Standartı" dataDxfId="659">
      <calculatedColumnFormula>IF(Tablo15[[#This Row],[Çap(mm)]]&lt;406.4,$T$4,$T$3)</calculatedColumnFormula>
    </tableColumn>
    <tableColumn id="5" name="Standart Gereği Testler" dataDxfId="658"/>
    <tableColumn id="7" name="Malzeme Standardı Manuel" dataDxfId="657"/>
    <tableColumn id="8" name="Üretim Standartı Manuel" dataDxfId="656"/>
    <tableColumn id="9" name="Boyutlandırma Standardı" dataDxfId="655"/>
  </tableColumns>
  <tableStyleInfo name="TableStyleMedium15" showFirstColumn="0" showLastColumn="0" showRowStripes="1" showColumnStripes="0"/>
</table>
</file>

<file path=xl/tables/table15.xml><?xml version="1.0" encoding="utf-8"?>
<table xmlns="http://schemas.openxmlformats.org/spreadsheetml/2006/main" id="15" name="Tablo55" displayName="Tablo55" ref="A15:M16" headerRowCount="1" totalsRowShown="0" headerRowDxfId="654" dataDxfId="653">
  <autoFilter ref="A15:M1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autoFilter>
  <tableColumns count="13">
    <tableColumn id="1" name="C%" dataDxfId="652">
      <calculatedColumnFormula>VLOOKUP('Fitting Seçim Aracı'!$D$3,Wrought_Fit_Chem._Comp[],2,FALSE)</calculatedColumnFormula>
    </tableColumn>
    <tableColumn id="2" name="Mn%" dataDxfId="651">
      <calculatedColumnFormula>VLOOKUP('Fitting Seçim Aracı'!$D$3,Wrought_Fit_Chem._Comp[],3,FALSE)</calculatedColumnFormula>
    </tableColumn>
    <tableColumn id="3" name="Si%" dataDxfId="650">
      <calculatedColumnFormula>VLOOKUP('Fitting Seçim Aracı'!$D$3,Wrought_Fit_Chem._Comp[],4,FALSE)</calculatedColumnFormula>
    </tableColumn>
    <tableColumn id="4" name="S%" dataDxfId="649">
      <calculatedColumnFormula>VLOOKUP('Fitting Seçim Aracı'!$D$3,Wrought_Fit_Chem._Comp[],5,FALSE)</calculatedColumnFormula>
    </tableColumn>
    <tableColumn id="5" name="P%" dataDxfId="648">
      <calculatedColumnFormula>VLOOKUP('Fitting Seçim Aracı'!$D$3,Wrought_Fit_Chem._Comp[],6,FALSE)</calculatedColumnFormula>
    </tableColumn>
    <tableColumn id="6" name="Cr%" dataDxfId="647">
      <calculatedColumnFormula>VLOOKUP('Fitting Seçim Aracı'!$D$3,Wrought_Fit_Chem._Comp[],7,FALSE)</calculatedColumnFormula>
    </tableColumn>
    <tableColumn id="7" name="Ni%" dataDxfId="646">
      <calculatedColumnFormula>VLOOKUP('Fitting Seçim Aracı'!$D$3,Wrought_Fit_Chem._Comp[],8,FALSE)</calculatedColumnFormula>
    </tableColumn>
    <tableColumn id="8" name="Mo%" dataDxfId="645">
      <calculatedColumnFormula>VLOOKUP('Fitting Seçim Aracı'!$D$3,Wrought_Fit_Chem._Comp[],9,FALSE)</calculatedColumnFormula>
    </tableColumn>
    <tableColumn id="9" name="V%" dataDxfId="644">
      <calculatedColumnFormula>VLOOKUP('Fitting Seçim Aracı'!$D$3,Wrought_Fit_Chem._Comp[],10,FALSE)</calculatedColumnFormula>
    </tableColumn>
    <tableColumn id="10" name="Cu%" dataDxfId="643">
      <calculatedColumnFormula>VLOOKUP('Fitting Seçim Aracı'!$D$3,Wrought_Fit_Chem._Comp[],11,FALSE)</calculatedColumnFormula>
    </tableColumn>
    <tableColumn id="11" name="Columbium %" dataDxfId="642">
      <calculatedColumnFormula>VLOOKUP('Fitting Seçim Aracı'!$D$3,Wrought_Fit_Chem._Comp[],12,FALSE)</calculatedColumnFormula>
    </tableColumn>
    <tableColumn id="12" name="Al %" dataDxfId="641">
      <calculatedColumnFormula>VLOOKUP('Fitting Seçim Aracı'!$D$3,Wrought_Fit_Chem._Comp[],13,FALSE)</calculatedColumnFormula>
    </tableColumn>
    <tableColumn id="13" name="Other" dataDxfId="640">
      <calculatedColumnFormula>VLOOKUP('Fitting Seçim Aracı'!$D$3,Wrought_Fit_Chem._Comp[],14,FALSE)</calculatedColumnFormula>
    </tableColumn>
  </tableColumns>
  <tableStyleInfo name="TableStyleMedium15" showFirstColumn="0" showLastColumn="0" showRowStripes="1" showColumnStripes="0"/>
</table>
</file>

<file path=xl/tables/table16.xml><?xml version="1.0" encoding="utf-8"?>
<table xmlns="http://schemas.openxmlformats.org/spreadsheetml/2006/main" id="16" name="Tablo56" displayName="Tablo56" ref="A19:J20" headerRowCount="1" totalsRowShown="0" headerRowDxfId="639" dataDxfId="638">
  <autoFilter ref="A19:J20">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autoFilter>
  <tableColumns count="10">
    <tableColumn id="1" name="Yield Strength Min, psi" dataDxfId="637">
      <calculatedColumnFormula>VLOOKUP($D$3,Wrought_Fit_Mech._Prop.[],2,FALSE)</calculatedColumnFormula>
    </tableColumn>
    <tableColumn id="2" name="Yield Strength Min, N/mm²" dataDxfId="636">
      <calculatedColumnFormula>VLOOKUP($D$3,Wrought_Fit_Mech._Prop.[],3,FALSE)</calculatedColumnFormula>
    </tableColumn>
    <tableColumn id="3" name="Tensile Strength Min, psi" dataDxfId="635">
      <calculatedColumnFormula>VLOOKUP($D$3,Wrought_Fit_Mech._Prop.[],4,FALSE)</calculatedColumnFormula>
    </tableColumn>
    <tableColumn id="4" name="Tensile Strength Min, N/mm²" dataDxfId="634">
      <calculatedColumnFormula>VLOOKUP($D$3,Wrought_Fit_Mech._Prop.[],5,FALSE)</calculatedColumnFormula>
    </tableColumn>
    <tableColumn id="5" name="Elongation (%)" dataDxfId="633">
      <calculatedColumnFormula>VLOOKUP($D$3,Wrought_Fit_Mech._Prop.[],6,FALSE)</calculatedColumnFormula>
    </tableColumn>
    <tableColumn id="6" name="Reduction of Area (%)" dataDxfId="632">
      <calculatedColumnFormula>VLOOKUP($D$3,Wrought_Fit_Mech._Prop.[],7,FALSE)</calculatedColumnFormula>
    </tableColumn>
    <tableColumn id="7" name="Hardness, maximum HBW" dataDxfId="631">
      <calculatedColumnFormula>VLOOKUP($D$3,Wrought_Fit_Mech._Prop.[],8,FALSE)</calculatedColumnFormula>
    </tableColumn>
    <tableColumn id="8" name="CVN Avarage" dataDxfId="630">
      <calculatedColumnFormula>VLOOKUP($D$3,Wrought_Fit_Mech._Prop.[],9,FALSE)</calculatedColumnFormula>
    </tableColumn>
    <tableColumn id="9" name="CVN Min" dataDxfId="629">
      <calculatedColumnFormula>VLOOKUP($D$3,Wrought_Fit_Mech._Prop.[],10,FALSE)</calculatedColumnFormula>
    </tableColumn>
    <tableColumn id="10" name="CVN Temp C" dataDxfId="628">
      <calculatedColumnFormula>VLOOKUP($D$3,Wrought_Fit_Mech._Prop.[],11,FALSE)</calculatedColumnFormula>
    </tableColumn>
  </tableColumns>
  <tableStyleInfo name="TableStyleMedium15" showFirstColumn="0" showLastColumn="0" showRowStripes="1" showColumnStripes="0"/>
</table>
</file>

<file path=xl/tables/table17.xml><?xml version="1.0" encoding="utf-8"?>
<table xmlns="http://schemas.openxmlformats.org/spreadsheetml/2006/main" id="17" name="Tablo5560" displayName="Tablo5560" ref="A24:M25" headerRowCount="1" totalsRowShown="0" headerRowDxfId="627" dataDxfId="626">
  <autoFilter ref="A24:M2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autoFilter>
  <tableColumns count="13">
    <tableColumn id="1" name="C%" dataDxfId="625">
      <calculatedColumnFormula>VLOOKUP('Fitting Seçim Aracı'!$D$4,Wrought_Fit_Chem._Comp[],2,FALSE)</calculatedColumnFormula>
    </tableColumn>
    <tableColumn id="2" name="Mn%" dataDxfId="624">
      <calculatedColumnFormula>VLOOKUP('Fitting Seçim Aracı'!$D$4,Wrought_Fit_Chem._Comp[],3,FALSE)</calculatedColumnFormula>
    </tableColumn>
    <tableColumn id="3" name="Si%" dataDxfId="623">
      <calculatedColumnFormula>VLOOKUP('Fitting Seçim Aracı'!$D$4,Wrought_Fit_Chem._Comp[],4,FALSE)</calculatedColumnFormula>
    </tableColumn>
    <tableColumn id="4" name="S%" dataDxfId="622">
      <calculatedColumnFormula>VLOOKUP('Fitting Seçim Aracı'!$D$4,Wrought_Fit_Chem._Comp[],5,FALSE)</calculatedColumnFormula>
    </tableColumn>
    <tableColumn id="5" name="P%" dataDxfId="621">
      <calculatedColumnFormula>VLOOKUP('Fitting Seçim Aracı'!$D$4,Wrought_Fit_Chem._Comp[],6,FALSE)</calculatedColumnFormula>
    </tableColumn>
    <tableColumn id="6" name="Cr%" dataDxfId="620">
      <calculatedColumnFormula>VLOOKUP('Fitting Seçim Aracı'!$D$4,Wrought_Fit_Chem._Comp[],7,FALSE)</calculatedColumnFormula>
    </tableColumn>
    <tableColumn id="7" name="Ni%" dataDxfId="619">
      <calculatedColumnFormula>VLOOKUP('Fitting Seçim Aracı'!$D$4,Wrought_Fit_Chem._Comp[],8,FALSE)</calculatedColumnFormula>
    </tableColumn>
    <tableColumn id="8" name="Mo%" dataDxfId="618">
      <calculatedColumnFormula>VLOOKUP('Fitting Seçim Aracı'!$D$4,Wrought_Fit_Chem._Comp[],9,FALSE)</calculatedColumnFormula>
    </tableColumn>
    <tableColumn id="9" name="V%" dataDxfId="617">
      <calculatedColumnFormula>VLOOKUP('Fitting Seçim Aracı'!$D$4,Wrought_Fit_Chem._Comp[],10,FALSE)</calculatedColumnFormula>
    </tableColumn>
    <tableColumn id="10" name="Cu%" dataDxfId="616">
      <calculatedColumnFormula>VLOOKUP('Fitting Seçim Aracı'!$D$4,Wrought_Fit_Chem._Comp[],11,FALSE)</calculatedColumnFormula>
    </tableColumn>
    <tableColumn id="11" name="Columbium %" dataDxfId="615">
      <calculatedColumnFormula>VLOOKUP('Fitting Seçim Aracı'!$D$4,Wrought_Fit_Chem._Comp[],12,FALSE)</calculatedColumnFormula>
    </tableColumn>
    <tableColumn id="12" name="Al %" dataDxfId="614">
      <calculatedColumnFormula>VLOOKUP('Fitting Seçim Aracı'!$D$4,Wrought_Fit_Chem._Comp[],13,FALSE)</calculatedColumnFormula>
    </tableColumn>
    <tableColumn id="13" name="Other" dataDxfId="613">
      <calculatedColumnFormula>VLOOKUP('Fitting Seçim Aracı'!$D$4,Wrought_Fit_Chem._Comp[],14,FALSE)</calculatedColumnFormula>
    </tableColumn>
  </tableColumns>
  <tableStyleInfo name="TableStyleMedium15" showFirstColumn="0" showLastColumn="0" showRowStripes="1" showColumnStripes="0"/>
</table>
</file>

<file path=xl/tables/table18.xml><?xml version="1.0" encoding="utf-8"?>
<table xmlns="http://schemas.openxmlformats.org/spreadsheetml/2006/main" id="18" name="Tablo5661" displayName="Tablo5661" ref="A28:J29" headerRowCount="1" totalsRowShown="0" headerRowDxfId="612" dataDxfId="611">
  <autoFilter ref="A28:J2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autoFilter>
  <tableColumns count="10">
    <tableColumn id="1" name="Yield Strength Min, psi" dataDxfId="610">
      <calculatedColumnFormula>VLOOKUP($D$4,Wrought_Fit_Mech._Prop.[],2,FALSE)</calculatedColumnFormula>
    </tableColumn>
    <tableColumn id="2" name="Yield Strength Min, N/mm²" dataDxfId="609">
      <calculatedColumnFormula>VLOOKUP($D$4,Wrought_Fit_Mech._Prop.[],3,FALSE)</calculatedColumnFormula>
    </tableColumn>
    <tableColumn id="3" name="Tensile Strength Min, psi" dataDxfId="608">
      <calculatedColumnFormula>VLOOKUP($D$4,Wrought_Fit_Mech._Prop.[],4,FALSE)</calculatedColumnFormula>
    </tableColumn>
    <tableColumn id="4" name="Tensile Strength Min, N/mm²" dataDxfId="607">
      <calculatedColumnFormula>VLOOKUP($D$4,Wrought_Fit_Mech._Prop.[],5,FALSE)</calculatedColumnFormula>
    </tableColumn>
    <tableColumn id="5" name="Elongation (%)" dataDxfId="606">
      <calculatedColumnFormula>VLOOKUP($D$4,Wrought_Fit_Mech._Prop.[],6,FALSE)</calculatedColumnFormula>
    </tableColumn>
    <tableColumn id="6" name="Reduction of Area (%)" dataDxfId="605">
      <calculatedColumnFormula>VLOOKUP($D$4,Wrought_Fit_Mech._Prop.[],7,FALSE)</calculatedColumnFormula>
    </tableColumn>
    <tableColumn id="7" name="Hardness, maximum HBW" dataDxfId="604">
      <calculatedColumnFormula>VLOOKUP($D$4,Wrought_Fit_Mech._Prop.[],8,FALSE)</calculatedColumnFormula>
    </tableColumn>
    <tableColumn id="8" name="CVN Avarage" dataDxfId="603">
      <calculatedColumnFormula>VLOOKUP($D$4,Wrought_Fit_Mech._Prop.[],9,FALSE)</calculatedColumnFormula>
    </tableColumn>
    <tableColumn id="9" name="CVN Min" dataDxfId="602">
      <calculatedColumnFormula>VLOOKUP($D$4,Wrought_Fit_Mech._Prop.[],10,FALSE)</calculatedColumnFormula>
    </tableColumn>
    <tableColumn id="10" name="CVN Temp C" dataDxfId="601">
      <calculatedColumnFormula>VLOOKUP($D$4,Wrought_Fit_Mech._Prop.[],11,FALSE)</calculatedColumnFormula>
    </tableColumn>
  </tableColumns>
  <tableStyleInfo name="TableStyleMedium15" showFirstColumn="0" showLastColumn="0" showRowStripes="1" showColumnStripes="0"/>
</table>
</file>

<file path=xl/tables/table19.xml><?xml version="1.0" encoding="utf-8"?>
<table xmlns="http://schemas.openxmlformats.org/spreadsheetml/2006/main" id="19" name="Tablo556062" displayName="Tablo556062" ref="A32:M33" headerRowCount="1" totalsRowShown="0" headerRowDxfId="600" dataDxfId="599">
  <autoFilter ref="A32:M33"/>
  <tableColumns count="13">
    <tableColumn id="1" name="C%" dataDxfId="598">
      <calculatedColumnFormula>VLOOKUP('Fitting Seçim Aracı'!$D$4,Wrought_Fit_Chem._Comp[],2,FALSE)</calculatedColumnFormula>
    </tableColumn>
    <tableColumn id="2" name="Mn%" dataDxfId="597">
      <calculatedColumnFormula>VLOOKUP('Fitting Seçim Aracı'!$D$4,Wrought_Fit_Chem._Comp[],3,FALSE)</calculatedColumnFormula>
    </tableColumn>
    <tableColumn id="3" name="Si%" dataDxfId="596">
      <calculatedColumnFormula>VLOOKUP('Fitting Seçim Aracı'!$D$4,Wrought_Fit_Chem._Comp[],4,FALSE)</calculatedColumnFormula>
    </tableColumn>
    <tableColumn id="4" name="S%" dataDxfId="595">
      <calculatedColumnFormula>VLOOKUP('Fitting Seçim Aracı'!$D$4,Wrought_Fit_Chem._Comp[],5,FALSE)</calculatedColumnFormula>
    </tableColumn>
    <tableColumn id="5" name="P%" dataDxfId="594">
      <calculatedColumnFormula>VLOOKUP('Fitting Seçim Aracı'!$D$4,Wrought_Fit_Chem._Comp[],6,FALSE)</calculatedColumnFormula>
    </tableColumn>
    <tableColumn id="6" name="Cr%" dataDxfId="593">
      <calculatedColumnFormula>VLOOKUP('Fitting Seçim Aracı'!$D$4,Wrought_Fit_Chem._Comp[],7,FALSE)</calculatedColumnFormula>
    </tableColumn>
    <tableColumn id="7" name="Ni%" dataDxfId="592">
      <calculatedColumnFormula>VLOOKUP('Fitting Seçim Aracı'!$D$4,Wrought_Fit_Chem._Comp[],8,FALSE)</calculatedColumnFormula>
    </tableColumn>
    <tableColumn id="8" name="Mo%" dataDxfId="591">
      <calculatedColumnFormula>VLOOKUP('Fitting Seçim Aracı'!$D$4,Wrought_Fit_Chem._Comp[],9,FALSE)</calculatedColumnFormula>
    </tableColumn>
    <tableColumn id="9" name="V%" dataDxfId="590">
      <calculatedColumnFormula>VLOOKUP('Fitting Seçim Aracı'!$D$4,Wrought_Fit_Chem._Comp[],10,FALSE)</calculatedColumnFormula>
    </tableColumn>
    <tableColumn id="10" name="Cu%" dataDxfId="589">
      <calculatedColumnFormula>VLOOKUP('Fitting Seçim Aracı'!$D$4,Wrought_Fit_Chem._Comp[],11,FALSE)</calculatedColumnFormula>
    </tableColumn>
    <tableColumn id="11" name="Columbium %" dataDxfId="588">
      <calculatedColumnFormula>VLOOKUP('Fitting Seçim Aracı'!$D$4,Wrought_Fit_Chem._Comp[],12,FALSE)</calculatedColumnFormula>
    </tableColumn>
    <tableColumn id="12" name="Al %" dataDxfId="587">
      <calculatedColumnFormula>VLOOKUP('Fitting Seçim Aracı'!$D$4,Wrought_Fit_Chem._Comp[],13,FALSE)</calculatedColumnFormula>
    </tableColumn>
    <tableColumn id="13" name="Other" dataDxfId="586">
      <calculatedColumnFormula>VLOOKUP('Fitting Seçim Aracı'!$D$4,Wrought_Fit_Chem._Comp[],14,FALSE)</calculatedColumnFormula>
    </tableColumn>
  </tableColumns>
  <tableStyleInfo name="TableStyleMedium15" showFirstColumn="0" showLastColumn="0" showRowStripes="1" showColumnStripes="0"/>
</table>
</file>

<file path=xl/tables/table20.xml><?xml version="1.0" encoding="utf-8"?>
<table xmlns="http://schemas.openxmlformats.org/spreadsheetml/2006/main" id="20" name="Tablo566163" displayName="Tablo566163" ref="A36:J37" headerRowCount="1" totalsRowShown="0" headerRowDxfId="585" dataDxfId="584">
  <autoFilter ref="A36:J37"/>
  <tableColumns count="10">
    <tableColumn id="1" name="Yield Strength Min, psi" dataDxfId="583">
      <calculatedColumnFormula>VLOOKUP($D$4,Wrought_Fit_Mech._Prop.[],2,FALSE)</calculatedColumnFormula>
    </tableColumn>
    <tableColumn id="2" name="Yield Strength Min, N/mm²" dataDxfId="582">
      <calculatedColumnFormula>VLOOKUP($D$4,Wrought_Fit_Mech._Prop.[],3,FALSE)</calculatedColumnFormula>
    </tableColumn>
    <tableColumn id="3" name="Tensile Strength Min, psi" dataDxfId="581">
      <calculatedColumnFormula>VLOOKUP($D$4,Wrought_Fit_Mech._Prop.[],4,FALSE)</calculatedColumnFormula>
    </tableColumn>
    <tableColumn id="4" name="Tensile Strength Min, N/mm²" dataDxfId="580">
      <calculatedColumnFormula>VLOOKUP($D$4,Wrought_Fit_Mech._Prop.[],5,FALSE)</calculatedColumnFormula>
    </tableColumn>
    <tableColumn id="5" name="Elongation (%)" dataDxfId="579">
      <calculatedColumnFormula>VLOOKUP($D$4,Wrought_Fit_Mech._Prop.[],6,FALSE)</calculatedColumnFormula>
    </tableColumn>
    <tableColumn id="6" name="Reduction of Area (%)" dataDxfId="578">
      <calculatedColumnFormula>VLOOKUP($D$4,Wrought_Fit_Mech._Prop.[],7,FALSE)</calculatedColumnFormula>
    </tableColumn>
    <tableColumn id="7" name="Hardness, maximum HBW" dataDxfId="577">
      <calculatedColumnFormula>VLOOKUP($D$4,Wrought_Fit_Mech._Prop.[],8,FALSE)</calculatedColumnFormula>
    </tableColumn>
    <tableColumn id="8" name="CVN Avarage" dataDxfId="576">
      <calculatedColumnFormula>VLOOKUP($D$4,Wrought_Fit_Mech._Prop.[],9,FALSE)</calculatedColumnFormula>
    </tableColumn>
    <tableColumn id="9" name="CVN Min" dataDxfId="575">
      <calculatedColumnFormula>VLOOKUP($D$4,Wrought_Fit_Mech._Prop.[],10,FALSE)</calculatedColumnFormula>
    </tableColumn>
    <tableColumn id="10" name="CVN Temp C" dataDxfId="574">
      <calculatedColumnFormula>VLOOKUP($D$4,Wrought_Fit_Mech._Prop.[],11,FALSE)</calculatedColumnFormula>
    </tableColumn>
  </tableColumns>
  <tableStyleInfo name="TableStyleMedium15" showFirstColumn="0" showLastColumn="0" showRowStripes="1" showColumnStripes="0"/>
</table>
</file>

<file path=xl/tables/table21.xml><?xml version="1.0" encoding="utf-8"?>
<table xmlns="http://schemas.openxmlformats.org/spreadsheetml/2006/main" id="21" name="Tablo55606266" displayName="Tablo55606266" ref="A40:M41" headerRowCount="1" totalsRowShown="0" headerRowDxfId="573" dataDxfId="572">
  <autoFilter ref="A40:M41"/>
  <tableColumns count="13">
    <tableColumn id="1" name="C%" dataDxfId="571">
      <calculatedColumnFormula>VLOOKUP('Fitting Seçim Aracı'!$D$4,Wrought_Fit_Chem._Comp[],2,FALSE)</calculatedColumnFormula>
    </tableColumn>
    <tableColumn id="2" name="Mn%" dataDxfId="570">
      <calculatedColumnFormula>VLOOKUP('Fitting Seçim Aracı'!$D$4,Wrought_Fit_Chem._Comp[],3,FALSE)</calculatedColumnFormula>
    </tableColumn>
    <tableColumn id="3" name="Si%" dataDxfId="569">
      <calculatedColumnFormula>VLOOKUP('Fitting Seçim Aracı'!$D$4,Wrought_Fit_Chem._Comp[],4,FALSE)</calculatedColumnFormula>
    </tableColumn>
    <tableColumn id="4" name="S%" dataDxfId="568">
      <calculatedColumnFormula>VLOOKUP('Fitting Seçim Aracı'!$D$4,Wrought_Fit_Chem._Comp[],5,FALSE)</calculatedColumnFormula>
    </tableColumn>
    <tableColumn id="5" name="P%" dataDxfId="567">
      <calculatedColumnFormula>VLOOKUP('Fitting Seçim Aracı'!$D$4,Wrought_Fit_Chem._Comp[],6,FALSE)</calculatedColumnFormula>
    </tableColumn>
    <tableColumn id="6" name="Cr%" dataDxfId="566">
      <calculatedColumnFormula>VLOOKUP('Fitting Seçim Aracı'!$D$4,Wrought_Fit_Chem._Comp[],7,FALSE)</calculatedColumnFormula>
    </tableColumn>
    <tableColumn id="7" name="Ni%" dataDxfId="565">
      <calculatedColumnFormula>VLOOKUP('Fitting Seçim Aracı'!$D$4,Wrought_Fit_Chem._Comp[],8,FALSE)</calculatedColumnFormula>
    </tableColumn>
    <tableColumn id="8" name="Mo%" dataDxfId="564">
      <calculatedColumnFormula>VLOOKUP('Fitting Seçim Aracı'!$D$4,Wrought_Fit_Chem._Comp[],9,FALSE)</calculatedColumnFormula>
    </tableColumn>
    <tableColumn id="9" name="V%" dataDxfId="563">
      <calculatedColumnFormula>VLOOKUP('Fitting Seçim Aracı'!$D$4,Wrought_Fit_Chem._Comp[],10,FALSE)</calculatedColumnFormula>
    </tableColumn>
    <tableColumn id="10" name="Cu%" dataDxfId="562">
      <calculatedColumnFormula>VLOOKUP('Fitting Seçim Aracı'!$D$4,Wrought_Fit_Chem._Comp[],11,FALSE)</calculatedColumnFormula>
    </tableColumn>
    <tableColumn id="11" name="Columbium %" dataDxfId="561">
      <calculatedColumnFormula>VLOOKUP('Fitting Seçim Aracı'!$D$4,Wrought_Fit_Chem._Comp[],12,FALSE)</calculatedColumnFormula>
    </tableColumn>
    <tableColumn id="12" name="Al %" dataDxfId="560">
      <calculatedColumnFormula>VLOOKUP('Fitting Seçim Aracı'!$D$4,Wrought_Fit_Chem._Comp[],13,FALSE)</calculatedColumnFormula>
    </tableColumn>
    <tableColumn id="13" name="Other" dataDxfId="559">
      <calculatedColumnFormula>VLOOKUP('Fitting Seçim Aracı'!$D$4,Wrought_Fit_Chem._Comp[],14,FALSE)</calculatedColumnFormula>
    </tableColumn>
  </tableColumns>
  <tableStyleInfo name="TableStyleMedium15" showFirstColumn="0" showLastColumn="0" showRowStripes="1" showColumnStripes="0"/>
</table>
</file>

<file path=xl/tables/table22.xml><?xml version="1.0" encoding="utf-8"?>
<table xmlns="http://schemas.openxmlformats.org/spreadsheetml/2006/main" id="22" name="Tablo56616367" displayName="Tablo56616367" ref="A44:J45" headerRowCount="1" totalsRowShown="0" headerRowDxfId="558" dataDxfId="557">
  <autoFilter ref="A44:J45"/>
  <tableColumns count="10">
    <tableColumn id="1" name="Yield Strength Min, psi" dataDxfId="556">
      <calculatedColumnFormula>VLOOKUP($D$4,Wrought_Fit_Mech._Prop.[],2,FALSE)</calculatedColumnFormula>
    </tableColumn>
    <tableColumn id="2" name="Yield Strength Min, N/mm²" dataDxfId="555">
      <calculatedColumnFormula>VLOOKUP($D$4,Wrought_Fit_Mech._Prop.[],3,FALSE)</calculatedColumnFormula>
    </tableColumn>
    <tableColumn id="3" name="Tensile Strength Min, psi" dataDxfId="554">
      <calculatedColumnFormula>VLOOKUP($D$4,Wrought_Fit_Mech._Prop.[],4,FALSE)</calculatedColumnFormula>
    </tableColumn>
    <tableColumn id="4" name="Tensile Strength Min, N/mm²" dataDxfId="553">
      <calculatedColumnFormula>VLOOKUP($D$4,Wrought_Fit_Mech._Prop.[],5,FALSE)</calculatedColumnFormula>
    </tableColumn>
    <tableColumn id="5" name="Elongation (%)" dataDxfId="552">
      <calculatedColumnFormula>VLOOKUP($D$4,Wrought_Fit_Mech._Prop.[],6,FALSE)</calculatedColumnFormula>
    </tableColumn>
    <tableColumn id="6" name="Reduction of Area (%)" dataDxfId="551">
      <calculatedColumnFormula>VLOOKUP($D$4,Wrought_Fit_Mech._Prop.[],7,FALSE)</calculatedColumnFormula>
    </tableColumn>
    <tableColumn id="7" name="Hardness, maximum HBW" dataDxfId="550">
      <calculatedColumnFormula>VLOOKUP($D$4,Wrought_Fit_Mech._Prop.[],8,FALSE)</calculatedColumnFormula>
    </tableColumn>
    <tableColumn id="8" name="CVN Avarage" dataDxfId="549">
      <calculatedColumnFormula>VLOOKUP($D$4,Wrought_Fit_Mech._Prop.[],9,FALSE)</calculatedColumnFormula>
    </tableColumn>
    <tableColumn id="9" name="CVN Min" dataDxfId="548">
      <calculatedColumnFormula>VLOOKUP($D$4,Wrought_Fit_Mech._Prop.[],10,FALSE)</calculatedColumnFormula>
    </tableColumn>
    <tableColumn id="10" name="CVN Temp C" dataDxfId="547">
      <calculatedColumnFormula>VLOOKUP($D$4,Wrought_Fit_Mech._Prop.[],11,FALSE)</calculatedColumnFormula>
    </tableColumn>
  </tableColumns>
  <tableStyleInfo name="TableStyleMedium15" showFirstColumn="0" showLastColumn="0" showRowStripes="1" showColumnStripes="0"/>
</table>
</file>

<file path=xl/tables/table23.xml><?xml version="1.0" encoding="utf-8"?>
<table xmlns="http://schemas.openxmlformats.org/spreadsheetml/2006/main" id="23" name="Tablo5560626640" displayName="Tablo5560626640" ref="A66:N74" headerRowCount="1" totalsRowShown="0" headerRowDxfId="546" dataDxfId="545">
  <autoFilter ref="A66:N7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5" name="Grade" dataDxfId="544"/>
    <tableColumn id="1" name="C%" dataDxfId="543"/>
    <tableColumn id="2" name="Mn%" dataDxfId="542"/>
    <tableColumn id="3" name="Si%" dataDxfId="541"/>
    <tableColumn id="4" name="S%" dataDxfId="540"/>
    <tableColumn id="5" name="P%" dataDxfId="539"/>
    <tableColumn id="6" name="Cr%" dataDxfId="538"/>
    <tableColumn id="7" name="Ni%" dataDxfId="537"/>
    <tableColumn id="8" name="Mo%" dataDxfId="536"/>
    <tableColumn id="9" name="V%" dataDxfId="535"/>
    <tableColumn id="10" name="Cu%" dataDxfId="534"/>
    <tableColumn id="11" name="Columbium %" dataDxfId="533"/>
    <tableColumn id="12" name="Al %" dataDxfId="532"/>
    <tableColumn id="13" name="Other" dataDxfId="531"/>
  </tableColumns>
  <tableStyleInfo name="TableStyleMedium15" showFirstColumn="0" showLastColumn="0" showRowStripes="1" showColumnStripes="0"/>
</table>
</file>

<file path=xl/tables/table24.xml><?xml version="1.0" encoding="utf-8"?>
<table xmlns="http://schemas.openxmlformats.org/spreadsheetml/2006/main" id="24" name="Tablo5661636742" displayName="Tablo5661636742" ref="A79:K87" headerRowCount="1" totalsRowShown="0" headerRowDxfId="530" dataDxfId="529">
  <autoFilter ref="A79:K8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autoFilter>
  <tableColumns count="11">
    <tableColumn id="11" name="Grade" dataDxfId="528"/>
    <tableColumn id="1" name="Yield Strength Min, psi" dataDxfId="527">
      <calculatedColumnFormula>VLOOKUP($D$4,Wrought_Fit_Mech._Prop.[],2,FALSE)</calculatedColumnFormula>
    </tableColumn>
    <tableColumn id="2" name="Yield Strength Min, N/mm²" dataDxfId="526"/>
    <tableColumn id="3" name="Tensile Strength Min, psi" dataDxfId="525">
      <calculatedColumnFormula>VLOOKUP($D$4,Wrought_Fit_Mech._Prop.[],4,FALSE)</calculatedColumnFormula>
    </tableColumn>
    <tableColumn id="4" name="Tensile Strength Min, N/mm²" dataDxfId="524">
      <calculatedColumnFormula>VLOOKUP($D$4,Wrought_Fit_Mech._Prop.[],5,FALSE)</calculatedColumnFormula>
    </tableColumn>
    <tableColumn id="5" name="Elongation (%)" dataDxfId="523">
      <calculatedColumnFormula>VLOOKUP($D$4,Wrought_Fit_Mech._Prop.[],6,FALSE)</calculatedColumnFormula>
    </tableColumn>
    <tableColumn id="6" name="Reduction of Area (%)" dataDxfId="522">
      <calculatedColumnFormula>VLOOKUP($D$4,Wrought_Fit_Mech._Prop.[],7,FALSE)</calculatedColumnFormula>
    </tableColumn>
    <tableColumn id="7" name="Hardness, maximum HBW" dataDxfId="521">
      <calculatedColumnFormula>VLOOKUP($D$4,Wrought_Fit_Mech._Prop.[],8,FALSE)</calculatedColumnFormula>
    </tableColumn>
    <tableColumn id="8" name="CVN Avarage" dataDxfId="520">
      <calculatedColumnFormula>20*1.36</calculatedColumnFormula>
    </tableColumn>
    <tableColumn id="9" name="CVN Min" dataDxfId="519">
      <calculatedColumnFormula>15*1.36</calculatedColumnFormula>
    </tableColumn>
    <tableColumn id="10" name="CVN Temp C" dataDxfId="518">
      <calculatedColumnFormula>VLOOKUP($D$4,Wrought_Fit_Mech._Prop.[],11,FALSE)</calculatedColumnFormula>
    </tableColumn>
  </tableColumns>
  <tableStyleInfo name="TableStyleMedium15" showFirstColumn="0" showLastColumn="0" showRowStripes="1" showColumnStripes="0"/>
</table>
</file>

<file path=xl/tables/table25.xml><?xml version="1.0" encoding="utf-8"?>
<table xmlns="http://schemas.openxmlformats.org/spreadsheetml/2006/main" id="25" name="Tablo14" displayName="Tablo14" ref="A26:J27" headerRowCount="1" totalsRowShown="0" headerRowDxfId="517" dataDxfId="516">
  <autoFilter ref="A26:J2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autoFilter>
  <tableColumns count="10">
    <tableColumn id="1" name="Yield Strength Min, psi" dataDxfId="515">
      <calculatedColumnFormula>VLOOKUP($J$3,Tablo12[#All],2,0)</calculatedColumnFormula>
    </tableColumn>
    <tableColumn id="2" name="Yield Strength Min, N/mm²" dataDxfId="514">
      <calculatedColumnFormula>VLOOKUP($J$3,Tablo12[#All],3,0)</calculatedColumnFormula>
    </tableColumn>
    <tableColumn id="3" name="Tensile Strength Min, psi" dataDxfId="513">
      <calculatedColumnFormula>VLOOKUP($J$3,Tablo12[#All],4,0)</calculatedColumnFormula>
    </tableColumn>
    <tableColumn id="4" name="Tensile Strength Min, N/mm²" dataDxfId="512">
      <calculatedColumnFormula>VLOOKUP($J$3,Tablo12[#All],5,0)</calculatedColumnFormula>
    </tableColumn>
    <tableColumn id="5" name="Elongation (%)" dataDxfId="511">
      <calculatedColumnFormula>VLOOKUP($J$3,Tablo12[#All],6,0)</calculatedColumnFormula>
    </tableColumn>
    <tableColumn id="6" name="Reduction of Area (%)" dataDxfId="510">
      <calculatedColumnFormula>VLOOKUP($J$3,Tablo12[#All],7,0)</calculatedColumnFormula>
    </tableColumn>
    <tableColumn id="7" name="Hardness, maximum" dataDxfId="509">
      <calculatedColumnFormula>VLOOKUP($J$3,Tablo12[#All],8,0)</calculatedColumnFormula>
    </tableColumn>
    <tableColumn id="8" name="CVN Avarage" dataDxfId="508">
      <calculatedColumnFormula>VLOOKUP($J$3,Tablo12[#All],9,0)</calculatedColumnFormula>
    </tableColumn>
    <tableColumn id="9" name="CVN Min" dataDxfId="507">
      <calculatedColumnFormula>VLOOKUP($J$3,Tablo12[#All],10,0)</calculatedColumnFormula>
    </tableColumn>
    <tableColumn id="10" name="CVN Temp C" dataDxfId="506">
      <calculatedColumnFormula>VLOOKUP($J$3,Tablo12[#All],11,0)</calculatedColumnFormula>
    </tableColumn>
  </tableColumns>
  <tableStyleInfo name="TableStyleMedium15" showFirstColumn="0" showLastColumn="0" showRowStripes="1" showColumnStripes="0"/>
</table>
</file>

<file path=xl/tables/table26.xml><?xml version="1.0" encoding="utf-8"?>
<table xmlns="http://schemas.openxmlformats.org/spreadsheetml/2006/main" id="26" name="Tablo13" displayName="Tablo13" ref="A10:N11" headerRowCount="1" totalsRowShown="0" headerRowDxfId="505" dataDxfId="504">
  <autoFilter ref="A10:N1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4" name="Grade" dataDxfId="503">
      <calculatedColumnFormula>G3</calculatedColumnFormula>
    </tableColumn>
    <tableColumn id="1" name="C%" dataDxfId="502">
      <calculatedColumnFormula>VLOOKUP($G$3,Tablo11[#All],2,0)</calculatedColumnFormula>
    </tableColumn>
    <tableColumn id="2" name="Mn%" dataDxfId="501">
      <calculatedColumnFormula>VLOOKUP($G$3,Tablo11[#All],3,0)</calculatedColumnFormula>
    </tableColumn>
    <tableColumn id="3" name="Si%" dataDxfId="500">
      <calculatedColumnFormula>VLOOKUP($G$3,Tablo11[#All],4,0)</calculatedColumnFormula>
    </tableColumn>
    <tableColumn id="4" name="S%" dataDxfId="499">
      <calculatedColumnFormula>VLOOKUP($G$3,Tablo11[#All],5,0)</calculatedColumnFormula>
    </tableColumn>
    <tableColumn id="5" name="P%" dataDxfId="498">
      <calculatedColumnFormula>VLOOKUP($G$3,Tablo11[#All],6,0)</calculatedColumnFormula>
    </tableColumn>
    <tableColumn id="6" name="Cr%" dataDxfId="497">
      <calculatedColumnFormula>VLOOKUP($G$3,Tablo11[#All],7,0)</calculatedColumnFormula>
    </tableColumn>
    <tableColumn id="7" name="Ni%" dataDxfId="496">
      <calculatedColumnFormula>VLOOKUP($G$3,Tablo11[#All],8,0)</calculatedColumnFormula>
    </tableColumn>
    <tableColumn id="8" name="Mo%" dataDxfId="495">
      <calculatedColumnFormula>VLOOKUP($G$3,Tablo11[#All],9,0)</calculatedColumnFormula>
    </tableColumn>
    <tableColumn id="9" name="V%" dataDxfId="494">
      <calculatedColumnFormula>VLOOKUP($G$3,Tablo11[#All],10,0)</calculatedColumnFormula>
    </tableColumn>
    <tableColumn id="10" name="Cu%" dataDxfId="493">
      <calculatedColumnFormula>VLOOKUP($G$3,Tablo11[#All],11,0)</calculatedColumnFormula>
    </tableColumn>
    <tableColumn id="11" name="Nb%" dataDxfId="492">
      <calculatedColumnFormula>VLOOKUP($G$3,Tablo11[#All],12,0)</calculatedColumnFormula>
    </tableColumn>
    <tableColumn id="12" name="N%" dataDxfId="491">
      <calculatedColumnFormula>VLOOKUP($G$3,Tablo11[#All],13,0)</calculatedColumnFormula>
    </tableColumn>
    <tableColumn id="13" name="Other" dataDxfId="490">
      <calculatedColumnFormula>VLOOKUP($G$3,Tablo11[#All],14,0)</calculatedColumnFormula>
    </tableColumn>
  </tableColumns>
  <tableStyleInfo name="TableStyleMedium15" showFirstColumn="0" showLastColumn="0" showRowStripes="1" showColumnStripes="0"/>
</table>
</file>

<file path=xl/tables/table27.xml><?xml version="1.0" encoding="utf-8"?>
<table xmlns="http://schemas.openxmlformats.org/spreadsheetml/2006/main" id="27" name="Tablo1538" displayName="Tablo1538" ref="A2:K6" headerRowCount="1" totalsRowShown="0" headerRowDxfId="489" dataDxfId="488" tableBorderDxfId="487">
  <autoFilter ref="A2:K6">
    <filterColumn colId="0" hiddenButton="1" showButton="1"/>
    <filterColumn colId="1" hiddenButton="1" showButton="1"/>
    <filterColumn colId="2" hiddenButton="1" showButton="1"/>
    <filterColumn colId="3"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autoFilter>
  <tableColumns count="11">
    <tableColumn id="1" name="FİTTİNG" dataDxfId="486"/>
    <tableColumn id="2" name="Çap(inch)" dataDxfId="485"/>
    <tableColumn id="6" name="Çap(mm)" dataDxfId="484">
      <calculatedColumnFormula>VLOOKUP(Tablo1538[[#This Row],[Çap(inch)]],Fitting_Flanş[[#All],[BORU DIŞ ÇAPI Anma (inch)]:[Nominal (mm)]],4,0)</calculatedColumnFormula>
    </tableColumn>
    <tableColumn id="8" name="Class" dataDxfId="483">
      <calculatedColumnFormula>IF(Tablo1538[[#This Row],[Çap(mm)]]&gt;60.3," Class 600 "," Class 1500")</calculatedColumnFormula>
    </tableColumn>
    <tableColumn id="5" name="Malzeme" dataDxfId="482"/>
    <tableColumn id="9" name="Design Temp C" dataDxfId="481"/>
    <tableColumn id="3" name="Malzeme Standardı" dataDxfId="480">
      <calculatedColumnFormula>VLOOKUP(B3,Fitting_Flanş[#All],(IF(Tablo1538[[#This Row],[FİTTİNG]]="FLANŞ",6,5)),FALSE)</calculatedColumnFormula>
    </tableColumn>
    <tableColumn id="7" name="Üretim Standardı" dataDxfId="479"/>
    <tableColumn id="10" name="Boyut Kontrol Standardı" dataDxfId="478"/>
    <tableColumn id="11" name="Manuel Seçim Malzeme" dataDxfId="477"/>
    <tableColumn id="4" name="Manuel Seçim Üretim ve Malzeme" dataDxfId="476"/>
  </tableColumns>
  <tableStyleInfo name="TableStyleMedium15" showFirstColumn="0" showLastColumn="0" showRowStripes="1" showColumnStripes="0"/>
</table>
</file>

<file path=xl/tables/table28.xml><?xml version="1.0" encoding="utf-8"?>
<table xmlns="http://schemas.openxmlformats.org/spreadsheetml/2006/main" id="28" name="Tablo1341" displayName="Tablo1341" ref="A14:N15" headerRowCount="1" totalsRowShown="0" headerRowDxfId="475" dataDxfId="474">
  <autoFilter ref="A14:N1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4" name="Grade" dataDxfId="473">
      <calculatedColumnFormula>H3</calculatedColumnFormula>
    </tableColumn>
    <tableColumn id="1" name="C%" dataDxfId="472">
      <calculatedColumnFormula>VLOOKUP($H$3,$H$38:$U$49,2,0)</calculatedColumnFormula>
    </tableColumn>
    <tableColumn id="2" name="Mn%" dataDxfId="471">
      <calculatedColumnFormula>VLOOKUP($H$3,$H$38:$U$49,3,0)</calculatedColumnFormula>
    </tableColumn>
    <tableColumn id="3" name="Si%" dataDxfId="470">
      <calculatedColumnFormula>VLOOKUP($H$3,$H$38:$U$49,4,0)</calculatedColumnFormula>
    </tableColumn>
    <tableColumn id="4" name="S%" dataDxfId="469">
      <calculatedColumnFormula>VLOOKUP($H$3,$H$38:$U$49,5,0)</calculatedColumnFormula>
    </tableColumn>
    <tableColumn id="5" name="P%" dataDxfId="468">
      <calculatedColumnFormula>VLOOKUP($H$3,$H$38:$U$49,6,0)</calculatedColumnFormula>
    </tableColumn>
    <tableColumn id="6" name="Cr%" dataDxfId="467">
      <calculatedColumnFormula>VLOOKUP($H$3,$H$38:$U$49,7,0)</calculatedColumnFormula>
    </tableColumn>
    <tableColumn id="7" name="Ni%" dataDxfId="466">
      <calculatedColumnFormula>VLOOKUP($H$3,$H$38:$U$49,8,0)</calculatedColumnFormula>
    </tableColumn>
    <tableColumn id="8" name="Mo%" dataDxfId="465">
      <calculatedColumnFormula>VLOOKUP($H$3,$H$38:$U$49,9,0)</calculatedColumnFormula>
    </tableColumn>
    <tableColumn id="9" name="V%" dataDxfId="464">
      <calculatedColumnFormula>VLOOKUP($H$3,$H$38:$U$49,10,0)</calculatedColumnFormula>
    </tableColumn>
    <tableColumn id="10" name="Cu%" dataDxfId="463">
      <calculatedColumnFormula>VLOOKUP($H$3,$H$38:$U$49,11,0)</calculatedColumnFormula>
    </tableColumn>
    <tableColumn id="11" name="Nb%" dataDxfId="462">
      <calculatedColumnFormula>VLOOKUP($H$3,$H$38:$U$49,12,0)</calculatedColumnFormula>
    </tableColumn>
    <tableColumn id="12" name="N%" dataDxfId="461">
      <calculatedColumnFormula>VLOOKUP($H$3,$H$38:$U$49,13,0)</calculatedColumnFormula>
    </tableColumn>
    <tableColumn id="13" name="Other" dataDxfId="460">
      <calculatedColumnFormula>VLOOKUP($H$3,$H$38:$U$49,14,0)</calculatedColumnFormula>
    </tableColumn>
  </tableColumns>
  <tableStyleInfo name="TableStyleMedium15" showFirstColumn="0" showLastColumn="0" showRowStripes="1" showColumnStripes="0"/>
</table>
</file>

<file path=xl/tables/table29.xml><?xml version="1.0" encoding="utf-8"?>
<table xmlns="http://schemas.openxmlformats.org/spreadsheetml/2006/main" id="29" name="ÜretimStandardı" displayName="ÜretimStandardı" ref="A36:F52" headerRowCount="1" totalsRowShown="0" headerRowDxfId="459">
  <autoFilter ref="A36:F52">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Üretim Standardı"/>
    <tableColumn id="2" name="Malzeme Standardı"/>
    <tableColumn id="3" name="Class Asme B16.5"/>
    <tableColumn id="4" name="Design Temp Asme B16.5"/>
    <tableColumn id="6" name="Class MSS SP-44"/>
    <tableColumn id="5" name="Design Temp MSS SP-44"/>
  </tableColumns>
  <tableStyleInfo name="TableStyleMedium15" showFirstColumn="0" showLastColumn="0" showRowStripes="1" showColumnStripes="0"/>
</table>
</file>

<file path=xl/tables/table30.xml><?xml version="1.0" encoding="utf-8"?>
<table xmlns="http://schemas.openxmlformats.org/spreadsheetml/2006/main" id="30" name="Tablo1446" displayName="Tablo1446" ref="A30:K31" headerRowCount="1" totalsRowShown="0" headerRowDxfId="458" dataDxfId="456" headerRowBorderDxfId="457">
  <autoFilter ref="A30:K3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autoFilter>
  <tableColumns count="11">
    <tableColumn id="1" name="Grade" dataDxfId="455">
      <calculatedColumnFormula>K3</calculatedColumnFormula>
    </tableColumn>
    <tableColumn id="2" name="Yield Strength Min, psi" dataDxfId="454">
      <calculatedColumnFormula>VLOOKUP($K$3,Tablo49[],2,0)</calculatedColumnFormula>
    </tableColumn>
    <tableColumn id="3" name="Yield Strength Min, N/mm²" dataDxfId="453">
      <calculatedColumnFormula>VLOOKUP($K$3,Tablo49[],3,0)</calculatedColumnFormula>
    </tableColumn>
    <tableColumn id="4" name="Tensile Strength Min, psi" dataDxfId="452">
      <calculatedColumnFormula>VLOOKUP($K$3,Tablo49[],4,0)</calculatedColumnFormula>
    </tableColumn>
    <tableColumn id="5" name="Tensile Strength Min, N/mm²" dataDxfId="451">
      <calculatedColumnFormula>VLOOKUP($K$3,Tablo49[],5,0)</calculatedColumnFormula>
    </tableColumn>
    <tableColumn id="6" name="Elongation (%)" dataDxfId="450">
      <calculatedColumnFormula>VLOOKUP($K$3,Tablo49[],6,0)</calculatedColumnFormula>
    </tableColumn>
    <tableColumn id="7" name="Reduction of Area (%)" dataDxfId="449">
      <calculatedColumnFormula>VLOOKUP($K$3,Tablo49[],7,0)</calculatedColumnFormula>
    </tableColumn>
    <tableColumn id="8" name="Hardness, maximum HBW" dataDxfId="448">
      <calculatedColumnFormula>VLOOKUP($K$3,Tablo49[],8,0)</calculatedColumnFormula>
    </tableColumn>
    <tableColumn id="9" name="CVN Min avg." dataDxfId="447">
      <calculatedColumnFormula>VLOOKUP($K$3,Tablo49[],9,0)</calculatedColumnFormula>
    </tableColumn>
    <tableColumn id="10" name="CVN Min " dataDxfId="446">
      <calculatedColumnFormula>VLOOKUP($K$3,Tablo49[],10,0)</calculatedColumnFormula>
    </tableColumn>
    <tableColumn id="11" name="CVN Temp. Celc." dataDxfId="445">
      <calculatedColumnFormula>VLOOKUP($K$3,Tablo49[],11,0)</calculatedColumnFormula>
    </tableColumn>
  </tableColumns>
  <tableStyleInfo name="TableStyleMedium15" showFirstColumn="0" showLastColumn="0" showRowStripes="1" showColumnStripes="0"/>
</table>
</file>

<file path=xl/tables/table31.xml><?xml version="1.0" encoding="utf-8"?>
<table xmlns="http://schemas.openxmlformats.org/spreadsheetml/2006/main" id="31" name="MSS_Sp_44_Kimyasal_Kompozisyon" displayName="MSS_Sp_44_Kimyasal_Kompozisyon" ref="I38:U49" headerRowCount="1" totalsRowShown="0" dataDxfId="444" headerRowCellStyle="İyi" dataCellStyle="İyi">
  <autoFilter ref="I38:U4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autoFilter>
  <tableColumns count="13">
    <tableColumn id="1" name="C%" dataDxfId="443" dataCellStyle="Normal"/>
    <tableColumn id="2" name="Mn%" dataDxfId="442" dataCellStyle="Normal"/>
    <tableColumn id="3" name="Si%" dataDxfId="441" dataCellStyle="Normal"/>
    <tableColumn id="4" name="S%" dataDxfId="440" dataCellStyle="Normal"/>
    <tableColumn id="5" name="P%" dataDxfId="439" dataCellStyle="Normal"/>
    <tableColumn id="6" name="Cr%" dataDxfId="438" dataCellStyle="Normal"/>
    <tableColumn id="7" name="Ni%" dataDxfId="437" dataCellStyle="Normal"/>
    <tableColumn id="8" name="Mo%" dataDxfId="436" dataCellStyle="Normal"/>
    <tableColumn id="9" name="V%" dataDxfId="435" dataCellStyle="Normal"/>
    <tableColumn id="10" name="Cu%" dataDxfId="434" dataCellStyle="Normal"/>
    <tableColumn id="11" name="Nb%" dataDxfId="433" dataCellStyle="Normal"/>
    <tableColumn id="12" name="N%" dataDxfId="432" dataCellStyle="Normal"/>
    <tableColumn id="13" name="Other" dataDxfId="431" dataCellStyle="Normal"/>
  </tableColumns>
  <tableStyleInfo name="TableStyleMedium15" showFirstColumn="0" showLastColumn="0" showRowStripes="1" showColumnStripes="0"/>
</table>
</file>

<file path=xl/tables/table32.xml><?xml version="1.0" encoding="utf-8"?>
<table xmlns="http://schemas.openxmlformats.org/spreadsheetml/2006/main" id="32" name="Tablo48" displayName="Tablo48" ref="C68:H74" headerRowCount="1" totalsRowShown="0" headerRowDxfId="430" dataDxfId="429">
  <autoFilter ref="C68:H74"/>
  <tableColumns count="6">
    <tableColumn id="1" name="Temperature  ©" dataDxfId="428"/>
    <tableColumn id="2" name="150" dataDxfId="427"/>
    <tableColumn id="3" name="300" dataDxfId="426"/>
    <tableColumn id="4" name="400" dataDxfId="425"/>
    <tableColumn id="5" name="600" dataDxfId="424"/>
    <tableColumn id="6" name="900" dataDxfId="423"/>
  </tableColumns>
  <tableStyleInfo name="TableStyleMedium15" showFirstColumn="0" showLastColumn="0" showRowStripes="1" showColumnStripes="0"/>
</table>
</file>

<file path=xl/tables/table33.xml><?xml version="1.0" encoding="utf-8"?>
<table xmlns="http://schemas.openxmlformats.org/spreadsheetml/2006/main" id="33" name="Tablo49" displayName="Tablo49" ref="B55:L66" headerRowCount="1" totalsRowShown="0" headerRowDxfId="422" dataDxfId="421">
  <autoFilter ref="B55:L6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autoFilter>
  <tableColumns count="11">
    <tableColumn id="1" name="Grade" dataDxfId="420"/>
    <tableColumn id="2" name="Yield Strength Min, psi" dataDxfId="419"/>
    <tableColumn id="3" name="Yield Strength Min, N/mm²" dataDxfId="418"/>
    <tableColumn id="4" name="Tensile Strength Min, psi" dataDxfId="417"/>
    <tableColumn id="5" name="Tensile Strength Min, N/mm²" dataDxfId="416"/>
    <tableColumn id="6" name="Elongation (%)" dataDxfId="415"/>
    <tableColumn id="7" name="Reduction of Area (%)" dataDxfId="414"/>
    <tableColumn id="8" name="Hardness, maximum HBW" dataDxfId="413"/>
    <tableColumn id="9" name="CVN Min avg." dataDxfId="412"/>
    <tableColumn id="10" name="CVN Min " dataDxfId="411"/>
    <tableColumn id="11" name="CVN Temp. Celc." dataDxfId="410"/>
  </tableColumns>
  <tableStyleInfo name="TableStyleMedium15" showFirstColumn="0" showLastColumn="0" showRowStripes="1" showColumnStripes="0"/>
</table>
</file>

<file path=xl/tables/table34.xml><?xml version="1.0" encoding="utf-8"?>
<table xmlns="http://schemas.openxmlformats.org/spreadsheetml/2006/main" id="34" name="MSS_Sp_44_Kimyasal_Kompozisyon52" displayName="MSS_Sp_44_Kimyasal_Kompozisyon52" ref="AE45:AQ46" headerRowCount="1" totalsRowShown="0" headerRowDxfId="409" dataDxfId="407" headerRowBorderDxfId="408">
  <autoFilter ref="AE45:AQ46"/>
  <tableColumns count="13">
    <tableColumn id="1" name="C%" dataDxfId="406"/>
    <tableColumn id="2" name="Mn%" dataDxfId="405"/>
    <tableColumn id="3" name="Si%" dataDxfId="404"/>
    <tableColumn id="4" name="S%" dataDxfId="403"/>
    <tableColumn id="5" name="P%" dataDxfId="402"/>
    <tableColumn id="6" name="Cr%" dataDxfId="401"/>
    <tableColumn id="7" name="Ni%" dataDxfId="400"/>
    <tableColumn id="8" name="Mo%" dataDxfId="399"/>
    <tableColumn id="9" name="V%" dataDxfId="398"/>
    <tableColumn id="10" name="Cu%" dataDxfId="397"/>
    <tableColumn id="11" name="Nb%" dataDxfId="396"/>
    <tableColumn id="12" name="N%" dataDxfId="395"/>
    <tableColumn id="13" name="Other" dataDxfId="394"/>
  </tableColumns>
  <tableStyleInfo name="TableStyleMedium8" showFirstColumn="0" showLastColumn="0" showRowStripes="1" showColumnStripes="0"/>
</table>
</file>

<file path=xl/tables/table35.xml><?xml version="1.0" encoding="utf-8"?>
<table xmlns="http://schemas.openxmlformats.org/spreadsheetml/2006/main" id="35" name="Tablo1423" displayName="Tablo1423" ref="A18:K19" headerRowCount="1" totalsRowShown="0" headerRowDxfId="393" dataDxfId="392">
  <autoFilter ref="A18:K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autoFilter>
  <tableColumns count="11">
    <tableColumn id="11" name="Grade" dataDxfId="391">
      <calculatedColumnFormula>G3</calculatedColumnFormula>
    </tableColumn>
    <tableColumn id="1" name="Yield Strength Min, psi" dataDxfId="390">
      <calculatedColumnFormula>VLOOKUP($G$3,Tablo12[#All],2,0)</calculatedColumnFormula>
    </tableColumn>
    <tableColumn id="2" name="Yield Strength Min, N/mm²" dataDxfId="389">
      <calculatedColumnFormula>VLOOKUP($G$3,Tablo12[#All],3,0)</calculatedColumnFormula>
    </tableColumn>
    <tableColumn id="3" name="Tensile Strength Min, psi" dataDxfId="388">
      <calculatedColumnFormula>VLOOKUP($G$3,Tablo12[#All],4,0)</calculatedColumnFormula>
    </tableColumn>
    <tableColumn id="4" name="Tensile Strength Min, N/mm²" dataDxfId="387">
      <calculatedColumnFormula>VLOOKUP($G$3,Tablo12[#All],5,0)</calculatedColumnFormula>
    </tableColumn>
    <tableColumn id="5" name="Elongation (%)" dataDxfId="386">
      <calculatedColumnFormula>VLOOKUP($G$3,Tablo12[#All],6,0)</calculatedColumnFormula>
    </tableColumn>
    <tableColumn id="6" name="Reduction of Area (%)" dataDxfId="385">
      <calculatedColumnFormula>VLOOKUP($G$3,Tablo12[#All],7,0)</calculatedColumnFormula>
    </tableColumn>
    <tableColumn id="7" name="Hardness, maximum" dataDxfId="384">
      <calculatedColumnFormula>VLOOKUP($G$3,Tablo12[#All],8,0)</calculatedColumnFormula>
    </tableColumn>
    <tableColumn id="8" name="CVN Avarage" dataDxfId="383">
      <calculatedColumnFormula>VLOOKUP($G$3,Tablo12[#All],9,0)</calculatedColumnFormula>
    </tableColumn>
    <tableColumn id="9" name="CVN Min" dataDxfId="382">
      <calculatedColumnFormula>VLOOKUP($G$3,Tablo12[#All],10,0)</calculatedColumnFormula>
    </tableColumn>
    <tableColumn id="10" name="CVN Temp C" dataDxfId="381">
      <calculatedColumnFormula>VLOOKUP($G$3,Tablo12[#All],11,0)</calculatedColumnFormula>
    </tableColumn>
  </tableColumns>
  <tableStyleInfo name="TableStyleMedium15" showFirstColumn="0" showLastColumn="0" showRowStripes="1" showColumnStripes="0"/>
</table>
</file>

<file path=xl/tables/table36.xml><?xml version="1.0" encoding="utf-8"?>
<table xmlns="http://schemas.openxmlformats.org/spreadsheetml/2006/main" id="36" name="Tablo144627" displayName="Tablo144627" ref="A22:K23" headerRowCount="1" totalsRowShown="0" headerRowDxfId="380" dataDxfId="378" headerRowBorderDxfId="379">
  <autoFilter ref="A22:K2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autoFilter>
  <tableColumns count="11">
    <tableColumn id="1" name="Grade" dataDxfId="377">
      <calculatedColumnFormula>H3</calculatedColumnFormula>
    </tableColumn>
    <tableColumn id="2" name="Yield Strength Min, psi" dataDxfId="376">
      <calculatedColumnFormula>VLOOKUP($H$3,Tablo49[],2,0)</calculatedColumnFormula>
    </tableColumn>
    <tableColumn id="3" name="Yield Strength Min, N/mm²" dataDxfId="375">
      <calculatedColumnFormula>VLOOKUP($H$3,Tablo49[],3,0)</calculatedColumnFormula>
    </tableColumn>
    <tableColumn id="4" name="Tensile Strength Min, psi" dataDxfId="374">
      <calculatedColumnFormula>VLOOKUP($H$3,Tablo49[],4,0)</calculatedColumnFormula>
    </tableColumn>
    <tableColumn id="5" name="Tensile Strength Min, N/mm²" dataDxfId="373">
      <calculatedColumnFormula>VLOOKUP($H$3,Tablo49[],5,0)</calculatedColumnFormula>
    </tableColumn>
    <tableColumn id="6" name="Elongation (%)" dataDxfId="372">
      <calculatedColumnFormula>VLOOKUP($H$3,Tablo49[],6,0)</calculatedColumnFormula>
    </tableColumn>
    <tableColumn id="7" name="Reduction of Area (%)" dataDxfId="371">
      <calculatedColumnFormula>VLOOKUP($H$3,Tablo49[],7,0)</calculatedColumnFormula>
    </tableColumn>
    <tableColumn id="8" name="Hardness, maximum HBW" dataDxfId="370">
      <calculatedColumnFormula>VLOOKUP($H$3,Tablo49[],8,0)</calculatedColumnFormula>
    </tableColumn>
    <tableColumn id="9" name="CVN Min avg." dataDxfId="369">
      <calculatedColumnFormula>VLOOKUP($H$3,Tablo49[],9,0)</calculatedColumnFormula>
    </tableColumn>
    <tableColumn id="10" name="CVN Min " dataDxfId="368">
      <calculatedColumnFormula>VLOOKUP($H$3,Tablo49[],10,0)</calculatedColumnFormula>
    </tableColumn>
    <tableColumn id="11" name="CVN Temp. Celc." dataDxfId="367">
      <calculatedColumnFormula>VLOOKUP($H$3,Tablo49[],11,0)</calculatedColumnFormula>
    </tableColumn>
  </tableColumns>
  <tableStyleInfo name="TableStyleMedium15" showFirstColumn="0" showLastColumn="0" showRowStripes="1" showColumnStripes="0"/>
</table>
</file>

<file path=xl/tables/table37.xml><?xml version="1.0" encoding="utf-8"?>
<table xmlns="http://schemas.openxmlformats.org/spreadsheetml/2006/main" id="37" name="Tablo17" displayName="Tablo17" ref="U33:AF34" headerRowCount="1" totalsRowShown="0" headerRowDxfId="366" dataDxfId="364" headerRowBorderDxfId="365" tableBorderDxfId="363" totalsRowBorderDxfId="362">
  <autoFilter ref="U33:AF34"/>
  <tableColumns count="12">
    <tableColumn id="1" name="Element" dataDxfId="361"/>
    <tableColumn id="2" name="Carbon" dataDxfId="360"/>
    <tableColumn id="3" name="Manganese" dataDxfId="359"/>
    <tableColumn id="4" name="Phosphores" dataDxfId="358"/>
    <tableColumn id="5" name="Sulfur" dataDxfId="357"/>
    <tableColumn id="6" name="Silicon" dataDxfId="356"/>
    <tableColumn id="7" name="Copper" dataDxfId="355"/>
    <tableColumn id="8" name="Nickel" dataDxfId="354"/>
    <tableColumn id="9" name="Chromium" dataDxfId="353"/>
    <tableColumn id="10" name="Molybdenum" dataDxfId="352"/>
    <tableColumn id="11" name="Vanadium" dataDxfId="351"/>
    <tableColumn id="12" name="Columbium" dataDxfId="350"/>
  </tableColumns>
  <tableStyleInfo name="TableStyleLight1" showFirstColumn="0" showLastColumn="0" showRowStripes="1" showColumnStripes="0"/>
</table>
</file>

<file path=xl/tables/table38.xml><?xml version="1.0" encoding="utf-8"?>
<table xmlns="http://schemas.openxmlformats.org/spreadsheetml/2006/main" id="38" name="Tablo18" displayName="Tablo18" ref="BE23:BQ30" headerRowCount="1" totalsRowShown="0" headerRowDxfId="349" dataDxfId="347" headerRowBorderDxfId="348" tableBorderDxfId="346" totalsRowBorderDxfId="345">
  <autoFilter ref="BE23:BQ30"/>
  <tableColumns count="13">
    <tableColumn id="1" name="Sütun1" dataDxfId="344"/>
    <tableColumn id="2" name="Carbon" dataDxfId="343"/>
    <tableColumn id="3" name="Manganese" dataDxfId="342"/>
    <tableColumn id="4" name="Phosphorus" dataDxfId="341"/>
    <tableColumn id="5" name="Sulfur" dataDxfId="340"/>
    <tableColumn id="6" name="Silicon" dataDxfId="339"/>
    <tableColumn id="7" name="Nickel" dataDxfId="338"/>
    <tableColumn id="8" name="Chromium" dataDxfId="337"/>
    <tableColumn id="9" name="Molybdenum" dataDxfId="336"/>
    <tableColumn id="10" name="Copper" dataDxfId="335"/>
    <tableColumn id="11" name="Columbium" dataDxfId="334"/>
    <tableColumn id="12" name="Vanadium" dataDxfId="333"/>
    <tableColumn id="13" name="Nitrogen" dataDxfId="332"/>
  </tableColumns>
  <tableStyleInfo name="TableStyleLight1" showFirstColumn="0" showLastColumn="0" showRowStripes="1" showColumnStripes="0"/>
</table>
</file>

<file path=xl/tables/table39.xml><?xml version="1.0" encoding="utf-8"?>
<table xmlns="http://schemas.openxmlformats.org/spreadsheetml/2006/main" id="39" name="Tablo19" displayName="Tablo19" ref="BF74:BH84" headerRowCount="1" totalsRowShown="0" headerRowDxfId="331" headerRowBorderDxfId="330" tableBorderDxfId="329" totalsRowBorderDxfId="328">
  <autoFilter ref="BF74:BH84"/>
  <tableColumns count="3">
    <tableColumn id="1" name="Grade" dataDxfId="327"/>
    <tableColumn id="2" name="Test Temperature F" dataDxfId="326"/>
    <tableColumn id="3" name="Test Temperature C" dataDxfId="325"/>
  </tableColumns>
  <tableStyleInfo name="TableStyleLight1" showFirstColumn="0" showLastColumn="0" showRowStripes="1" showColumnStripes="0"/>
</table>
</file>

<file path=xl/tables/table40.xml><?xml version="1.0" encoding="utf-8"?>
<table xmlns="http://schemas.openxmlformats.org/spreadsheetml/2006/main" id="40" name="Tablo20" displayName="Tablo20" ref="BJ74:BN83" headerRowCount="1" totalsRowShown="0" headerRowDxfId="324" dataDxfId="322" headerRowBorderDxfId="323" tableBorderDxfId="321" totalsRowBorderDxfId="320">
  <autoFilter ref="BJ74:BN83"/>
  <tableColumns count="5">
    <tableColumn id="1" name="Grade" dataDxfId="319"/>
    <tableColumn id="2" name="Minimum İmpact Energy Required for Average of Each Set of Three Specimensft.lb" dataDxfId="318"/>
    <tableColumn id="3" name="Minimum İmpact Energy Required for Average of Each Set of Three SpecimensJ" dataDxfId="317"/>
    <tableColumn id="4" name="Minimum İmpact Energy Permited for One Specimen only of a Set ft.lb" dataDxfId="316"/>
    <tableColumn id="5" name="Minimum İmpact Energy Permited for One Specimen only of a Set J" dataDxfId="315"/>
  </tableColumns>
  <tableStyleInfo name="TableStyleLight1" showFirstColumn="0" showLastColumn="0" showRowStripes="1" showColumnStripes="0"/>
</table>
</file>

<file path=xl/tables/table41.xml><?xml version="1.0" encoding="utf-8"?>
<table xmlns="http://schemas.openxmlformats.org/spreadsheetml/2006/main" id="41" name="Tablo21" displayName="Tablo21" ref="BJ85:BN97" headerRowCount="1" totalsRowShown="0" headerRowBorderDxfId="314" tableBorderDxfId="313" totalsRowBorderDxfId="312">
  <autoFilter ref="BJ85:BN97"/>
  <tableColumns count="5">
    <tableColumn id="1" name="Size of Bar" dataDxfId="311"/>
    <tableColumn id="2" name="Thickness of the Material (in)" dataDxfId="310"/>
    <tableColumn id="3" name="Thickness of the Material (mm)" dataDxfId="309"/>
    <tableColumn id="4" name="Temperature Reduction (F)" dataDxfId="308"/>
    <tableColumn id="5" name="Temperature Reduction (C)" dataDxfId="307"/>
  </tableColumns>
  <tableStyleInfo name="TableStyleLight1" showFirstColumn="0" showLastColumn="0" showRowStripes="1" showColumnStripes="0"/>
</table>
</file>

<file path=xl/tables/table42.xml><?xml version="1.0" encoding="utf-8"?>
<table xmlns="http://schemas.openxmlformats.org/spreadsheetml/2006/main" id="42" name="Tablo23" displayName="Tablo23" ref="BJ99:BL104" headerRowCount="1" totalsRowShown="0" tableBorderDxfId="306">
  <autoFilter ref="BJ99:BL104"/>
  <tableColumns count="3">
    <tableColumn id="1" name="Grade" dataDxfId="305"/>
    <tableColumn id="2" name="Max Thickness Less Than or Equal to 2 in" dataDxfId="304"/>
    <tableColumn id="4" name="Max Thickness Greater Than 2 in" dataDxfId="303"/>
  </tableColumns>
  <tableStyleInfo name="TableStyleLight1" showFirstColumn="0" showLastColumn="0" showRowStripes="1" showColumnStripes="0"/>
</table>
</file>

<file path=xl/tables/table43.xml><?xml version="1.0" encoding="utf-8"?>
<table xmlns="http://schemas.openxmlformats.org/spreadsheetml/2006/main" id="43" name="Tablo24" displayName="Tablo24" ref="BF87:BG91" headerRowCount="1" totalsRowShown="0" headerRowDxfId="302" headerRowBorderDxfId="301" tableBorderDxfId="300" totalsRowBorderDxfId="299">
  <autoFilter ref="BF87:BG91"/>
  <tableColumns count="2">
    <tableColumn id="1" name="Standard Size (ft.lbf)" dataDxfId="298"/>
    <tableColumn id="2" name="Standard Size (J)" dataDxfId="297"/>
  </tableColumns>
  <tableStyleInfo name="TableStyleLight1" showFirstColumn="0" showLastColumn="0" showRowStripes="1" showColumnStripes="0"/>
</table>
</file>

<file path=xl/tables/table44.xml><?xml version="1.0" encoding="utf-8"?>
<table xmlns="http://schemas.openxmlformats.org/spreadsheetml/2006/main" id="44" name="Tablo25" displayName="Tablo25" ref="BF94:BH102" headerRowCount="1" totalsRowShown="0" headerRowBorderDxfId="296" tableBorderDxfId="295" totalsRowBorderDxfId="294">
  <autoFilter ref="BF94:BH102"/>
  <tableColumns count="3">
    <tableColumn id="1" name="Grade" dataDxfId="293"/>
    <tableColumn id="2" name="Max Test Temperature (F)" dataDxfId="292"/>
    <tableColumn id="3" name="Max Test Temperature ©" dataDxfId="291"/>
  </tableColumns>
  <tableStyleInfo name="TableStyleLight1" showFirstColumn="0" showLastColumn="0" showRowStripes="1" showColumnStripes="0"/>
</table>
</file>

<file path=xl/tables/table45.xml><?xml version="1.0" encoding="utf-8"?>
<table xmlns="http://schemas.openxmlformats.org/spreadsheetml/2006/main" id="45" name="Tablo31" displayName="Tablo31" ref="S65:Z137" headerRowCount="1" totalsRowShown="0" headerRowDxfId="290" dataDxfId="288" headerRowBorderDxfId="289" tableBorderDxfId="287" totalsRowBorderDxfId="286">
  <autoFilter ref="S65:Z137"/>
  <tableColumns count="8">
    <tableColumn id="1" name="Grade Symbol" dataDxfId="285"/>
    <tableColumn id="4" name="Yield (ksi)" dataDxfId="284"/>
    <tableColumn id="5" name="Yield (Mpa)" dataDxfId="283"/>
    <tableColumn id="2" name="Tensile (ksi)" dataDxfId="282"/>
    <tableColumn id="3" name="Tensile (Mpa)" dataDxfId="281"/>
    <tableColumn id="6" name="Elongation" dataDxfId="280"/>
    <tableColumn id="7" name="Reduction of Area min %" dataDxfId="279"/>
    <tableColumn id="8" name="Brinell Hardness" dataDxfId="278"/>
  </tableColumns>
  <tableStyleInfo name="TableStyleLight1" showFirstColumn="0" showLastColumn="0" showRowStripes="1" showColumnStripes="0"/>
</table>
</file>

<file path=xl/tables/table46.xml><?xml version="1.0" encoding="utf-8"?>
<table xmlns="http://schemas.openxmlformats.org/spreadsheetml/2006/main" id="46" name="Tablo32" displayName="Tablo32" ref="B22:G31" headerRowCount="1" totalsRowShown="0" headerRowBorderDxfId="277" tableBorderDxfId="276" totalsRowBorderDxfId="275">
  <autoFilter ref="B22:G31"/>
  <tableColumns count="6">
    <tableColumn id="1" name="Grade" dataDxfId="274"/>
    <tableColumn id="2" name="Yield Strength (0.2% offset),min, psi " dataDxfId="273"/>
    <tableColumn id="3" name="Yield Strength (0.2% offset),min Mpa" dataDxfId="272"/>
    <tableColumn id="4" name="Tensile Strength, min, psi " dataDxfId="271"/>
    <tableColumn id="5" name="Tensile Strength, min MPa" dataDxfId="270"/>
    <tableColumn id="6" name="Elongation in 2 in, or 50 mm, min %" dataDxfId="269"/>
  </tableColumns>
  <tableStyleInfo name="TableStyleMedium8" showFirstColumn="0" showLastColumn="0" showRowStripes="1" showColumnStripes="0"/>
</table>
</file>

<file path=xl/tables/table47.xml><?xml version="1.0" encoding="utf-8"?>
<table xmlns="http://schemas.openxmlformats.org/spreadsheetml/2006/main" id="47" name="Tablo33" displayName="Tablo33" ref="F17:L19" headerRowCount="1" totalsRowShown="0" headerRowDxfId="268" dataDxfId="266" headerRowBorderDxfId="267" tableBorderDxfId="265" totalsRowBorderDxfId="264">
  <autoFilter ref="F17:L19"/>
  <tableColumns count="7">
    <tableColumn id="1" name="Composition, %" dataDxfId="263"/>
    <tableColumn id="2" name="Carbon" dataDxfId="262"/>
    <tableColumn id="3" name="Manganese" dataDxfId="261"/>
    <tableColumn id="4" name="Phosphorus" dataDxfId="260"/>
    <tableColumn id="5" name="Sulfur" dataDxfId="259"/>
    <tableColumn id="6" name="Silicon" dataDxfId="258"/>
    <tableColumn id="7" name="Phosphorus2" dataDxfId="257"/>
  </tableColumns>
  <tableStyleInfo name="TableStyleLight1" showFirstColumn="0" showLastColumn="0" showRowStripes="1" showColumnStripes="0"/>
</table>
</file>

<file path=xl/tables/table48.xml><?xml version="1.0" encoding="utf-8"?>
<table xmlns="http://schemas.openxmlformats.org/spreadsheetml/2006/main" id="48" name="Tablo36" displayName="Tablo36" ref="BE38:BJ58" headerRowCount="1" totalsRowShown="0" headerRowDxfId="256" dataDxfId="254" headerRowBorderDxfId="255" tableBorderDxfId="253" totalsRowBorderDxfId="252">
  <autoFilter ref="BE38:BJ58"/>
  <tableColumns count="6">
    <tableColumn id="1" name="Elemet" dataDxfId="251"/>
    <tableColumn id="2" name="Limit or Max of Specified Range" dataDxfId="250"/>
    <tableColumn id="3" name="to 100 in^2 (645 cm^2)" dataDxfId="249"/>
    <tableColumn id="4" name="100-200 in^2 ( 645-1290 m^2)" dataDxfId="248"/>
    <tableColumn id="5" name="200-400 in^2 (1290-2580^2)" dataDxfId="247"/>
    <tableColumn id="6" name="400-800 in^2 (2580-510 cm^2)" dataDxfId="246"/>
  </tableColumns>
  <tableStyleInfo name="TableStyleLight1" showFirstColumn="0" showLastColumn="0" showRowStripes="1" showColumnStripes="0"/>
</table>
</file>

<file path=xl/tables/table49.xml><?xml version="1.0" encoding="utf-8"?>
<table xmlns="http://schemas.openxmlformats.org/spreadsheetml/2006/main" id="49" name="Tablo11" displayName="Tablo11" ref="B15:O58" headerRowCount="1" totalsRowShown="0" headerRowDxfId="245" dataDxfId="243" headerRowBorderDxfId="244" tableBorderDxfId="242" totalsRowBorderDxfId="241">
  <autoFilter ref="B15:O58"/>
  <tableColumns count="14">
    <tableColumn id="1" name="CHEMICAL COMPOSITION ASTM A105, A350, A694, A182" dataDxfId="240"/>
    <tableColumn id="2" name="C%" dataDxfId="239"/>
    <tableColumn id="3" name="Mn%" dataDxfId="238"/>
    <tableColumn id="4" name="Si%" dataDxfId="237"/>
    <tableColumn id="5" name="S%" dataDxfId="236"/>
    <tableColumn id="6" name="P%" dataDxfId="235"/>
    <tableColumn id="7" name="Cr%" dataDxfId="234"/>
    <tableColumn id="8" name="Ni%" dataDxfId="233"/>
    <tableColumn id="10" name="Mo%" dataDxfId="232"/>
    <tableColumn id="11" name="V%" dataDxfId="231"/>
    <tableColumn id="12" name="Cu%" dataDxfId="230"/>
    <tableColumn id="13" name="Nb%" dataDxfId="229"/>
    <tableColumn id="14" name="N%" dataDxfId="228"/>
    <tableColumn id="15" name="Other" dataDxfId="227"/>
  </tableColumns>
  <tableStyleInfo name="TableStyleLight1" showFirstColumn="1" showLastColumn="0" showRowStripes="1" showColumnStripes="0"/>
</table>
</file>

<file path=xl/tables/table50.xml><?xml version="1.0" encoding="utf-8"?>
<table xmlns="http://schemas.openxmlformats.org/spreadsheetml/2006/main" id="50" name="Tablo12" displayName="Tablo12" ref="Q15:AA110" headerRowCount="1" totalsRowShown="0" headerRowDxfId="226" headerRowBorderDxfId="225" tableBorderDxfId="224">
  <autoFilter ref="Q15:AA110"/>
  <tableColumns count="11">
    <tableColumn id="1" name="MECHANICAL PROPERTIES A105, A350, A694, A182" dataDxfId="223"/>
    <tableColumn id="2" name="Yield Strength Min, psi" dataDxfId="222"/>
    <tableColumn id="3" name="Yield Strength Min, N/mm²" dataDxfId="221"/>
    <tableColumn id="4" name="Tensile Strength Min, psi" dataDxfId="220"/>
    <tableColumn id="5" name="Tensile Strength Min, N/mm²" dataDxfId="219"/>
    <tableColumn id="6" name="Elongation (%)" dataDxfId="218"/>
    <tableColumn id="7" name="Reduction of Area (%)" dataDxfId="217"/>
    <tableColumn id="8" name="Hardness, maximum" dataDxfId="216"/>
    <tableColumn id="9" name="CVN Avarage" dataDxfId="215"/>
    <tableColumn id="11" name="CVN Min" dataDxfId="214"/>
    <tableColumn id="10" name="CVN Temp C" dataDxfId="213"/>
  </tableColumns>
  <tableStyleInfo name="TableStyleLight1" showFirstColumn="1" showLastColumn="0" showRowStripes="1" showColumnStripes="0"/>
</table>
</file>

<file path=xl/tables/table51.xml><?xml version="1.0" encoding="utf-8"?>
<table xmlns="http://schemas.openxmlformats.org/spreadsheetml/2006/main" id="51" name="Tablo4" displayName="Tablo4" ref="B130:M153" headerRowCount="1" totalsRowShown="0" headerRowDxfId="212" headerRowBorderDxfId="211" tableBorderDxfId="210">
  <autoFilter ref="B130:M1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autoFilter>
  <tableColumns count="12">
    <tableColumn id="1" name="ASTM A182 GRADE"/>
    <tableColumn id="2" name="C"/>
    <tableColumn id="3" name="Mn"/>
    <tableColumn id="4" name="P"/>
    <tableColumn id="5" name="S"/>
    <tableColumn id="6" name="Si"/>
    <tableColumn id="7" name="Ni"/>
    <tableColumn id="8" name="Cr"/>
    <tableColumn id="9" name="Mo"/>
    <tableColumn id="10" name="Nb"/>
    <tableColumn id="11" name="Ti"/>
    <tableColumn id="12" name="Others"/>
  </tableColumns>
  <tableStyleInfo name="TableStyleMedium2" showFirstColumn="1" showLastColumn="0" showRowStripes="1" showColumnStripes="0"/>
</table>
</file>

<file path=xl/tables/table52.xml><?xml version="1.0" encoding="utf-8"?>
<table xmlns="http://schemas.openxmlformats.org/spreadsheetml/2006/main" id="52" name="Tablo16" displayName="Tablo16" ref="B164:H169" headerRowCount="1" totalsRowShown="0">
  <autoFilter ref="B164:H16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ASTM A182 Grade"/>
    <tableColumn id="2" name="Minimum Tensile Strength in MPa" dataDxfId="209"/>
    <tableColumn id="3" name="Minimum Yield point in Mpa" dataDxfId="208"/>
    <tableColumn id="4" name="Minimum Elongation in %" dataDxfId="207"/>
    <tableColumn id="5" name="Minimum Reduction of in min, %" dataDxfId="206"/>
    <tableColumn id="6" name="MATERIAL GROUP"/>
    <tableColumn id="7" name="RECOMMENDED SERVICE"/>
  </tableColumns>
  <tableStyleInfo name="TableStyleLight1" showFirstColumn="1" showLastColumn="0" showRowStripes="1" showColumnStripes="0"/>
</table>
</file>

<file path=xl/tables/table53.xml><?xml version="1.0" encoding="utf-8"?>
<table xmlns="http://schemas.openxmlformats.org/spreadsheetml/2006/main" id="53" name="Tablo27" displayName="Tablo27" ref="A30:N31" headerRowCount="1" totalsRowShown="0" headerRowDxfId="205" dataDxfId="203" headerRowBorderDxfId="204" tableBorderDxfId="202">
  <autoFilter ref="A30:N31"/>
  <tableColumns count="14">
    <tableColumn id="1" name="Carbon" dataDxfId="201"/>
    <tableColumn id="2" name="Manganese" dataDxfId="200"/>
    <tableColumn id="5" name="Silicon" dataDxfId="199"/>
    <tableColumn id="4" name="Sulfur" dataDxfId="198"/>
    <tableColumn id="3" name="Phosphorus" dataDxfId="197"/>
    <tableColumn id="7" name="Chromium" dataDxfId="196"/>
    <tableColumn id="6" name="Nickel" dataDxfId="195"/>
    <tableColumn id="8" name="Molybdenum" dataDxfId="194"/>
    <tableColumn id="11" name="Vanadium" dataDxfId="193"/>
    <tableColumn id="9" name="Copper" dataDxfId="192"/>
    <tableColumn id="10" name="Titanium" dataDxfId="191"/>
    <tableColumn id="12" name="Columbium" dataDxfId="190"/>
    <tableColumn id="13" name="Vanadium plus Columnium" dataDxfId="189"/>
    <tableColumn id="14" name="Aluminum" dataDxfId="188"/>
  </tableColumns>
  <tableStyleInfo name="TableStyleLight1" showFirstColumn="0" showLastColumn="0" showRowStripes="1" showColumnStripes="0"/>
</table>
</file>

<file path=xl/tables/table54.xml><?xml version="1.0" encoding="utf-8"?>
<table xmlns="http://schemas.openxmlformats.org/spreadsheetml/2006/main" id="54" name="Tablo28" displayName="Tablo28" ref="A21:I27" headerRowCount="1" totalsRowShown="0" headerRowDxfId="187" dataDxfId="185" headerRowBorderDxfId="186" tableBorderDxfId="184" totalsRowBorderDxfId="183">
  <autoFilter ref="A21:I27"/>
  <tableColumns count="9">
    <tableColumn id="1" name="Grade" dataDxfId="182"/>
    <tableColumn id="2" name="Yield Strength, min. (psi)" dataDxfId="181"/>
    <tableColumn id="3" name="Yield Strength, min. (Mpa)" dataDxfId="180"/>
    <tableColumn id="4" name="Tensile Strength (ksi)" dataDxfId="179"/>
    <tableColumn id="5" name="Tensile Strength (Mpa)" dataDxfId="178"/>
    <tableColumn id="6" name="Elongation, min. %" dataDxfId="177"/>
    <tableColumn id="7" name="Cv, avg./min. (ft*lbs)" dataDxfId="176"/>
    <tableColumn id="8" name="Cv, avg./min. (J)" dataDxfId="175"/>
    <tableColumn id="9" name="Cv Temp ©" dataDxfId="174"/>
  </tableColumns>
  <tableStyleInfo name="TableStyleLight1" showFirstColumn="0" showLastColumn="0" showRowStripes="1" showColumnStripes="0"/>
</table>
</file>

<file path=xl/tables/table55.xml><?xml version="1.0" encoding="utf-8"?>
<table xmlns="http://schemas.openxmlformats.org/spreadsheetml/2006/main" id="55" name="Tablo29" displayName="Tablo29" ref="S3:U19" headerRowCount="1" totalsRowShown="0" headerRowBorderDxfId="173" tableBorderDxfId="172" totalsRowBorderDxfId="171">
  <autoFilter ref="S3:U19"/>
  <tableColumns count="3">
    <tableColumn id="1" name="ASTM A 234 Grade" dataDxfId="170"/>
    <tableColumn id="2" name="Yield Strength, min. (psi)" dataDxfId="169"/>
    <tableColumn id="3" name="Yield Strength, min. (Mpa)" dataDxfId="168">
      <calculatedColumnFormula>T4/145.0377</calculatedColumnFormula>
    </tableColumn>
  </tableColumns>
  <tableStyleInfo name="TableStyleLight1" showFirstColumn="0" showLastColumn="0" showRowStripes="1" showColumnStripes="0"/>
</table>
</file>

<file path=xl/tables/table56.xml><?xml version="1.0" encoding="utf-8"?>
<table xmlns="http://schemas.openxmlformats.org/spreadsheetml/2006/main" id="56" name="Wrought_Fit_Chem._Comp" displayName="Wrought_Fit_Chem._Comp" ref="A37:N59" headerRowCount="1" totalsRowShown="0" headerRowDxfId="167" dataDxfId="165" headerRowBorderDxfId="166">
  <autoFilter ref="A37:N59"/>
  <tableColumns count="14">
    <tableColumn id="1" name="CHEMICAL COMPOSITION ASTM A234-A860"/>
    <tableColumn id="2" name="C%" dataDxfId="164"/>
    <tableColumn id="3" name="Mn%" dataDxfId="163"/>
    <tableColumn id="4" name="Si%" dataDxfId="162"/>
    <tableColumn id="5" name="S%" dataDxfId="161"/>
    <tableColumn id="6" name="P%" dataDxfId="160"/>
    <tableColumn id="7" name="Cr%" dataDxfId="159"/>
    <tableColumn id="8" name="Ni%" dataDxfId="158"/>
    <tableColumn id="9" name="Mo%" dataDxfId="157"/>
    <tableColumn id="10" name="V%" dataDxfId="156"/>
    <tableColumn id="11" name="Cu%" dataDxfId="155"/>
    <tableColumn id="12" name="Columbium %" dataDxfId="154"/>
    <tableColumn id="13" name="Al %" dataDxfId="153"/>
    <tableColumn id="14" name="Other" dataDxfId="152"/>
  </tableColumns>
  <tableStyleInfo name="TableStyleMedium15" showFirstColumn="0" showLastColumn="0" showRowStripes="1" showColumnStripes="0"/>
</table>
</file>

<file path=xl/tables/table57.xml><?xml version="1.0" encoding="utf-8"?>
<table xmlns="http://schemas.openxmlformats.org/spreadsheetml/2006/main" id="57" name="Wrought_Fit_Mech._Prop." displayName="Wrought_Fit_Mech._Prop." ref="P37:Z59" headerRowCount="1" totalsRowShown="0" headerRowDxfId="151" dataDxfId="150">
  <autoFilter ref="P37:Z59"/>
  <tableColumns count="11">
    <tableColumn id="1" name="MECHANICAL PROPERTIES ASTM A234-A860" dataDxfId="149"/>
    <tableColumn id="2" name="Yield Strength Min, psi" dataDxfId="148"/>
    <tableColumn id="3" name="Yield Strength Min, N/mm²" dataDxfId="147"/>
    <tableColumn id="4" name="Tensile Strength Min, psi" dataDxfId="146"/>
    <tableColumn id="5" name="Tensile Strength Min, N/mm²" dataDxfId="145"/>
    <tableColumn id="6" name="Elongation (%)" dataDxfId="144"/>
    <tableColumn id="7" name="Reduction of Area (%)" dataDxfId="143"/>
    <tableColumn id="8" name="Hardness, maximum HBW" dataDxfId="142"/>
    <tableColumn id="9" name="CVN Avarage" dataDxfId="141"/>
    <tableColumn id="10" name="CVN Min" dataDxfId="140"/>
    <tableColumn id="11" name="CVN Temp C" dataDxfId="139"/>
  </tableColumns>
  <tableStyleInfo name="TableStyleMedium15" showFirstColumn="0" showLastColumn="0" showRowStripes="1" showColumnStripes="0"/>
</table>
</file>

<file path=xl/tables/table58.xml><?xml version="1.0" encoding="utf-8"?>
<table xmlns="http://schemas.openxmlformats.org/spreadsheetml/2006/main" id="58" name="Tablo30" displayName="Tablo30" ref="P5:R15" headerRowCount="1" totalsRowShown="0" headerRowBorderDxfId="138" tableBorderDxfId="137" totalsRowBorderDxfId="136">
  <autoFilter ref="P5:R15"/>
  <tableColumns count="3">
    <tableColumn id="1" name="ASTM A352 Grade" dataDxfId="135"/>
    <tableColumn id="2" name="psi" dataDxfId="134"/>
    <tableColumn id="3" name="Mpa" dataDxfId="133">
      <calculatedColumnFormula>Q6/145.0377</calculatedColumnFormula>
    </tableColumn>
  </tableColumns>
  <tableStyleInfo name="TableStyleLight1" showFirstColumn="0" showLastColumn="0" showRowStripes="1" showColumnStripes="0"/>
</table>
</file>

<file path=xl/tables/table59.xml><?xml version="1.0" encoding="utf-8"?>
<table xmlns="http://schemas.openxmlformats.org/spreadsheetml/2006/main" id="59" name="Tablo3" displayName="Tablo3" ref="D2:AK45" headerRowCount="0" totalsRowShown="0" headerRowDxfId="132" dataDxfId="130" headerRowBorderDxfId="131" tableBorderDxfId="129" totalsRowBorderDxfId="128">
  <tableColumns count="34">
    <tableColumn id="1" name="Sütun1" headerRowDxfId="127" dataDxfId="126" dataCellStyle="Normal"/>
    <tableColumn id="2" name="Sütun2" headerRowDxfId="125" dataDxfId="124" dataCellStyle="Normal"/>
    <tableColumn id="3" name="Sütun3" headerRowDxfId="123" dataDxfId="122" dataCellStyle="Normal"/>
    <tableColumn id="4" name="Sütun4" headerRowDxfId="121" dataDxfId="120" dataCellStyle="Normal"/>
    <tableColumn id="5" name="Sütun5" headerRowDxfId="119" dataDxfId="118" dataCellStyle="Normal"/>
    <tableColumn id="6" name="Sütun6" headerRowDxfId="117" dataDxfId="116" dataCellStyle="Normal"/>
    <tableColumn id="7" name="Sütun7" headerRowDxfId="115" dataDxfId="114" dataCellStyle="Normal"/>
    <tableColumn id="8" name="Sütun8" headerRowDxfId="113" dataDxfId="112" dataCellStyle="Normal"/>
    <tableColumn id="9" name="Sütun9" headerRowDxfId="111" dataDxfId="110" dataCellStyle="Normal"/>
    <tableColumn id="10" name="Sütun10" headerRowDxfId="109" dataDxfId="108" dataCellStyle="Normal"/>
    <tableColumn id="11" name="Sütun11" headerRowDxfId="107" dataDxfId="106" dataCellStyle="Normal"/>
    <tableColumn id="12" name="Sütun12" headerRowDxfId="105" dataDxfId="104" dataCellStyle="Normal"/>
    <tableColumn id="13" name="Sütun13" headerRowDxfId="103" dataDxfId="102" dataCellStyle="Normal"/>
    <tableColumn id="14" name="Sütun14" headerRowDxfId="101" dataDxfId="100" dataCellStyle="Normal"/>
    <tableColumn id="15" name="Sütun15" headerRowDxfId="99" dataDxfId="98" dataCellStyle="Normal"/>
    <tableColumn id="16" name="Sütun16" headerRowDxfId="97" dataDxfId="96" dataCellStyle="Normal"/>
    <tableColumn id="17" name="Sütun17" headerRowDxfId="95" dataDxfId="94" dataCellStyle="Normal"/>
    <tableColumn id="18" name="Sütun18" headerRowDxfId="93" dataDxfId="92" dataCellStyle="Normal"/>
    <tableColumn id="19" name="Sütun19" headerRowDxfId="91" dataDxfId="90" dataCellStyle="Normal"/>
    <tableColumn id="20" name="Sütun20" headerRowDxfId="89" dataDxfId="88" dataCellStyle="Normal"/>
    <tableColumn id="21" name="Sütun21" headerRowDxfId="87" dataDxfId="86" dataCellStyle="Normal"/>
    <tableColumn id="22" name="Sütun22" headerRowDxfId="85" dataDxfId="84" dataCellStyle="Normal"/>
    <tableColumn id="23" name="Sütun23" headerRowDxfId="83" dataDxfId="82" dataCellStyle="Normal"/>
    <tableColumn id="24" name="Sütun24" headerRowDxfId="81" dataDxfId="80" dataCellStyle="Normal"/>
    <tableColumn id="25" name="Sütun25" headerRowDxfId="79" dataDxfId="78" dataCellStyle="Normal"/>
    <tableColumn id="26" name="Sütun26" headerRowDxfId="77" dataDxfId="76" dataCellStyle="Normal"/>
    <tableColumn id="27" name="Sütun27" headerRowDxfId="75" dataDxfId="74" dataCellStyle="Normal"/>
    <tableColumn id="28" name="Sütun28" headerRowDxfId="73" dataDxfId="72" dataCellStyle="Normal"/>
    <tableColumn id="29" name="Sütun29" headerRowDxfId="71" dataDxfId="70" dataCellStyle="Normal"/>
    <tableColumn id="30" name="Sütun30" headerRowDxfId="69" dataDxfId="68" dataCellStyle="Normal"/>
    <tableColumn id="31" name="Sütun31" headerRowDxfId="67" dataDxfId="66" dataCellStyle="Normal"/>
    <tableColumn id="32" name="Sütun32" headerRowDxfId="65" dataDxfId="64" dataCellStyle="Normal"/>
    <tableColumn id="33" name="Sütun33" headerRowDxfId="63" dataDxfId="62" dataCellStyle="Normal"/>
    <tableColumn id="34" name="Sütun34" headerRowDxfId="61" dataDxfId="60" dataCellStyle="Normal"/>
  </tableColumns>
  <tableStyleInfo name="TableStyleMedium22" showFirstColumn="1" showLastColumn="0" showRowStripes="1" showColumnStripes="0"/>
</table>
</file>

<file path=xl/tables/table60.xml><?xml version="1.0" encoding="utf-8"?>
<table xmlns="http://schemas.openxmlformats.org/spreadsheetml/2006/main" id="60" name="EtKalınlığı" displayName="EtKalınlığı" ref="D50:AU83" headerRowCount="1" totalsRowShown="0" dataDxfId="59">
  <autoFilter ref="D50:AU83"/>
  <tableColumns count="44">
    <tableColumn id="1" name="0,125&quot;" dataDxfId="58"/>
    <tableColumn id="2" name="0,25&quot;" dataDxfId="57"/>
    <tableColumn id="3" name="0,375&quot;" dataDxfId="56"/>
    <tableColumn id="4" name="½&quot; " dataDxfId="55"/>
    <tableColumn id="5" name="¾&quot;" dataDxfId="54"/>
    <tableColumn id="6" name="1&quot; " dataDxfId="53"/>
    <tableColumn id="7" name="1¼&quot;" dataDxfId="52"/>
    <tableColumn id="8" name="1½&quot; " dataDxfId="51"/>
    <tableColumn id="9" name="2&quot; " dataDxfId="50"/>
    <tableColumn id="10" name="2½&quot; " dataDxfId="49"/>
    <tableColumn id="11" name="3&quot;" dataDxfId="48"/>
    <tableColumn id="12" name="3,5&quot;" dataDxfId="47"/>
    <tableColumn id="13" name="4&quot;" dataDxfId="46"/>
    <tableColumn id="14" name="5&quot;" dataDxfId="45"/>
    <tableColumn id="15" name="6&quot;" dataDxfId="44"/>
    <tableColumn id="16" name="8&quot;" dataDxfId="43"/>
    <tableColumn id="17" name="10&quot;" dataDxfId="42"/>
    <tableColumn id="18" name="12&quot;" dataDxfId="41"/>
    <tableColumn id="19" name="14&quot;" dataDxfId="40"/>
    <tableColumn id="20" name="16&quot;" dataDxfId="39"/>
    <tableColumn id="21" name="18&quot;" dataDxfId="38"/>
    <tableColumn id="22" name="20&quot;" dataDxfId="37"/>
    <tableColumn id="23" name="22&quot;" dataDxfId="36"/>
    <tableColumn id="24" name="24&quot;" dataDxfId="35"/>
    <tableColumn id="25" name="26&quot;" dataDxfId="34"/>
    <tableColumn id="26" name="28&quot;" dataDxfId="33"/>
    <tableColumn id="27" name="30&quot;" dataDxfId="32"/>
    <tableColumn id="28" name="32&quot;" dataDxfId="31"/>
    <tableColumn id="29" name="34&quot;" dataDxfId="30"/>
    <tableColumn id="30" name="36&quot;" dataDxfId="29"/>
    <tableColumn id="31" name="38&quot;" dataDxfId="28"/>
    <tableColumn id="32" name="40&quot;" dataDxfId="27"/>
    <tableColumn id="33" name="42&quot;" dataDxfId="26"/>
    <tableColumn id="34" name="44&quot;" dataDxfId="25"/>
    <tableColumn id="35" name="46&quot;" dataDxfId="24"/>
    <tableColumn id="36" name="48&quot;" dataDxfId="23"/>
    <tableColumn id="37" name="52&quot;" dataDxfId="22"/>
    <tableColumn id="38" name="56&quot;" dataDxfId="21"/>
    <tableColumn id="39" name="60&quot;" dataDxfId="20"/>
    <tableColumn id="40" name="64&quot;" dataDxfId="19"/>
    <tableColumn id="41" name="68&quot;" dataDxfId="18"/>
    <tableColumn id="42" name="72&quot;" dataDxfId="17"/>
    <tableColumn id="43" name="76&quot;" dataDxfId="16"/>
    <tableColumn id="44" name="80&quot;" dataDxfId="15"/>
  </tableColumns>
  <tableStyleInfo name="TableStyleMedium1" showFirstColumn="0" showLastColumn="0" showRowStripes="0" showColumnStripes="1"/>
</table>
</file>

<file path=xl/tables/table61.xml><?xml version="1.0" encoding="utf-8"?>
<table xmlns="http://schemas.openxmlformats.org/spreadsheetml/2006/main" id="61" name="Tablo10" displayName="Tablo10" ref="AV50:AV168" headerRowCount="1" totalsRowShown="0" headerRowDxfId="14" dataDxfId="12" headerRowBorderDxfId="13" tableBorderDxfId="11" totalsRowBorderDxfId="10">
  <autoFilter ref="AV50:AV168"/>
  <tableColumns count="1">
    <tableColumn id="1" name="ET kalınlığı" dataDxfId="9"/>
  </tableColumns>
  <tableStyleInfo name="TableStyleLight15"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2.xml" Id="rId2" /><Relationship Type="http://schemas.openxmlformats.org/officeDocument/2006/relationships/table" Target="/xl/tables/table3.xml" Id="rId3"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table" Target="/xl/tables/table4.xml" Id="rId2" /><Relationship Type="http://schemas.openxmlformats.org/officeDocument/2006/relationships/table" Target="/xl/tables/table5.xml" Id="rId3" /><Relationship Type="http://schemas.openxmlformats.org/officeDocument/2006/relationships/table" Target="/xl/tables/table6.xml" Id="rId4" /><Relationship Type="http://schemas.openxmlformats.org/officeDocument/2006/relationships/table" Target="/xl/tables/table7.xml" Id="rId5" /></Relationships>
</file>

<file path=xl/worksheets/_rels/sheet6.xml.rels><Relationships xmlns="http://schemas.openxmlformats.org/package/2006/relationships"><Relationship Type="http://schemas.openxmlformats.org/officeDocument/2006/relationships/drawing" Target="/xl/drawings/drawing5.xml" Id="rId1" /><Relationship Type="http://schemas.openxmlformats.org/officeDocument/2006/relationships/table" Target="/xl/tables/table8.xml" Id="rId2" /><Relationship Type="http://schemas.openxmlformats.org/officeDocument/2006/relationships/table" Target="/xl/tables/table9.xml" Id="rId3" /><Relationship Type="http://schemas.openxmlformats.org/officeDocument/2006/relationships/table" Target="/xl/tables/table10.xml" Id="rId4" /><Relationship Type="http://schemas.openxmlformats.org/officeDocument/2006/relationships/table" Target="/xl/tables/table11.xml" Id="rId5" /></Relationships>
</file>

<file path=xl/worksheets/_rels/sheet7.xml.rels><Relationships xmlns="http://schemas.openxmlformats.org/package/2006/relationships"><Relationship Type="http://schemas.openxmlformats.org/officeDocument/2006/relationships/drawing" Target="/xl/drawings/drawing6.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 Type="http://schemas.openxmlformats.org/officeDocument/2006/relationships/table" Target="/xl/tables/table16.xml" Id="rId6" /><Relationship Type="http://schemas.openxmlformats.org/officeDocument/2006/relationships/table" Target="/xl/tables/table17.xml" Id="rId7" /><Relationship Type="http://schemas.openxmlformats.org/officeDocument/2006/relationships/table" Target="/xl/tables/table18.xml" Id="rId8" /><Relationship Type="http://schemas.openxmlformats.org/officeDocument/2006/relationships/table" Target="/xl/tables/table19.xml" Id="rId9" /><Relationship Type="http://schemas.openxmlformats.org/officeDocument/2006/relationships/table" Target="/xl/tables/table20.xml" Id="rId10" /><Relationship Type="http://schemas.openxmlformats.org/officeDocument/2006/relationships/table" Target="/xl/tables/table21.xml" Id="rId11" /><Relationship Type="http://schemas.openxmlformats.org/officeDocument/2006/relationships/table" Target="/xl/tables/table22.xml" Id="rId12" /><Relationship Type="http://schemas.openxmlformats.org/officeDocument/2006/relationships/table" Target="/xl/tables/table23.xml" Id="rId13" /><Relationship Type="http://schemas.openxmlformats.org/officeDocument/2006/relationships/table" Target="/xl/tables/table24.xml" Id="rId14" /></Relationships>
</file>

<file path=xl/worksheets/_rels/sheet8.xml.rels><Relationships xmlns="http://schemas.openxmlformats.org/package/2006/relationships"><Relationship Type="http://schemas.openxmlformats.org/officeDocument/2006/relationships/drawing" Target="/xl/drawings/drawing7.xml" Id="rId1" /><Relationship Type="http://schemas.openxmlformats.org/officeDocument/2006/relationships/table" Target="/xl/tables/table25.xml" Id="rId2" /><Relationship Type="http://schemas.openxmlformats.org/officeDocument/2006/relationships/table" Target="/xl/tables/table26.xml" Id="rId3" /><Relationship Type="http://schemas.openxmlformats.org/officeDocument/2006/relationships/table" Target="/xl/tables/table27.xml" Id="rId4" /><Relationship Type="http://schemas.openxmlformats.org/officeDocument/2006/relationships/table" Target="/xl/tables/table28.xml" Id="rId5" /><Relationship Type="http://schemas.openxmlformats.org/officeDocument/2006/relationships/table" Target="/xl/tables/table29.xml" Id="rId6" /><Relationship Type="http://schemas.openxmlformats.org/officeDocument/2006/relationships/table" Target="/xl/tables/table30.xml" Id="rId7" /><Relationship Type="http://schemas.openxmlformats.org/officeDocument/2006/relationships/table" Target="/xl/tables/table31.xml" Id="rId8" /><Relationship Type="http://schemas.openxmlformats.org/officeDocument/2006/relationships/table" Target="/xl/tables/table32.xml" Id="rId9" /><Relationship Type="http://schemas.openxmlformats.org/officeDocument/2006/relationships/table" Target="/xl/tables/table33.xml" Id="rId10" /><Relationship Type="http://schemas.openxmlformats.org/officeDocument/2006/relationships/table" Target="/xl/tables/table34.xml" Id="rId11" /><Relationship Type="http://schemas.openxmlformats.org/officeDocument/2006/relationships/table" Target="/xl/tables/table35.xml" Id="rId12" /><Relationship Type="http://schemas.openxmlformats.org/officeDocument/2006/relationships/table" Target="/xl/tables/table36.xml" Id="rId13" /></Relationships>
</file>

<file path=xl/worksheets/_rels/sheet9.xml.rels><Relationships xmlns="http://schemas.openxmlformats.org/package/2006/relationships"><Relationship Type="http://schemas.openxmlformats.org/officeDocument/2006/relationships/drawing" Target="/xl/drawings/drawing8.xml" Id="rId1" /><Relationship Type="http://schemas.openxmlformats.org/officeDocument/2006/relationships/table" Target="/xl/tables/table37.xml" Id="rId2" /><Relationship Type="http://schemas.openxmlformats.org/officeDocument/2006/relationships/table" Target="/xl/tables/table38.xml" Id="rId3" /><Relationship Type="http://schemas.openxmlformats.org/officeDocument/2006/relationships/table" Target="/xl/tables/table39.xml" Id="rId4" /><Relationship Type="http://schemas.openxmlformats.org/officeDocument/2006/relationships/table" Target="/xl/tables/table40.xml" Id="rId5" /><Relationship Type="http://schemas.openxmlformats.org/officeDocument/2006/relationships/table" Target="/xl/tables/table41.xml" Id="rId6" /><Relationship Type="http://schemas.openxmlformats.org/officeDocument/2006/relationships/table" Target="/xl/tables/table42.xml" Id="rId7" /><Relationship Type="http://schemas.openxmlformats.org/officeDocument/2006/relationships/table" Target="/xl/tables/table43.xml" Id="rId8" /><Relationship Type="http://schemas.openxmlformats.org/officeDocument/2006/relationships/table" Target="/xl/tables/table44.xml" Id="rId9" /><Relationship Type="http://schemas.openxmlformats.org/officeDocument/2006/relationships/table" Target="/xl/tables/table45.xml" Id="rId10" /><Relationship Type="http://schemas.openxmlformats.org/officeDocument/2006/relationships/table" Target="/xl/tables/table46.xml" Id="rId11" /><Relationship Type="http://schemas.openxmlformats.org/officeDocument/2006/relationships/table" Target="/xl/tables/table47.xml" Id="rId12" /><Relationship Type="http://schemas.openxmlformats.org/officeDocument/2006/relationships/table" Target="/xl/tables/table48.xml" Id="rId13" /></Relationships>
</file>

<file path=xl/worksheets/_rels/sheet10.xml.rels><Relationships xmlns="http://schemas.openxmlformats.org/package/2006/relationships"><Relationship Type="http://schemas.openxmlformats.org/officeDocument/2006/relationships/hyperlink" Target="https://blog.projectmaterials.com/flanges/flange-materials-carbon-alloy-stainless-duplex/" TargetMode="External" Id="rId1" /><Relationship Type="http://schemas.openxmlformats.org/officeDocument/2006/relationships/hyperlink" Target="https://blog.projectmaterials.com/flanges/flange-materials-carbon-alloy-stainless-duplex/" TargetMode="External" Id="rId2" /><Relationship Type="http://schemas.openxmlformats.org/officeDocument/2006/relationships/hyperlink" Target="https://blog.projectmaterials.com/flanges/flange-meaning/" TargetMode="External" Id="rId3" /><Relationship Type="http://schemas.openxmlformats.org/officeDocument/2006/relationships/hyperlink" Target="https://www.astm.org/Standards/A105.htm" TargetMode="External" Id="rId4" /><Relationship Type="http://schemas.openxmlformats.org/officeDocument/2006/relationships/hyperlink" Target="https://www.astm.org/Standards/A350.htm" TargetMode="External" Id="rId5" /><Relationship Type="http://schemas.openxmlformats.org/officeDocument/2006/relationships/hyperlink" Target="https://blog.projectmaterials.com/pipes/stainless-pipes-a312-a790/" TargetMode="External" Id="rId6" /><Relationship Type="http://schemas.openxmlformats.org/officeDocument/2006/relationships/hyperlink" Target="https://www.astm.org/Standards/B160.htm" TargetMode="External" Id="rId7" /><Relationship Type="http://schemas.openxmlformats.org/officeDocument/2006/relationships/hyperlink" Target="https://www.astm.org/Standards/B166.htm" TargetMode="External" Id="rId8" /><Relationship Type="http://schemas.openxmlformats.org/officeDocument/2006/relationships/hyperlink" Target="https://www.astm.org/Standards/B564.htm" TargetMode="External" Id="rId9" /><Relationship Type="http://schemas.openxmlformats.org/officeDocument/2006/relationships/hyperlink" Target="https://www.astm.org/Standards/B425.htm" TargetMode="External" Id="rId10" /><Relationship Type="http://schemas.openxmlformats.org/officeDocument/2006/relationships/table" Target="/xl/tables/table49.xml" Id="rId11" /><Relationship Type="http://schemas.openxmlformats.org/officeDocument/2006/relationships/table" Target="/xl/tables/table50.xml" Id="rId12" /><Relationship Type="http://schemas.openxmlformats.org/officeDocument/2006/relationships/table" Target="/xl/tables/table51.xml" Id="rId13" /><Relationship Type="http://schemas.openxmlformats.org/officeDocument/2006/relationships/table" Target="/xl/tables/table52.xml" Id="rId14" /></Relationships>
</file>

<file path=xl/worksheets/_rels/sheet11.xml.rels><Relationships xmlns="http://schemas.openxmlformats.org/package/2006/relationships"><Relationship Type="http://schemas.openxmlformats.org/officeDocument/2006/relationships/drawing" Target="/xl/drawings/drawing9.xml" Id="rId1" /><Relationship Type="http://schemas.openxmlformats.org/officeDocument/2006/relationships/table" Target="/xl/tables/table53.xml" Id="rId2" /><Relationship Type="http://schemas.openxmlformats.org/officeDocument/2006/relationships/table" Target="/xl/tables/table54.xml" Id="rId3" /><Relationship Type="http://schemas.openxmlformats.org/officeDocument/2006/relationships/table" Target="/xl/tables/table55.xml" Id="rId4" /><Relationship Type="http://schemas.openxmlformats.org/officeDocument/2006/relationships/table" Target="/xl/tables/table56.xml" Id="rId5" /><Relationship Type="http://schemas.openxmlformats.org/officeDocument/2006/relationships/table" Target="/xl/tables/table57.xml" Id="rId6" /></Relationships>
</file>

<file path=xl/worksheets/_rels/sheet12.xml.rels><Relationships xmlns="http://schemas.openxmlformats.org/package/2006/relationships"><Relationship Type="http://schemas.openxmlformats.org/officeDocument/2006/relationships/drawing" Target="/xl/drawings/drawing10.xml" Id="rId1" /><Relationship Type="http://schemas.openxmlformats.org/officeDocument/2006/relationships/table" Target="/xl/tables/table58.xml" Id="rId2" /></Relationships>
</file>

<file path=xl/worksheets/_rels/sheet13.xml.rels><Relationships xmlns="http://schemas.openxmlformats.org/package/2006/relationships"><Relationship Type="http://schemas.openxmlformats.org/officeDocument/2006/relationships/drawing" Target="/xl/drawings/drawing11.xml" Id="rId1" /></Relationships>
</file>

<file path=xl/worksheets/_rels/sheet14.xml.rels><Relationships xmlns="http://schemas.openxmlformats.org/package/2006/relationships"><Relationship Type="http://schemas.openxmlformats.org/officeDocument/2006/relationships/table" Target="/xl/tables/table59.xml" Id="rId1" /><Relationship Type="http://schemas.openxmlformats.org/officeDocument/2006/relationships/table" Target="/xl/tables/table60.xml" Id="rId2" /><Relationship Type="http://schemas.openxmlformats.org/officeDocument/2006/relationships/table" Target="/xl/tables/table61.xml" Id="rId3" /></Relationships>
</file>

<file path=xl/worksheets/_rels/sheet15.xml.rels><Relationships xmlns="http://schemas.openxmlformats.org/package/2006/relationships"><Relationship Type="http://schemas.openxmlformats.org/officeDocument/2006/relationships/drawing" Target="/xl/drawings/drawing12.xml" Id="rId1" /></Relationships>
</file>

<file path=xl/worksheets/sheet1.xml><?xml version="1.0" encoding="utf-8"?>
<worksheet xmlns="http://schemas.openxmlformats.org/spreadsheetml/2006/main">
  <sheetPr codeName="Sayfa13" published="0">
    <tabColor theme="5" tint="-0.499984740745262"/>
    <outlinePr summaryBelow="1" summaryRight="1"/>
    <pageSetUpPr/>
  </sheetPr>
  <dimension ref="A1:T18"/>
  <sheetViews>
    <sheetView showGridLines="0" view="pageBreakPreview" zoomScale="130" zoomScaleNormal="100" zoomScaleSheetLayoutView="130" workbookViewId="0">
      <selection activeCell="N9" sqref="N9"/>
    </sheetView>
  </sheetViews>
  <sheetFormatPr baseColWidth="8" defaultRowHeight="15"/>
  <cols>
    <col width="6.58984375" customWidth="1" style="510" min="1" max="1"/>
    <col width="8.609375" bestFit="1" customWidth="1" style="510" min="2" max="2"/>
    <col width="9.55078125" customWidth="1" style="510" min="3" max="3"/>
    <col width="10.0859375" customWidth="1" style="510" min="4" max="4"/>
    <col width="9.4140625" customWidth="1" style="510" min="5" max="5"/>
    <col width="13.44921875" customWidth="1" style="510" min="6" max="6"/>
    <col hidden="1" style="510" min="18" max="19"/>
  </cols>
  <sheetData>
    <row r="1" ht="15.75" customHeight="1" s="510" thickBot="1">
      <c r="A1" s="688" t="n"/>
      <c r="B1" s="689" t="n"/>
      <c r="C1" s="690" t="n"/>
      <c r="D1" s="690" t="n"/>
      <c r="E1" s="690" t="n"/>
      <c r="F1" s="691" t="n"/>
      <c r="G1" s="690" t="n"/>
      <c r="H1" s="690" t="n"/>
      <c r="I1" s="690" t="n"/>
      <c r="J1" s="692" t="n"/>
      <c r="R1" s="119" t="n">
        <v>2</v>
      </c>
      <c r="S1" s="119" t="n">
        <v>3</v>
      </c>
      <c r="T1" s="119" t="n"/>
    </row>
    <row r="2">
      <c r="A2" s="693" t="n"/>
      <c r="B2" s="815" t="inlineStr">
        <is>
          <t>Et Kalınlığı Hesaplama</t>
        </is>
      </c>
      <c r="C2" s="1143" t="n"/>
      <c r="D2" s="1143" t="n"/>
      <c r="E2" s="1143" t="n"/>
      <c r="F2" s="1144" t="n"/>
      <c r="G2" s="694" t="n"/>
      <c r="H2" s="695" t="n"/>
      <c r="I2" s="695" t="n"/>
      <c r="J2" s="696" t="n"/>
      <c r="K2" s="331" t="n"/>
      <c r="R2" s="119">
        <f>CHOOSE(R1,"Station","Pipeline","Pig Or Valve Station")</f>
        <v/>
      </c>
      <c r="S2" s="119">
        <f>CHOOSE(S1,0.4,0.5, 0.6,0.72,0.8)</f>
        <v/>
      </c>
      <c r="T2" s="119" t="n"/>
    </row>
    <row r="3">
      <c r="A3" s="693" t="n"/>
      <c r="B3" s="697" t="inlineStr">
        <is>
          <t>Corr. All.</t>
        </is>
      </c>
      <c r="C3" s="698" t="n">
        <v>0</v>
      </c>
      <c r="D3" s="699" t="inlineStr">
        <is>
          <t>(mm)</t>
        </is>
      </c>
      <c r="E3" s="700" t="n"/>
      <c r="F3" s="701" t="n"/>
      <c r="G3" s="694" t="n"/>
      <c r="H3" s="695" t="n"/>
      <c r="I3" s="695" t="n"/>
      <c r="J3" s="696" t="n"/>
      <c r="K3" s="331" t="n"/>
      <c r="R3" s="119" t="n"/>
      <c r="S3" s="119" t="n"/>
      <c r="T3" s="119" t="n"/>
    </row>
    <row r="4">
      <c r="A4" s="693" t="n"/>
      <c r="B4" s="702" t="inlineStr">
        <is>
          <t>S=</t>
        </is>
      </c>
      <c r="C4" s="703" t="n">
        <v>42100</v>
      </c>
      <c r="D4" s="718" t="inlineStr">
        <is>
          <t>(psi)</t>
        </is>
      </c>
      <c r="E4" s="700">
        <f>VLOOKUP(C4,'Boru SMYS Tablosu'!$D$4:H16,5,0)</f>
        <v/>
      </c>
      <c r="F4" s="705" t="inlineStr">
        <is>
          <t>(mpa)</t>
        </is>
      </c>
      <c r="G4" s="694" t="n"/>
      <c r="H4" s="695" t="n"/>
      <c r="I4" s="695" t="n"/>
      <c r="J4" s="696" t="n"/>
      <c r="R4" s="724" t="n"/>
      <c r="S4" s="724" t="n"/>
      <c r="T4" s="724" t="n"/>
    </row>
    <row r="5">
      <c r="A5" s="693" t="n"/>
      <c r="B5" s="706" t="inlineStr">
        <is>
          <t>D=</t>
        </is>
      </c>
      <c r="C5" s="707" t="inlineStr">
        <is>
          <t>4"</t>
        </is>
      </c>
      <c r="D5" s="708" t="inlineStr">
        <is>
          <t>(inch)</t>
        </is>
      </c>
      <c r="E5" s="718">
        <f>VLOOKUP(C5,Tablo2[[ÇAP inch]:[ÇAP mm]],2,0)</f>
        <v/>
      </c>
      <c r="F5" s="709" t="inlineStr">
        <is>
          <t>(mm)</t>
        </is>
      </c>
      <c r="G5" s="694" t="n"/>
      <c r="H5" s="695" t="n"/>
      <c r="I5" s="695" t="n"/>
      <c r="J5" s="696" t="n"/>
      <c r="R5" s="119" t="n"/>
      <c r="S5" s="119" t="n"/>
      <c r="T5" s="119" t="n"/>
    </row>
    <row r="6">
      <c r="A6" s="693" t="n"/>
      <c r="B6" s="702" t="inlineStr">
        <is>
          <t>F=</t>
        </is>
      </c>
      <c r="C6" s="710">
        <f>$S$2</f>
        <v/>
      </c>
      <c r="D6" s="718" t="n"/>
      <c r="E6" s="711" t="n"/>
      <c r="F6" s="701" t="n"/>
      <c r="G6" s="694" t="n"/>
      <c r="H6" s="695" t="n"/>
      <c r="I6" s="695" t="n"/>
      <c r="J6" s="696" t="n"/>
      <c r="R6" s="119" t="n"/>
      <c r="S6" s="119" t="n"/>
      <c r="T6" s="119" t="n"/>
    </row>
    <row r="7">
      <c r="A7" s="693" t="n"/>
      <c r="B7" s="702" t="inlineStr">
        <is>
          <t>E=</t>
        </is>
      </c>
      <c r="C7" s="710" t="n">
        <v>1</v>
      </c>
      <c r="D7" s="712" t="n"/>
      <c r="E7" s="713" t="n"/>
      <c r="F7" s="714" t="n"/>
      <c r="G7" s="694" t="n"/>
      <c r="H7" s="695" t="n"/>
      <c r="I7" s="695" t="n"/>
      <c r="J7" s="696" t="n"/>
      <c r="K7" s="331" t="n"/>
    </row>
    <row r="8">
      <c r="A8" s="693" t="n"/>
      <c r="B8" s="715" t="inlineStr">
        <is>
          <t>T=</t>
        </is>
      </c>
      <c r="C8" s="707" t="n">
        <v>1</v>
      </c>
      <c r="D8" s="700" t="n"/>
      <c r="E8" s="718" t="n"/>
      <c r="F8" s="716" t="n"/>
      <c r="G8" s="694" t="n"/>
      <c r="H8" s="695" t="n"/>
      <c r="I8" s="695" t="n"/>
      <c r="J8" s="696" t="n"/>
      <c r="K8" s="331" t="n"/>
    </row>
    <row r="9">
      <c r="A9" s="693" t="n"/>
      <c r="B9" s="702" t="inlineStr">
        <is>
          <t>P=</t>
        </is>
      </c>
      <c r="C9" s="707" t="n">
        <v>75</v>
      </c>
      <c r="D9" s="718" t="inlineStr">
        <is>
          <t>(bar)</t>
        </is>
      </c>
      <c r="E9" s="712">
        <f>C9/10</f>
        <v/>
      </c>
      <c r="F9" s="709" t="inlineStr">
        <is>
          <t>(mpa)</t>
        </is>
      </c>
      <c r="G9" s="694" t="n"/>
      <c r="H9" s="695" t="n"/>
      <c r="I9" s="695" t="n"/>
      <c r="J9" s="696" t="n"/>
      <c r="K9" s="331" t="n"/>
    </row>
    <row r="10">
      <c r="A10" s="693" t="n"/>
      <c r="B10" s="818">
        <f>"Required Pipe Thickness (Botaş) for"&amp;"-"&amp;R2</f>
        <v/>
      </c>
      <c r="C10" s="1145" t="n"/>
      <c r="D10" s="1145" t="n"/>
      <c r="E10" s="1145" t="n"/>
      <c r="F10" s="1146" t="n"/>
      <c r="G10" s="694" t="n"/>
      <c r="H10" s="695" t="n"/>
      <c r="I10" s="695" t="n"/>
      <c r="J10" s="696" t="n"/>
      <c r="K10" s="331" t="n"/>
    </row>
    <row r="11" s="510">
      <c r="A11" s="693" t="n"/>
      <c r="B11" s="728" t="inlineStr">
        <is>
          <t>F=0,72</t>
        </is>
      </c>
      <c r="C11" s="726" t="inlineStr">
        <is>
          <t>F=0,60</t>
        </is>
      </c>
      <c r="D11" s="729" t="inlineStr">
        <is>
          <t>F=0,50</t>
        </is>
      </c>
      <c r="E11" s="727" t="inlineStr">
        <is>
          <t>F=0,50</t>
        </is>
      </c>
      <c r="F11" s="725" t="inlineStr">
        <is>
          <t>F=0,50</t>
        </is>
      </c>
      <c r="G11" s="694" t="n"/>
      <c r="H11" s="695" t="n"/>
      <c r="I11" s="695" t="n"/>
      <c r="J11" s="696" t="n"/>
      <c r="K11" s="331" t="n"/>
    </row>
    <row r="12" s="510">
      <c r="A12" s="693" t="n"/>
      <c r="B12" s="717">
        <f>VLOOKUP(C5,Tablo244[],6,0)</f>
        <v/>
      </c>
      <c r="C12" s="718">
        <f>VLOOKUP(C5,Tablo244[],8,0)</f>
        <v/>
      </c>
      <c r="D12" s="718">
        <f>VLOOKUP(C5,Tablo244[],10,0)</f>
        <v/>
      </c>
      <c r="E12" s="718">
        <f>VLOOKUP(C5,Tablo244[],12,0)</f>
        <v/>
      </c>
      <c r="F12" s="705">
        <f>VLOOKUP(C5,Tablo244[],14,0)</f>
        <v/>
      </c>
      <c r="G12" s="694" t="n"/>
      <c r="H12" s="695" t="n"/>
      <c r="I12" s="695" t="n"/>
      <c r="J12" s="696" t="n"/>
      <c r="K12" s="331" t="n"/>
    </row>
    <row r="13" s="510">
      <c r="A13" s="693" t="n"/>
      <c r="B13" s="1147" t="inlineStr">
        <is>
          <t>Required Pipe Thickness (ASME B31.8)</t>
        </is>
      </c>
      <c r="C13" s="1148" t="n"/>
      <c r="D13" s="1148" t="n"/>
      <c r="E13" s="1148" t="n"/>
      <c r="F13" s="1149" t="n"/>
      <c r="G13" s="694" t="n"/>
      <c r="H13" s="695" t="n"/>
      <c r="I13" s="695" t="n"/>
      <c r="J13" s="696" t="n"/>
      <c r="K13" s="331" t="n"/>
    </row>
    <row r="14">
      <c r="A14" s="693" t="n"/>
      <c r="B14" s="821">
        <f>IF(R1=2,(E9*E5/(2*E4*C6*C7*C8)),(IF(E5&lt;168.3,((E9*E5/(2*E4*C6*C7*C8))+C3)*1.125, (E9*E5/(2*E4*C6*C7*C8))+C3)))</f>
        <v/>
      </c>
      <c r="C14" s="1150" t="n"/>
      <c r="D14" s="1150" t="n"/>
      <c r="E14" s="1151" t="n"/>
      <c r="F14" s="719" t="inlineStr">
        <is>
          <t>(mm)</t>
        </is>
      </c>
      <c r="G14" s="694" t="n"/>
      <c r="H14" s="695" t="n"/>
      <c r="I14" s="695" t="n"/>
      <c r="J14" s="696" t="n"/>
      <c r="K14" s="331" t="n"/>
    </row>
    <row r="15" ht="16.5" customHeight="1" s="510">
      <c r="A15" s="693" t="n"/>
      <c r="B15" s="1152" t="inlineStr">
        <is>
          <t>Selected Pipe Thickness ASME 36.10</t>
        </is>
      </c>
      <c r="C15" s="1148" t="n"/>
      <c r="D15" s="1148" t="n"/>
      <c r="E15" s="1148" t="n"/>
      <c r="F15" s="1149" t="n"/>
      <c r="G15" s="694" t="n"/>
      <c r="H15" s="695" t="n"/>
      <c r="I15" s="695" t="n"/>
      <c r="J15" s="696" t="n"/>
      <c r="K15" s="331" t="n"/>
    </row>
    <row r="16" ht="15.75" customHeight="1" s="510" thickBot="1">
      <c r="A16" s="693" t="n"/>
      <c r="B16" s="806">
        <f>VLOOKUP('ASME B36.10'!$B$48,'ASME B36.10'!$B$50:AU84,'ASME B36.10'!$A$48,FALSE)</f>
        <v/>
      </c>
      <c r="C16" s="1153" t="n"/>
      <c r="D16" s="1153" t="n"/>
      <c r="E16" s="1154" t="n"/>
      <c r="F16" s="720" t="inlineStr">
        <is>
          <t>(mm)</t>
        </is>
      </c>
      <c r="G16" s="695" t="inlineStr">
        <is>
          <t>NOTE:</t>
        </is>
      </c>
      <c r="H16" s="695" t="n"/>
      <c r="I16" s="695" t="n"/>
      <c r="J16" s="696" t="n"/>
      <c r="K16" s="331" t="n"/>
    </row>
    <row r="17" ht="15.75" customHeight="1" s="510" thickBot="1">
      <c r="A17" s="693" t="n"/>
      <c r="B17" s="827" t="inlineStr">
        <is>
          <t>Negative Tolerans</t>
        </is>
      </c>
      <c r="C17" s="1143" t="n"/>
      <c r="D17" s="512">
        <f>B16*0.875</f>
        <v/>
      </c>
      <c r="E17" s="694" t="n"/>
      <c r="F17" s="694" t="n"/>
      <c r="G17" s="1155">
        <f>IF(R1=2,"Please Choose F=0,5 - 0,6 - 0,72 or 0,8","Please Choose F 0,5")</f>
        <v/>
      </c>
      <c r="H17" s="1156" t="n"/>
      <c r="I17" s="1156" t="n"/>
      <c r="J17" s="1157" t="n"/>
    </row>
    <row r="18" ht="15.75" customHeight="1" s="510" thickBot="1">
      <c r="A18" s="721" t="n"/>
      <c r="B18" s="722" t="n"/>
      <c r="C18" s="722" t="n"/>
      <c r="D18" s="722" t="n"/>
      <c r="E18" s="722" t="n"/>
      <c r="F18" s="722" t="n"/>
      <c r="G18" s="722">
        <f>IF(R1=1,IF(S1&gt;2,"Wrong F Factor",""),IF(R1=3,IF(S1&gt;2,"Wrong F Factor",""),""))</f>
        <v/>
      </c>
      <c r="H18" s="722" t="n"/>
      <c r="I18" s="722" t="n"/>
      <c r="J18" s="723" t="n"/>
    </row>
  </sheetData>
  <mergeCells count="8">
    <mergeCell ref="G17:J17"/>
    <mergeCell ref="B2:F2"/>
    <mergeCell ref="B15:F15"/>
    <mergeCell ref="B10:F10"/>
    <mergeCell ref="B16:E16"/>
    <mergeCell ref="B17:C17"/>
    <mergeCell ref="B13:F13"/>
    <mergeCell ref="B14:E14"/>
  </mergeCells>
  <dataValidations disablePrompts="1" count="1">
    <dataValidation sqref="C6" showDropDown="0" showInputMessage="1" showErrorMessage="1" allowBlank="1" type="list">
      <formula1>$Z$28:$Z$32</formula1>
    </dataValidation>
  </dataValidations>
  <pageMargins left="0.7" right="0.7" top="0.75" bottom="0.75" header="0.3" footer="0.3"/>
  <pageSetup orientation="portrait" paperSize="9" scale="92"/>
</worksheet>
</file>

<file path=xl/worksheets/sheet2.xml><?xml version="1.0" encoding="utf-8"?>
<worksheet xmlns="http://schemas.openxmlformats.org/spreadsheetml/2006/main">
  <sheetPr codeName="Sayfa1">
    <tabColor rgb="FF0070C0"/>
    <outlinePr summaryBelow="1" summaryRight="1"/>
    <pageSetUpPr/>
  </sheetPr>
  <dimension ref="A1:AG71"/>
  <sheetViews>
    <sheetView showGridLines="0" tabSelected="1" zoomScale="85" zoomScaleNormal="85" workbookViewId="0">
      <pane xSplit="4" ySplit="10" topLeftCell="H35" activePane="bottomRight" state="frozen"/>
      <selection activeCell="D53" sqref="D53:F53"/>
      <selection pane="bottomLeft" activeCell="D53" sqref="D53:F53"/>
      <selection pane="topRight" activeCell="D53" sqref="D53:F53"/>
      <selection pane="bottomRight" activeCell="E7" sqref="E7:I7"/>
    </sheetView>
  </sheetViews>
  <sheetFormatPr baseColWidth="8" defaultRowHeight="15"/>
  <cols>
    <col width="17.3515625" customWidth="1" style="510" min="4" max="4"/>
    <col width="12.5078125" bestFit="1" customWidth="1" style="510" min="5" max="6"/>
    <col width="13.98828125" bestFit="1" customWidth="1" style="510" min="7" max="7"/>
    <col width="12.64453125" bestFit="1" customWidth="1" style="510" min="8" max="8"/>
    <col width="14.390625" customWidth="1" style="510" min="9" max="9"/>
    <col width="13.046875" customWidth="1" style="510" min="10" max="10"/>
    <col width="11.43359375" customWidth="1" style="510" min="11" max="11"/>
    <col width="14.9296875" bestFit="1" customWidth="1" style="510" min="12" max="12"/>
    <col width="12.5078125" customWidth="1" style="510" min="13" max="13"/>
    <col width="10.35546875" customWidth="1" style="510" min="14" max="14"/>
    <col width="9.14453125" customWidth="1" style="510" min="16" max="16"/>
    <col width="15.6015625" customWidth="1" style="510" min="19" max="19"/>
    <col hidden="1" width="8.7421875" customWidth="1" style="510" min="20" max="20"/>
    <col hidden="1" width="7.12890625" customWidth="1" style="510" min="21" max="21"/>
    <col hidden="1" width="8.609375" customWidth="1" style="510" min="22" max="22"/>
    <col hidden="1" width="4.16796875" customWidth="1" style="510" min="23" max="23"/>
    <col hidden="1" width="4.70703125" customWidth="1" style="510" min="24" max="24"/>
    <col hidden="1" width="6.72265625" customWidth="1" style="510" min="25" max="25"/>
    <col hidden="1" width="5.109375" customWidth="1" style="510" min="26" max="26"/>
    <col width="9.14453125" customWidth="1" style="331" min="27" max="27"/>
    <col width="11.97265625" customWidth="1" style="331" min="28" max="28"/>
    <col width="12.5078125" customWidth="1" style="331" min="29" max="29"/>
    <col width="6.72265625" customWidth="1" style="331" min="30" max="30"/>
    <col width="9.14453125" customWidth="1" style="331" min="31" max="31"/>
  </cols>
  <sheetData>
    <row r="1" s="510">
      <c r="E1" s="1158" t="inlineStr">
        <is>
          <t>Boru akma değerleri Mpa olarak alındığında TEST Basıncı</t>
        </is>
      </c>
      <c r="F1" s="1159" t="n"/>
      <c r="G1" s="1159" t="n"/>
      <c r="H1" s="1159" t="n"/>
      <c r="I1" s="1159" t="n"/>
      <c r="J1" s="1160" t="n"/>
      <c r="T1" s="119" t="inlineStr">
        <is>
          <t>BOTAŞ</t>
        </is>
      </c>
      <c r="U1" s="119" t="n">
        <v>2</v>
      </c>
      <c r="V1" s="119" t="n"/>
      <c r="W1" s="119" t="n">
        <v>1</v>
      </c>
      <c r="X1" s="119" t="n"/>
      <c r="Y1" s="119" t="n"/>
      <c r="Z1" s="119" t="n"/>
      <c r="AA1" s="331" t="n"/>
      <c r="AB1" s="331" t="n"/>
      <c r="AC1" s="331" t="n"/>
      <c r="AD1" s="331" t="n"/>
      <c r="AE1" s="331" t="n"/>
      <c r="AF1" s="119" t="n"/>
      <c r="AG1" s="119" t="n"/>
    </row>
    <row r="2" ht="15.75" customHeight="1" s="510" thickBot="1">
      <c r="A2" s="1012" t="inlineStr">
        <is>
          <t>Kontrol Edilecek Boru:</t>
        </is>
      </c>
      <c r="D2" s="783" t="inlineStr">
        <is>
          <t>BOTAŞ</t>
        </is>
      </c>
      <c r="E2" s="1161" t="n"/>
      <c r="F2" s="9" t="n"/>
      <c r="G2" s="9" t="n"/>
      <c r="H2" s="9" t="n"/>
      <c r="I2" s="9" t="n"/>
      <c r="J2" s="1162" t="n"/>
      <c r="K2" s="1119" t="n"/>
      <c r="S2" s="1013" t="inlineStr">
        <is>
          <t>Hidrostatik Test Hacmi</t>
        </is>
      </c>
      <c r="T2" s="119" t="inlineStr">
        <is>
          <t>ASME B36.10</t>
        </is>
      </c>
      <c r="U2" s="119">
        <f>CHOOSE(U1,0.4,0.5, 0.6,0.72,0.8)</f>
        <v/>
      </c>
      <c r="V2" s="119" t="n"/>
      <c r="W2" s="119">
        <f>CHOOSE(W1,"Station","Pipeline")</f>
        <v/>
      </c>
      <c r="X2" s="119" t="n"/>
      <c r="Y2" s="119" t="n"/>
      <c r="Z2" s="119" t="n"/>
      <c r="AA2" s="750" t="inlineStr">
        <is>
          <t>Çap</t>
        </is>
      </c>
      <c r="AB2" s="120" t="inlineStr">
        <is>
          <t>Uzunluk</t>
        </is>
      </c>
      <c r="AC2" s="751" t="inlineStr">
        <is>
          <t>Hacim</t>
        </is>
      </c>
      <c r="AD2" s="754" t="inlineStr">
        <is>
          <t>Sütun1</t>
        </is>
      </c>
      <c r="AF2" s="119" t="n">
        <v>0.4</v>
      </c>
      <c r="AG2" s="119" t="n"/>
    </row>
    <row r="3">
      <c r="A3" s="1119" t="n"/>
      <c r="B3" s="1119" t="n"/>
      <c r="C3" s="1119" t="n"/>
      <c r="D3" s="1119" t="n"/>
      <c r="E3" s="491">
        <f>20*G24*E10/E8</f>
        <v/>
      </c>
      <c r="F3" s="491">
        <f>20*G24*F10/E8</f>
        <v/>
      </c>
      <c r="G3" s="287">
        <f>20*G24*G10/E8</f>
        <v/>
      </c>
      <c r="H3" s="287">
        <f>20*G24*H10/E8</f>
        <v/>
      </c>
      <c r="I3" s="287">
        <f>20*G24*I10/E8</f>
        <v/>
      </c>
      <c r="J3" s="120" t="inlineStr">
        <is>
          <t>Bar</t>
        </is>
      </c>
      <c r="K3" s="1119" t="n"/>
      <c r="L3" s="1119" t="n"/>
      <c r="U3" s="119" t="n"/>
      <c r="V3" s="119" t="n"/>
      <c r="W3" s="119" t="n"/>
      <c r="X3" s="119" t="n"/>
      <c r="Y3" s="119" t="n"/>
      <c r="Z3" s="119" t="n"/>
      <c r="AA3" s="803">
        <f>E8</f>
        <v/>
      </c>
      <c r="AB3" s="753" t="n">
        <v>3217.6</v>
      </c>
      <c r="AC3" s="755">
        <f>3.14*POWER((AA3-2*E10)/1000,2)*AB3/4</f>
        <v/>
      </c>
      <c r="AD3" t="inlineStr">
        <is>
          <t>m3</t>
        </is>
      </c>
      <c r="AF3" s="119" t="n">
        <v>0.5</v>
      </c>
      <c r="AG3" s="119" t="n"/>
    </row>
    <row r="4">
      <c r="A4" s="1119" t="n"/>
      <c r="B4" s="1119" t="n"/>
      <c r="C4" s="1119" t="n"/>
      <c r="D4" s="1119" t="n"/>
      <c r="E4" s="1119" t="n"/>
      <c r="F4" s="1119" t="n"/>
      <c r="G4" s="1119" t="n"/>
      <c r="H4" s="1119" t="n"/>
      <c r="I4" s="680" t="inlineStr">
        <is>
          <t>Et Kalınlığı(mm)</t>
        </is>
      </c>
      <c r="J4" s="680" t="inlineStr">
        <is>
          <t>Manuel Hydro Test (Bar)</t>
        </is>
      </c>
      <c r="K4" s="452" t="n"/>
      <c r="U4" s="119" t="n"/>
      <c r="V4" s="119" t="n"/>
      <c r="W4" s="119" t="n"/>
      <c r="X4" s="119" t="n"/>
      <c r="Y4" s="119" t="n"/>
      <c r="Z4" s="119" t="n"/>
      <c r="AA4" s="799">
        <f>E8</f>
        <v/>
      </c>
      <c r="AB4" s="801" t="n">
        <v>333.25</v>
      </c>
      <c r="AC4" s="802">
        <f>3.14*POWER((AA4-2*F10)/1000,2)*AB4/4</f>
        <v/>
      </c>
      <c r="AD4" t="inlineStr">
        <is>
          <t>m3</t>
        </is>
      </c>
      <c r="AF4" s="119" t="n">
        <v>0.6</v>
      </c>
      <c r="AG4" s="119" t="n"/>
    </row>
    <row r="5" ht="15.75" customHeight="1" s="510" thickBot="1">
      <c r="A5" s="1119" t="n"/>
      <c r="B5" s="1119" t="n"/>
      <c r="C5" s="1119" t="n"/>
      <c r="D5" s="1119" t="n"/>
      <c r="E5" s="1119" t="n"/>
      <c r="F5" s="1119" t="n"/>
      <c r="G5" s="1119" t="n"/>
      <c r="H5" s="1119" t="n"/>
      <c r="I5" s="490" t="n">
        <v>3.6</v>
      </c>
      <c r="J5" s="1014">
        <f>2*J13*J10/J8/14.50733</f>
        <v/>
      </c>
      <c r="K5" s="1163" t="n"/>
      <c r="T5" s="119" t="n"/>
      <c r="U5" s="119" t="n"/>
      <c r="V5" s="119" t="n"/>
      <c r="W5" s="119" t="n"/>
      <c r="X5" s="119" t="n"/>
      <c r="Z5" s="119" t="n"/>
      <c r="AA5" s="800">
        <f>E8</f>
        <v/>
      </c>
      <c r="AB5" s="801" t="n">
        <v>0</v>
      </c>
      <c r="AC5" s="802">
        <f>3.14*POWER((AA5-2*G10)/1000,2)*AB5/4</f>
        <v/>
      </c>
      <c r="AD5" t="inlineStr">
        <is>
          <t>m3</t>
        </is>
      </c>
      <c r="AF5" s="119" t="n">
        <v>0.72</v>
      </c>
      <c r="AG5" s="119" t="n"/>
    </row>
    <row r="6" ht="15.75" customHeight="1" s="510" thickBot="1">
      <c r="A6" s="1119" t="n"/>
      <c r="B6" s="968" t="inlineStr">
        <is>
          <t>BORU SEÇİM ARACI</t>
        </is>
      </c>
      <c r="C6" s="1156" t="n"/>
      <c r="D6" s="1164" t="n"/>
      <c r="E6" s="958" t="inlineStr">
        <is>
          <t>OTOMATİK SEÇİM</t>
        </is>
      </c>
      <c r="F6" s="1156" t="n"/>
      <c r="G6" s="1156" t="n"/>
      <c r="H6" s="1156" t="n"/>
      <c r="I6" s="1164" t="n"/>
      <c r="J6" s="962" t="inlineStr">
        <is>
          <t>EL İLE SEÇİM</t>
        </is>
      </c>
      <c r="K6" s="1164" t="n"/>
      <c r="M6" t="inlineStr">
        <is>
          <t>Hot-Tap Sınır Basıncı (Bar) (Hot-Tap Şartnamesine Göre)</t>
        </is>
      </c>
      <c r="T6" s="119" t="n"/>
      <c r="U6" s="119" t="n"/>
      <c r="V6" s="119" t="n"/>
      <c r="W6" s="119" t="n"/>
      <c r="X6" s="119" t="n"/>
      <c r="AA6" s="803" t="n"/>
      <c r="AB6" s="753" t="n"/>
      <c r="AC6" s="755">
        <f>SUM(AC3:AC5)</f>
        <v/>
      </c>
      <c r="AF6" s="119" t="n">
        <v>0.8</v>
      </c>
      <c r="AG6" s="119" t="n"/>
    </row>
    <row r="7">
      <c r="A7" s="1119" t="n"/>
      <c r="B7" s="917" t="inlineStr">
        <is>
          <t>ÇAP (inch)</t>
        </is>
      </c>
      <c r="C7" s="754" t="n"/>
      <c r="D7" s="750" t="n"/>
      <c r="E7" s="963" t="inlineStr">
        <is>
          <t>48"</t>
        </is>
      </c>
      <c r="F7" s="754" t="n"/>
      <c r="G7" s="754" t="n"/>
      <c r="H7" s="754" t="n"/>
      <c r="I7" s="750" t="n"/>
      <c r="J7" s="967" t="inlineStr">
        <is>
          <t>18"</t>
        </is>
      </c>
      <c r="K7" s="750" t="n"/>
      <c r="M7" s="680" t="inlineStr">
        <is>
          <t>0,72 (Hat)</t>
        </is>
      </c>
      <c r="N7" s="681" t="inlineStr">
        <is>
          <t>0,6 (Hat)</t>
        </is>
      </c>
      <c r="O7" s="681" t="inlineStr">
        <is>
          <t>0,5  (Hat)</t>
        </is>
      </c>
      <c r="W7" s="119" t="n"/>
      <c r="X7" s="119" t="n"/>
    </row>
    <row r="8">
      <c r="A8" s="1119" t="n"/>
      <c r="B8" s="907" t="inlineStr">
        <is>
          <t>ÇAP (mm)</t>
        </is>
      </c>
      <c r="C8" s="1165" t="n"/>
      <c r="D8" s="452" t="n"/>
      <c r="E8" s="1033">
        <f>VLOOKUP(E7,Tablo2[[ÇAP inch]:[MALZEME]],2,0)</f>
        <v/>
      </c>
      <c r="F8" s="1165" t="n"/>
      <c r="G8" s="1165" t="n"/>
      <c r="H8" s="1165" t="n"/>
      <c r="I8" s="452" t="n"/>
      <c r="J8" s="1040">
        <f>VLOOKUP(J7,Tablo2[[ÇAP inch]:[MALZEME]],2,0)</f>
        <v/>
      </c>
      <c r="K8" s="452" t="n"/>
      <c r="M8" s="167">
        <f>IF(E10&gt;0,2*(E10-2.4)*E24*0.72/E8/14.50733,0)</f>
        <v/>
      </c>
      <c r="N8" s="167">
        <f>IF(F10&gt;0,2*(F10-2.4)*E24*0.6/E8/14.50733,0)</f>
        <v/>
      </c>
      <c r="O8" s="167">
        <f>IF(G10&gt;0,2*(G10-2.4)*E24*0.5/E8/14.50733,0)</f>
        <v/>
      </c>
      <c r="Q8" t="inlineStr">
        <is>
          <t>Botaş Otomatik</t>
        </is>
      </c>
      <c r="S8" s="520">
        <f>2*E24*(E22-2.4)*0.72/E8/14.50733</f>
        <v/>
      </c>
      <c r="W8" s="119" t="n"/>
      <c r="X8" s="119" t="n"/>
      <c r="Z8" s="1119" t="n"/>
    </row>
    <row r="9" ht="15.75" customHeight="1" s="510" thickBot="1">
      <c r="A9" s="1119" t="n"/>
      <c r="B9" s="1166" t="inlineStr">
        <is>
          <t>Design Basıncı</t>
        </is>
      </c>
      <c r="C9" s="1167" t="n"/>
      <c r="D9" s="1168" t="n"/>
      <c r="E9" s="683" t="inlineStr">
        <is>
          <t>0,72 (Hat)</t>
        </is>
      </c>
      <c r="F9" s="684" t="inlineStr">
        <is>
          <t>0,6 (Hat)</t>
        </is>
      </c>
      <c r="G9" s="684" t="inlineStr">
        <is>
          <t>0,5  (Hat)</t>
        </is>
      </c>
      <c r="H9" s="684" t="inlineStr">
        <is>
          <t>0,5 (İst.)</t>
        </is>
      </c>
      <c r="I9" s="685" t="inlineStr">
        <is>
          <t>0,5 (İst.)</t>
        </is>
      </c>
      <c r="J9" s="1023" t="n">
        <v>0.72</v>
      </c>
      <c r="K9" s="1168" t="n"/>
      <c r="L9" s="1119" t="n"/>
      <c r="M9" s="288">
        <f>M8*0.75</f>
        <v/>
      </c>
      <c r="N9" s="288">
        <f>N8*0.75</f>
        <v/>
      </c>
      <c r="O9" s="288">
        <f>O8*0.75</f>
        <v/>
      </c>
      <c r="Q9" t="inlineStr">
        <is>
          <t>Shell document</t>
        </is>
      </c>
      <c r="S9" t="inlineStr">
        <is>
          <t>*Minimum et kalınlığına göre (Eksi Et kalınlığı Toleransı Dahilinde)</t>
        </is>
      </c>
      <c r="W9" s="119" t="n"/>
      <c r="X9" s="119" t="n"/>
    </row>
    <row r="10" ht="15.75" customHeight="1" s="510" thickBot="1">
      <c r="A10" s="1119" t="n"/>
      <c r="B10" s="938" t="inlineStr">
        <is>
          <t>Et Kalınlığı (mm)</t>
        </is>
      </c>
      <c r="C10" s="1156" t="n"/>
      <c r="D10" s="1164" t="n"/>
      <c r="E10" s="686">
        <f>IF(D2="BOTAŞ",VLOOKUP(E8,Tablo244[[ÇAP mm]:[Max Bas. Bar4]],5, 0),VLOOKUP(E8,Tablo2[[ÇAP mm]:[Max Bas. Bar4]],5, 0))</f>
        <v/>
      </c>
      <c r="F10" s="687">
        <f>IF(D2="BOTAŞ",VLOOKUP(E8,Tablo244[[ÇAP mm]:[Max Bas. Bar4]],7, 0),VLOOKUP(E8,Tablo2[[ÇAP mm]:[Max Bas. Bar4]],7, 0))</f>
        <v/>
      </c>
      <c r="G10" s="687">
        <f>IF(D2="BOTAŞ",VLOOKUP(E8,Tablo244[[ÇAP mm]:[Max Bas. Bar4]],9, 0),VLOOKUP(E8,Tablo2[[ÇAP mm]:[Max Bas. Bar4]],9, 0))</f>
        <v/>
      </c>
      <c r="H10" s="687">
        <f>IF(D2="BOTAŞ",VLOOKUP(E8,Tablo244[[ÇAP mm]:[Max Bas. Bar4]],11, 0),VLOOKUP(E8,Tablo2[[ÇAP mm]:[Max Bas. Bar4]],11, 0))</f>
        <v/>
      </c>
      <c r="I10" s="687">
        <f>IF(D2="BOTAŞ",VLOOKUP(E8,Tablo244[[ÇAP mm]:[Max Bas. Bar5]],13, 0),VLOOKUP(E8,Tablo2[[ÇAP mm]:[Max Bas. Bar5]],13,0))</f>
        <v/>
      </c>
      <c r="J10" s="1042" t="n">
        <v>16.66</v>
      </c>
      <c r="K10" s="1164" t="n"/>
      <c r="L10" s="1119" t="n"/>
      <c r="M10" s="749">
        <f>IF(J10&gt;0,2*(J10-2.4)*J24*0.72/J8/14.50733,0)</f>
        <v/>
      </c>
      <c r="N10" s="167">
        <f>IF(J10&gt;0,2*(J10-2.4)*J24*0.6/J8/14.50733,0)</f>
        <v/>
      </c>
      <c r="O10" s="167">
        <f>IF(J10&gt;0,2*(J10-2.4)*10*K24*0.5/J8,0)</f>
        <v/>
      </c>
      <c r="Q10" t="inlineStr">
        <is>
          <t>Manuel</t>
        </is>
      </c>
      <c r="T10" s="119" t="n"/>
      <c r="U10" s="119" t="n"/>
      <c r="V10" s="119" t="n"/>
      <c r="W10" s="119" t="n"/>
      <c r="X10" s="119" t="n"/>
      <c r="Z10" s="119" t="n"/>
    </row>
    <row r="11" ht="16.5" customHeight="1" s="510" thickBot="1">
      <c r="A11" s="1119" t="n"/>
      <c r="B11" s="938" t="inlineStr">
        <is>
          <t>Üretim Yöntemi</t>
        </is>
      </c>
      <c r="C11" s="1156" t="n"/>
      <c r="D11" s="1164" t="n"/>
      <c r="E11" s="976">
        <f>IF(E8&gt;323.9,"SAWH",IF(E8&gt;60.3,"ERW HFW","SMLS"))</f>
        <v/>
      </c>
      <c r="F11" s="1156" t="n"/>
      <c r="G11" s="1156" t="n"/>
      <c r="H11" s="1156" t="n"/>
      <c r="I11" s="1164" t="n"/>
      <c r="J11" s="1042" t="inlineStr">
        <is>
          <t>SAWH</t>
        </is>
      </c>
      <c r="K11" s="1164" t="n"/>
      <c r="L11" s="1119" t="n"/>
      <c r="U11" s="119" t="n"/>
      <c r="V11" s="119" t="n"/>
      <c r="W11" s="119" t="n"/>
      <c r="X11" s="119" t="n"/>
      <c r="Y11" s="119" t="n"/>
      <c r="Z11" s="119" t="n"/>
    </row>
    <row r="12" ht="15.75" customHeight="1" s="510" thickBot="1">
      <c r="A12" s="1119" t="n"/>
      <c r="B12" s="938" t="inlineStr">
        <is>
          <t>Malzeme Kalitesi</t>
        </is>
      </c>
      <c r="C12" s="1156" t="n"/>
      <c r="D12" s="1164" t="n"/>
      <c r="E12" s="1036">
        <f>VLOOKUP(E8,Tablo2[[#All],[ÇAP mm]:[Max Bas. Bar4]],2,0)</f>
        <v/>
      </c>
      <c r="F12" s="1156" t="n"/>
      <c r="G12" s="1156" t="n"/>
      <c r="H12" s="1156" t="n"/>
      <c r="I12" s="1164" t="n"/>
      <c r="J12" s="1031" t="inlineStr">
        <is>
          <t>X65</t>
        </is>
      </c>
      <c r="K12" s="1164" t="n"/>
      <c r="L12" s="1119" t="n"/>
      <c r="U12" s="119" t="n"/>
      <c r="V12" s="119" t="n"/>
      <c r="W12" s="119" t="n"/>
      <c r="X12" s="119" t="n"/>
      <c r="Y12" s="119" t="n"/>
      <c r="Z12" s="119" t="n">
        <v>0.4</v>
      </c>
    </row>
    <row r="13" ht="15.75" customHeight="1" s="510" thickBot="1">
      <c r="A13" s="1119" t="n"/>
      <c r="B13" s="938" t="inlineStr">
        <is>
          <t>SMYS (Psi)</t>
        </is>
      </c>
      <c r="C13" s="1156" t="n"/>
      <c r="D13" s="1164" t="n"/>
      <c r="E13" s="1036">
        <f>VLOOKUP(E12,'Boru Kontrol Tablosu ASME'!D21:N47,2,0)</f>
        <v/>
      </c>
      <c r="F13" s="1156" t="n"/>
      <c r="G13" s="1156" t="n"/>
      <c r="H13" s="1156" t="n"/>
      <c r="I13" s="1164" t="n"/>
      <c r="J13" s="1044">
        <f>VLOOKUP(J12,'Boru SMYS Tablosu'!B5:D16,3,0)</f>
        <v/>
      </c>
      <c r="K13" s="1164" t="n"/>
      <c r="L13" s="1119" t="n"/>
      <c r="U13" s="119" t="n"/>
      <c r="V13" s="119" t="n"/>
      <c r="W13" s="119" t="n"/>
      <c r="X13" s="119" t="n"/>
      <c r="Y13" s="119" t="n"/>
      <c r="Z13" s="119" t="n">
        <v>0.5</v>
      </c>
    </row>
    <row r="14">
      <c r="A14" s="1119" t="n"/>
      <c r="B14" s="923" t="inlineStr">
        <is>
          <t>Kimyasal Analiz</t>
        </is>
      </c>
      <c r="D14" s="1169" t="n"/>
      <c r="E14" s="979" t="inlineStr">
        <is>
          <t>C</t>
        </is>
      </c>
      <c r="F14" s="750" t="n"/>
      <c r="G14" s="980" t="inlineStr">
        <is>
          <t>Max %</t>
        </is>
      </c>
      <c r="H14" s="1170">
        <f>IF(E12='Boru Kontrol Tablosu ASME'!D30,0.18,IF(E12='Boru Kontrol Tablosu ASME'!D31,0.18,IF(E12='Boru Kontrol Tablosu ASME'!D33,0.18,IF(E12='Boru Kontrol Tablosu ASME'!D35,0.18,IF(E12="X56",0.18,IF(E12='Boru Kontrol Tablosu ASME'!D36,0.12,IF(E12='Boru Kontrol Tablosu ASME'!D40,0.12,IF(E12="X70",0.12,IF(E12="X80",0.12,IF(E12="X90",0.1,IF(E12="X100",0.1,IF(E12="X120",0.1,IF(E12="GRADE A",0.22,"hata")))))))))))))</f>
        <v/>
      </c>
      <c r="I14" s="1171" t="n"/>
      <c r="J14" s="678" t="inlineStr">
        <is>
          <t>Max %</t>
        </is>
      </c>
      <c r="K14" s="679">
        <f>IF(J12='Boru Kontrol Tablosu ASME'!D30,0.18,IF(J12='Boru Kontrol Tablosu ASME'!D31,0.18,IF(J12='Boru Kontrol Tablosu ASME'!D33,0.18,IF(J12='Boru Kontrol Tablosu ASME'!D35,0.18,IF(J12="X56",0.18,IF(J12='Boru Kontrol Tablosu ASME'!D36,0.12,IF(J12='Boru Kontrol Tablosu ASME'!D40,0.12,IF(J12="X70",0.12,IF(J12="X80",0.12,IF(J12="X90",0.1,IF(J12="X100",0.1,IF(J12="X120",0.1,IF(J12="GRADE A",0.22,"hata")))))))))))))</f>
        <v/>
      </c>
      <c r="L14" s="1119" t="n"/>
      <c r="U14" s="119" t="n"/>
      <c r="V14" s="119" t="n"/>
      <c r="W14" s="119" t="n"/>
      <c r="X14" s="119" t="n"/>
      <c r="Y14" s="119" t="n"/>
      <c r="Z14" s="119" t="n">
        <v>0.6</v>
      </c>
      <c r="AA14" s="119" t="n"/>
      <c r="AB14" s="119" t="n"/>
    </row>
    <row r="15">
      <c r="A15" s="1119" t="n"/>
      <c r="B15" s="6" t="n"/>
      <c r="D15" s="1169" t="n"/>
      <c r="E15" s="1172" t="inlineStr">
        <is>
          <t>Mn</t>
        </is>
      </c>
      <c r="F15" s="452" t="n"/>
      <c r="G15" s="609" t="inlineStr">
        <is>
          <t>Max %</t>
        </is>
      </c>
      <c r="H15" s="1173">
        <f>IF(E12='Boru Kontrol Tablosu ASME'!D30,1.2,IF(E12='Boru Kontrol Tablosu ASME'!D31,1.3,IF(E12='Boru Kontrol Tablosu ASME'!D33,1.3,IF(E12='Boru Kontrol Tablosu ASME'!D35,1.4,IF(E12="X56",1.4,IF(E12='Boru Kontrol Tablosu ASME'!D36,1.6,IF(E12='Boru Kontrol Tablosu ASME'!D40,1.6,IF(E12="X70",1.7,IF(E12="X80",1.85,IF(E12="X90",1.9,IF(E12="X100",1.95,IF(E12="X120",2.0,IF(E12="GRADE A",0.9,"hata")))))))))))))</f>
        <v/>
      </c>
      <c r="I15" s="1174" t="n"/>
      <c r="J15" s="672" t="inlineStr">
        <is>
          <t>Max %</t>
        </is>
      </c>
      <c r="K15" s="673">
        <f>IF(J12='Boru Kontrol Tablosu ASME'!D30,1.2,IF(J12='Boru Kontrol Tablosu ASME'!D31,1.3,IF(J12='Boru Kontrol Tablosu ASME'!D33,1.3,IF(J12='Boru Kontrol Tablosu ASME'!D35,1.4,IF(J12="X56",1.4,IF(J12='Boru Kontrol Tablosu ASME'!D36,1.6,IF(J12='Boru Kontrol Tablosu ASME'!D40,1.6,IF(J12="X70",1.7,IF(J12="X80",1.85,IF(J12="X90",1.9,IF(J12="X100",1.95,IF(J12="X120",2.0,IF(J12="GRADE A",0.9,"hata")))))))))))))</f>
        <v/>
      </c>
      <c r="L15" s="1119" t="n"/>
      <c r="U15" s="119" t="n"/>
      <c r="V15" s="119" t="n"/>
      <c r="W15" s="119" t="n"/>
      <c r="X15" s="119" t="n"/>
      <c r="Y15" s="119" t="n"/>
      <c r="Z15" s="119" t="n">
        <v>0.72</v>
      </c>
      <c r="AA15" s="119" t="n"/>
      <c r="AB15" s="119" t="n"/>
    </row>
    <row r="16">
      <c r="A16" s="1119" t="n"/>
      <c r="B16" s="6" t="n"/>
      <c r="D16" s="1169" t="n"/>
      <c r="E16" s="1172" t="inlineStr">
        <is>
          <t>P</t>
        </is>
      </c>
      <c r="F16" s="452" t="n"/>
      <c r="G16" s="609" t="inlineStr">
        <is>
          <t>Max %</t>
        </is>
      </c>
      <c r="H16" s="1175" t="n">
        <v>0.025</v>
      </c>
      <c r="I16" s="1174" t="n"/>
      <c r="J16" s="672" t="inlineStr">
        <is>
          <t>Max %</t>
        </is>
      </c>
      <c r="K16" s="673" t="n">
        <v>0.025</v>
      </c>
      <c r="L16" s="1119" t="n"/>
      <c r="M16" s="1119" t="n"/>
      <c r="N16" s="1119" t="n"/>
      <c r="U16" s="119" t="n"/>
      <c r="V16" s="119" t="n"/>
      <c r="W16" s="119" t="n"/>
      <c r="X16" s="119" t="n"/>
      <c r="Y16" s="119" t="n"/>
      <c r="Z16" s="119" t="n">
        <v>0.8</v>
      </c>
      <c r="AA16" s="119" t="n"/>
      <c r="AB16" s="119" t="n"/>
    </row>
    <row r="17">
      <c r="A17" s="1119" t="n"/>
      <c r="B17" s="6" t="n"/>
      <c r="D17" s="1169" t="n"/>
      <c r="E17" s="1172" t="inlineStr">
        <is>
          <t>S</t>
        </is>
      </c>
      <c r="F17" s="452" t="n"/>
      <c r="G17" s="609" t="inlineStr">
        <is>
          <t>Max %</t>
        </is>
      </c>
      <c r="H17" s="1175" t="n">
        <v>0.01</v>
      </c>
      <c r="I17" s="1174" t="n"/>
      <c r="J17" s="672" t="inlineStr">
        <is>
          <t>Max %</t>
        </is>
      </c>
      <c r="K17" s="673" t="n">
        <v>0.01</v>
      </c>
      <c r="L17" s="1119" t="n"/>
      <c r="M17" s="1119" t="n"/>
      <c r="N17" s="1119" t="n"/>
      <c r="U17" s="119" t="n"/>
      <c r="V17" s="119" t="n"/>
      <c r="W17" s="119" t="n"/>
      <c r="X17" s="119" t="n"/>
      <c r="Y17" s="119" t="n"/>
      <c r="Z17" s="119" t="n"/>
      <c r="AA17" s="119" t="n"/>
      <c r="AB17" s="119" t="n"/>
    </row>
    <row r="18">
      <c r="A18" s="1119" t="n"/>
      <c r="B18" s="6" t="n"/>
      <c r="D18" s="1169" t="n"/>
      <c r="E18" s="1172" t="inlineStr">
        <is>
          <t>Nb</t>
        </is>
      </c>
      <c r="F18" s="452" t="n"/>
      <c r="G18" s="609">
        <f>IF(H18=0.05,"Max %", "Min%-Max%")</f>
        <v/>
      </c>
      <c r="H18" s="1175">
        <f>IF(E12='Boru Kontrol Tablosu ASME'!D30,0.05,IF(E12='Boru Kontrol Tablosu ASME'!D31,0.05,IF(E12='Boru Kontrol Tablosu ASME'!D33,0.05,"0,015-0,050")))</f>
        <v/>
      </c>
      <c r="I18" s="1174" t="n"/>
      <c r="J18" s="672">
        <f>IF(K18=0.05,"Max %", "Min%-Max%")</f>
        <v/>
      </c>
      <c r="K18" s="673">
        <f>IF(J12='Boru Kontrol Tablosu ASME'!D30,0.05,IF(J12='Boru Kontrol Tablosu ASME'!D31,0.05,IF(J12='Boru Kontrol Tablosu ASME'!D33,0.05,"0,015-0,050")))</f>
        <v/>
      </c>
      <c r="L18" s="1119" t="n"/>
      <c r="U18" s="119" t="n"/>
      <c r="V18" s="119" t="n"/>
      <c r="W18" s="119" t="n"/>
      <c r="X18" s="119" t="n"/>
      <c r="Y18" s="119" t="n"/>
      <c r="Z18" s="119" t="n"/>
      <c r="AA18" s="119" t="n"/>
      <c r="AB18" s="119" t="n"/>
    </row>
    <row r="19">
      <c r="A19" s="1119" t="n"/>
      <c r="B19" s="6" t="n"/>
      <c r="D19" s="1169" t="n"/>
      <c r="E19" s="1172" t="inlineStr">
        <is>
          <t>V</t>
        </is>
      </c>
      <c r="F19" s="452" t="n"/>
      <c r="G19" s="609" t="inlineStr">
        <is>
          <t>Max %</t>
        </is>
      </c>
      <c r="H19" s="1175" t="n">
        <v>0.05</v>
      </c>
      <c r="I19" s="1174" t="n"/>
      <c r="J19" s="672" t="inlineStr">
        <is>
          <t>Max %</t>
        </is>
      </c>
      <c r="K19" s="673" t="n">
        <v>0.05</v>
      </c>
      <c r="L19" s="1119" t="n"/>
      <c r="U19" s="119" t="n"/>
      <c r="V19" s="119" t="n"/>
      <c r="W19" s="119" t="n"/>
      <c r="X19" s="119" t="n"/>
      <c r="Y19" s="119" t="n"/>
      <c r="Z19" s="119" t="n"/>
      <c r="AA19" s="119" t="n"/>
      <c r="AB19" s="119" t="n"/>
    </row>
    <row r="20">
      <c r="A20" s="1119" t="n"/>
      <c r="B20" s="6" t="n"/>
      <c r="D20" s="1169" t="n"/>
      <c r="E20" s="1172" t="inlineStr">
        <is>
          <t>Ti</t>
        </is>
      </c>
      <c r="F20" s="452" t="n"/>
      <c r="G20" s="609" t="inlineStr">
        <is>
          <t>Max %</t>
        </is>
      </c>
      <c r="H20" s="1175" t="n">
        <v>0.04</v>
      </c>
      <c r="I20" s="1174" t="n"/>
      <c r="J20" s="672" t="inlineStr">
        <is>
          <t>Max %</t>
        </is>
      </c>
      <c r="K20" s="673" t="n">
        <v>0.04</v>
      </c>
      <c r="L20" s="1119" t="n"/>
      <c r="X20" s="119" t="n"/>
      <c r="Y20" s="119" t="n"/>
      <c r="Z20" s="119" t="n"/>
      <c r="AA20" s="119" t="n"/>
      <c r="AB20" s="119" t="n"/>
    </row>
    <row r="21" ht="15.75" customHeight="1" s="510" thickBot="1">
      <c r="A21" s="1119" t="n"/>
      <c r="B21" s="1176" t="n"/>
      <c r="C21" s="754" t="n"/>
      <c r="D21" s="750" t="n"/>
      <c r="E21" s="1177" t="inlineStr">
        <is>
          <t>N</t>
        </is>
      </c>
      <c r="F21" s="1163" t="n"/>
      <c r="G21" s="610" t="inlineStr">
        <is>
          <t>Max %</t>
        </is>
      </c>
      <c r="H21" s="1178" t="n">
        <v>0.008999999999999999</v>
      </c>
      <c r="I21" s="1179" t="n"/>
      <c r="J21" s="915" t="inlineStr">
        <is>
          <t>Max %</t>
        </is>
      </c>
      <c r="K21" s="916" t="n">
        <v>0.008999999999999999</v>
      </c>
      <c r="L21" s="1119" t="n"/>
      <c r="AA21" s="119" t="n"/>
      <c r="AB21" s="119" t="n"/>
    </row>
    <row r="22" ht="25.5" customHeight="1" s="510">
      <c r="A22" s="1119" t="n"/>
      <c r="B22" s="1180" t="inlineStr">
        <is>
          <t>Et Kalınlığı Toleransı</t>
        </is>
      </c>
      <c r="C22" s="1181" t="n"/>
      <c r="D22" s="597" t="inlineStr">
        <is>
          <t>Et Kalınlığı Min. (mm)</t>
        </is>
      </c>
      <c r="E22" s="611">
        <f>IF(E10&lt;8.71,E10-0.04,IF(E10&lt;12.71,E10-0.1,'Boru Seçim-Kontrol Aracı'!E10-0.15))</f>
        <v/>
      </c>
      <c r="F22" s="612">
        <f>IF(F10&lt;8.71,F10-0.04,IF(F10&lt;12.71,F10-0.1,'Boru Seçim-Kontrol Aracı'!F10-0.15))</f>
        <v/>
      </c>
      <c r="G22" s="612">
        <f>IF(G10&lt;8.71,G10-0.04,IF(G10&lt;12.71,G10-0.1,'Boru Seçim-Kontrol Aracı'!G10-0.15))</f>
        <v/>
      </c>
      <c r="H22" s="612">
        <f>IF(H10&lt;8.71,H10-0.04,IF(H10&lt;12.71,H10-0.1,'Boru Seçim-Kontrol Aracı'!H10-0.15))</f>
        <v/>
      </c>
      <c r="I22" s="613">
        <f>IF(I10&lt;8.71,I10-0.04,IF(I10&lt;12.71,I10-0.1,'Boru Seçim-Kontrol Aracı'!I10-0.15))</f>
        <v/>
      </c>
      <c r="J22" s="839" t="inlineStr">
        <is>
          <t>Et Kalınlığı Min. (mm)</t>
        </is>
      </c>
      <c r="K22" s="957">
        <f>IF(J10&lt;8.71,J10-0.04,IF(J10&lt;12.71,J10-0.1,'Boru Seçim-Kontrol Aracı'!J10-0.15))</f>
        <v/>
      </c>
      <c r="L22" s="1119" t="n"/>
      <c r="AA22" s="119" t="n">
        <v>35500</v>
      </c>
      <c r="AB22" s="119" t="n"/>
    </row>
    <row r="23" ht="24" customHeight="1" s="510" thickBot="1">
      <c r="A23" s="1119" t="n"/>
      <c r="B23" s="1161" t="n"/>
      <c r="C23" s="1182" t="n"/>
      <c r="D23" s="598" t="inlineStr">
        <is>
          <t>Et Kalınlığı Max. (mm)</t>
        </is>
      </c>
      <c r="E23" s="614">
        <f>IF(E11="SMLS",IF(E10&lt;4.01,E10+0.6,IF('Boru Seçim-Kontrol Aracı'!E10&lt;25,'Boru Seçim-Kontrol Aracı'!E10*1.15,'Boru Seçim-Kontrol Aracı'!E10+3.7)),IF('Boru Seçim-Kontrol Aracı'!E10&lt;5.01,'Boru Seçim-Kontrol Aracı'!E10+0.5,IF('Boru Seçim-Kontrol Aracı'!E10&lt;15,'Boru Seçim-Kontrol Aracı'!E10*1.1,'Boru Seçim-Kontrol Aracı'!E10+1.5)))</f>
        <v/>
      </c>
      <c r="F23" s="615">
        <f>IF(E11="SMLS",IF(F10&lt;4.01,F10+0.6,IF('Boru Seçim-Kontrol Aracı'!F10&lt;25,'Boru Seçim-Kontrol Aracı'!F10*1.15,'Boru Seçim-Kontrol Aracı'!F10+3.7)),IF('Boru Seçim-Kontrol Aracı'!F10&lt;5.01,'Boru Seçim-Kontrol Aracı'!F10+0.5,IF('Boru Seçim-Kontrol Aracı'!F10&lt;15,'Boru Seçim-Kontrol Aracı'!F10*1.1,'Boru Seçim-Kontrol Aracı'!F10+1.5)))</f>
        <v/>
      </c>
      <c r="G23" s="615">
        <f>IF(E11="SMLS",IF(G10&lt;4.01,G10+0.6,IF('Boru Seçim-Kontrol Aracı'!G10&lt;25,'Boru Seçim-Kontrol Aracı'!G10*1.15,'Boru Seçim-Kontrol Aracı'!G10+3.7)),IF('Boru Seçim-Kontrol Aracı'!G10&lt;5.01,'Boru Seçim-Kontrol Aracı'!G10+0.5,IF('Boru Seçim-Kontrol Aracı'!G10&lt;15,'Boru Seçim-Kontrol Aracı'!G10*1.1,'Boru Seçim-Kontrol Aracı'!G10+1.5)))</f>
        <v/>
      </c>
      <c r="H23" s="615">
        <f>IF(E11="SMLS",IF(H10&lt;4.01,H10+0.6,IF('Boru Seçim-Kontrol Aracı'!H10&lt;25,'Boru Seçim-Kontrol Aracı'!H10*1.15,'Boru Seçim-Kontrol Aracı'!H10+3.7)),IF('Boru Seçim-Kontrol Aracı'!H10&lt;5.01,'Boru Seçim-Kontrol Aracı'!H10+0.5,IF('Boru Seçim-Kontrol Aracı'!H10&lt;15,'Boru Seçim-Kontrol Aracı'!H10*1.1,'Boru Seçim-Kontrol Aracı'!H10+1.5)))</f>
        <v/>
      </c>
      <c r="I23" s="616">
        <f>IF(E11="SMLS",IF(I10&lt;4.01,I10+0.6,IF('Boru Seçim-Kontrol Aracı'!I10&lt;25,'Boru Seçim-Kontrol Aracı'!I10*1.15,'Boru Seçim-Kontrol Aracı'!I10+3.7)),IF('Boru Seçim-Kontrol Aracı'!I10&lt;5.01,'Boru Seçim-Kontrol Aracı'!I10+0.5,IF('Boru Seçim-Kontrol Aracı'!I10&lt;15,'Boru Seçim-Kontrol Aracı'!I10*1.1,'Boru Seçim-Kontrol Aracı'!I10+1.5)))</f>
        <v/>
      </c>
      <c r="J23" s="677" t="inlineStr">
        <is>
          <t>Et Kalınlığı Max. (mm)</t>
        </is>
      </c>
      <c r="K23" s="608">
        <f>IF(J11="SMLS",IF(J10&lt;4.01,J10+0.6,IF('Boru Seçim-Kontrol Aracı'!J10&lt;25,'Boru Seçim-Kontrol Aracı'!J10*1.15,'Boru Seçim-Kontrol Aracı'!J10+3.7)),IF('Boru Seçim-Kontrol Aracı'!J10&lt;5.01,'Boru Seçim-Kontrol Aracı'!J10+0.5,IF('Boru Seçim-Kontrol Aracı'!J10&lt;15,'Boru Seçim-Kontrol Aracı'!J10*1.1,'Boru Seçim-Kontrol Aracı'!J10+1.5)))</f>
        <v/>
      </c>
      <c r="L23" s="1119" t="n"/>
      <c r="AA23" s="119" t="n">
        <v>42100</v>
      </c>
      <c r="AB23" s="119" t="n"/>
    </row>
    <row r="24">
      <c r="A24" s="1119" t="n"/>
      <c r="B24" s="898" t="inlineStr">
        <is>
          <t>Yield Min. (Psi-Mpa)</t>
        </is>
      </c>
      <c r="C24" s="1183" t="n"/>
      <c r="D24" s="1184" t="n"/>
      <c r="E24" s="982">
        <f>VLOOKUP(E12,'Boru SMYS Tablosu'!$B$5:$N$16,3,0)</f>
        <v/>
      </c>
      <c r="F24" s="1184" t="n"/>
      <c r="G24" s="932">
        <f>VLOOKUP(E12,'Boru SMYS Tablosu'!$B$5:$N$16,7,0)</f>
        <v/>
      </c>
      <c r="H24" s="1183" t="n"/>
      <c r="I24" s="1184" t="n"/>
      <c r="J24" s="670">
        <f>VLOOKUP(J12,'Boru SMYS Tablosu'!$B$5:$N$16,3,0)</f>
        <v/>
      </c>
      <c r="K24" s="671">
        <f>VLOOKUP(J12,'Boru SMYS Tablosu'!$B$5:$N$16,7,0)</f>
        <v/>
      </c>
      <c r="L24" s="1119" t="n"/>
      <c r="M24" s="1119" t="n"/>
      <c r="N24" s="1119" t="n"/>
      <c r="AA24" s="119" t="n">
        <v>46400</v>
      </c>
      <c r="AB24" s="119" t="n"/>
    </row>
    <row r="25">
      <c r="A25" s="1119" t="n"/>
      <c r="B25" s="907" t="inlineStr">
        <is>
          <t>Yield Max. (Psi-Mpa)</t>
        </is>
      </c>
      <c r="C25" s="1165" t="n"/>
      <c r="D25" s="452" t="n"/>
      <c r="E25" s="983">
        <f>VLOOKUP(E12,'Boru SMYS Tablosu'!$B$5:$N$16,8,0)</f>
        <v/>
      </c>
      <c r="F25" s="452" t="n"/>
      <c r="G25" s="935">
        <f>VLOOKUP(E12,'Boru SMYS Tablosu'!$B$5:$N$16,9,0)</f>
        <v/>
      </c>
      <c r="H25" s="1165" t="n"/>
      <c r="I25" s="452" t="n"/>
      <c r="J25" s="672">
        <f>VLOOKUP(J12,'Boru SMYS Tablosu'!$B$5:$N$16,8,0)</f>
        <v/>
      </c>
      <c r="K25" s="673">
        <f>VLOOKUP(J12,'Boru SMYS Tablosu'!$B$5:$N$16,9,0)</f>
        <v/>
      </c>
      <c r="L25" s="1119" t="n"/>
      <c r="M25" s="1119" t="n"/>
      <c r="N25" s="1119" t="n"/>
      <c r="Q25">
        <f>F10*1.25</f>
        <v/>
      </c>
      <c r="AA25" s="119" t="n">
        <v>52200</v>
      </c>
      <c r="AB25" s="119" t="n"/>
    </row>
    <row r="26" ht="15" customHeight="1" s="510">
      <c r="A26" s="1119" t="n"/>
      <c r="B26" s="907" t="inlineStr">
        <is>
          <t>Tensile Min  (Psi-Mpa)</t>
        </is>
      </c>
      <c r="C26" s="1165" t="n"/>
      <c r="D26" s="452" t="n"/>
      <c r="E26" s="983">
        <f>VLOOKUP(E13,'Boru SMYS Tablosu'!$D$5:$N$16,8,0)</f>
        <v/>
      </c>
      <c r="F26" s="452" t="n"/>
      <c r="G26" s="935">
        <f>VLOOKUP(E13,'Boru SMYS Tablosu'!$D$5:$N$16,9,0)</f>
        <v/>
      </c>
      <c r="H26" s="1165" t="n"/>
      <c r="I26" s="452" t="n"/>
      <c r="J26" s="672">
        <f>VLOOKUP(J13,'Boru SMYS Tablosu'!$D$5:$N$16,8,0)</f>
        <v/>
      </c>
      <c r="K26" s="673">
        <f>VLOOKUP(J13,'Boru SMYS Tablosu'!$D$5:$N$16,9,0)</f>
        <v/>
      </c>
      <c r="L26" s="1119" t="n"/>
      <c r="M26" s="1119" t="n"/>
      <c r="N26" s="1119" t="n"/>
      <c r="Q26">
        <f>F10*0.75</f>
        <v/>
      </c>
      <c r="AA26" s="119" t="n">
        <v>56600</v>
      </c>
      <c r="AB26" s="119" t="n"/>
    </row>
    <row r="27" ht="15.75" customHeight="1" s="510" thickBot="1">
      <c r="A27" s="1119" t="n"/>
      <c r="B27" s="863" t="inlineStr">
        <is>
          <t>Tensile Max  (Psi-Mpa)</t>
        </is>
      </c>
      <c r="C27" s="1167" t="n"/>
      <c r="D27" s="803" t="n"/>
      <c r="E27" s="984">
        <f>VLOOKUP(E13,'Boru SMYS Tablosu'!$D$5:$N$16,10,0)</f>
        <v/>
      </c>
      <c r="F27" s="803" t="n"/>
      <c r="G27" s="985">
        <f>VLOOKUP(E13,'Boru SMYS Tablosu'!$D$5:$N$16,11,0)</f>
        <v/>
      </c>
      <c r="H27" s="1167" t="n"/>
      <c r="I27" s="803" t="n"/>
      <c r="J27" s="915">
        <f>VLOOKUP(J13,'Boru SMYS Tablosu'!$D$5:$N$16,10,0)</f>
        <v/>
      </c>
      <c r="K27" s="916">
        <f>VLOOKUP(J13,'Boru SMYS Tablosu'!$D$5:$N$16,11,0)</f>
        <v/>
      </c>
      <c r="L27" s="1119" t="n"/>
      <c r="M27" s="1119" t="inlineStr">
        <is>
          <t>API 5L Test Pressure</t>
        </is>
      </c>
      <c r="N27" s="1119" t="inlineStr">
        <is>
          <t>API 5L Test Pressure</t>
        </is>
      </c>
      <c r="AA27" s="119" t="n">
        <v>60200</v>
      </c>
      <c r="AB27" s="119" t="n"/>
    </row>
    <row r="28">
      <c r="A28" s="1119" t="n"/>
      <c r="B28" s="898" t="inlineStr">
        <is>
          <t>Hydro Test Basıncı Max.(Bar)</t>
        </is>
      </c>
      <c r="C28" s="1183" t="n"/>
      <c r="D28" s="1184" t="n"/>
      <c r="E28" s="611">
        <f>2*E13*E10/E8/14.50733</f>
        <v/>
      </c>
      <c r="F28" s="612">
        <f>2*E13*F10/E8/14.50733</f>
        <v/>
      </c>
      <c r="G28" s="612">
        <f>2*E13*G10/E8/14.50733</f>
        <v/>
      </c>
      <c r="H28" s="612">
        <f>2*E13*H10/E8/14.50733</f>
        <v/>
      </c>
      <c r="I28" s="613">
        <f>2*E13*I10/E8/14.50733</f>
        <v/>
      </c>
      <c r="J28" s="956">
        <f>2*J13*J10/J8/14.50733</f>
        <v/>
      </c>
      <c r="K28" s="1184" t="n"/>
      <c r="L28" s="1119" t="n"/>
      <c r="M28" s="766">
        <f>H28*0.9</f>
        <v/>
      </c>
      <c r="N28" s="766">
        <f>I28*0.9</f>
        <v/>
      </c>
      <c r="AA28" s="119" t="n">
        <v>65300</v>
      </c>
      <c r="AB28" s="119" t="n"/>
    </row>
    <row r="29">
      <c r="A29" s="1119" t="n"/>
      <c r="B29" s="863" t="inlineStr">
        <is>
          <t>Hydro Test Basıncı Min.(Bar)</t>
        </is>
      </c>
      <c r="C29" s="1167" t="n"/>
      <c r="D29" s="803" t="n"/>
      <c r="E29" s="777">
        <f>IF(E28=0,"YOK",E28-2)</f>
        <v/>
      </c>
      <c r="F29" s="770">
        <f>IF(F28=0,"YOK",F28-2)</f>
        <v/>
      </c>
      <c r="G29" s="770">
        <f>IF(G28=0,"YOK",G28-2)</f>
        <v/>
      </c>
      <c r="H29" s="770">
        <f>IF(H28=0,"YOK",H28-2)</f>
        <v/>
      </c>
      <c r="I29" s="772">
        <f>IF(I28=0,"YOK",I28-2)</f>
        <v/>
      </c>
      <c r="J29" s="896">
        <f>J28-2</f>
        <v/>
      </c>
      <c r="K29" s="452" t="n"/>
      <c r="L29" s="1119" t="n"/>
      <c r="M29" s="1119" t="n"/>
      <c r="N29" s="1119" t="n"/>
      <c r="AA29" s="119" t="n">
        <v>70300</v>
      </c>
      <c r="AB29" s="119" t="n"/>
    </row>
    <row r="30" s="510">
      <c r="A30" s="1119" t="n"/>
      <c r="B30" s="945" t="inlineStr">
        <is>
          <t>API 5L Standart Test Pressure (Bar)</t>
        </is>
      </c>
      <c r="E30" s="777">
        <f>IF(E12="GRADE B",0.6*2*E13*E10/E8/14.50733,IF(E8&lt;219.2,0.75*2*E13*E10/E8/14.50733,IF(E8&lt;508,0.85*2*E13*E10/E8/14.50733,0.9*2*E13*E10/E8/14.50733)))</f>
        <v/>
      </c>
      <c r="F30" s="770">
        <f>IF(E12="GRADE B",0.6*2*E13*F10/E8/14.50733,IF(E8&lt;219.2,0.75*2*E13*F10/E8/14.50733,IF(E8&lt;508,0.85*2*E13*F10/E8/14.50733,0.9*2*E13*F10/E8/14.50733)))</f>
        <v/>
      </c>
      <c r="G30" s="770">
        <f>IF(E12="GRADE B",0.6*2*E13*G10/E8/14.50733,IF(E8&lt;219.2,0.75*2*E13*G10/E8/14.50733,IF(E8&lt;508,0.85*2*E13*G10/E8/14.50733,0.9*2*E13*G10/E8/14.50733)))</f>
        <v/>
      </c>
      <c r="H30" s="770">
        <f>IF(E12="GRADE B",0.6*2*E13*H10/E8/14.50733,IF(E8&lt;219.2,0.75*2*E13*H10/E8/14.50733,IF(E8&lt;508,0.85*2*E13*H10/E8/14.50733,0.9*2*E13*H10/E8/14.50733)))</f>
        <v/>
      </c>
      <c r="I30" s="772">
        <f>IF(E12="GRADE B",0.6*2*E13*I10/E8/14.50733,IF(E8&lt;219.2,0.75*2*E13*I10/E8/14.50733,IF(E8&lt;508,0.85*2*E13*I10/E8/14.50733,0.9*2*E13*I10/E8/14.50733)))</f>
        <v/>
      </c>
      <c r="J30" s="1185">
        <f>IF(J12="GRADE B",0.6*2*J13*J10/J8/14.50733,IF(J8&lt;219.2,0.75*2*J13*J10/J8/14.50733,IF(J8&lt;508,0.85*2*J13*J10/J8/14.50733,0.9*2*J13*J10/J8/14.50733)))</f>
        <v/>
      </c>
      <c r="K30" s="1174" t="n"/>
      <c r="L30" s="1119" t="n"/>
      <c r="M30" s="1119" t="n"/>
      <c r="N30" s="1119" t="n"/>
      <c r="AA30" s="119" t="n"/>
      <c r="AB30" s="119" t="n"/>
      <c r="AC30" s="331" t="n"/>
      <c r="AD30" s="331" t="n"/>
      <c r="AE30" s="331" t="n"/>
    </row>
    <row r="31" ht="15.75" customHeight="1" s="510" thickBot="1">
      <c r="A31" s="1119" t="n"/>
      <c r="B31" s="860" t="inlineStr">
        <is>
          <t>API 5L Alternative Test Pressure (Bar)</t>
        </is>
      </c>
      <c r="C31" s="1186" t="n"/>
      <c r="D31" s="1163" t="n"/>
      <c r="E31" s="614" t="n"/>
      <c r="F31" s="615" t="n"/>
      <c r="G31" s="615" t="n"/>
      <c r="H31" s="615" t="n"/>
      <c r="I31" s="616" t="n"/>
      <c r="J31" s="776" t="n"/>
      <c r="K31" s="608" t="n"/>
      <c r="L31" s="1119" t="n"/>
      <c r="M31" s="1119" t="n"/>
      <c r="N31" s="1119" t="n"/>
      <c r="AA31" s="119" t="n"/>
      <c r="AB31" s="119" t="n"/>
      <c r="AC31" s="331" t="n"/>
      <c r="AD31" s="331" t="n"/>
      <c r="AE31" s="331" t="n"/>
    </row>
    <row r="32">
      <c r="A32" s="1119" t="n"/>
      <c r="B32" s="917" t="inlineStr">
        <is>
          <t>Boru Çap Toleransları (mm)</t>
        </is>
      </c>
      <c r="D32" s="1169" t="n"/>
      <c r="E32" s="767" t="inlineStr">
        <is>
          <t>Boru Ucu Max.</t>
        </is>
      </c>
      <c r="F32" s="768">
        <f>IF(D2="BOTAŞ",VLOOKUP(E7,'Boru Kontrol Tablosu BOTAŞ'!B21:T53,16,0),VLOOKUP(E7,'Boru Kontrol Tablosu ASME'!B21:T53,16,0))</f>
        <v/>
      </c>
      <c r="G32" s="634" t="inlineStr">
        <is>
          <t>Boru Gövde Max</t>
        </is>
      </c>
      <c r="H32" s="998">
        <f>IF(D2="BOTAŞ",VLOOKUP(E7,'Boru Kontrol Tablosu BOTAŞ'!B21:T53,18,0),VLOOKUP(E7,'Boru Kontrol Tablosu ASME'!B21:T53,18,0))</f>
        <v/>
      </c>
      <c r="I32" s="750" t="n"/>
      <c r="J32" s="771">
        <f>VLOOKUP(J7,'Boru Kontrol Tablosu ASME'!B21:T53,16,0)</f>
        <v/>
      </c>
      <c r="K32" s="769">
        <f>VLOOKUP(J7,'Boru Kontrol Tablosu ASME'!B21:T53,18,0)</f>
        <v/>
      </c>
      <c r="L32" s="1119" t="n"/>
      <c r="M32" s="1119" t="n"/>
      <c r="N32" s="1119" t="n"/>
      <c r="AA32" s="119" t="n">
        <v>80500</v>
      </c>
      <c r="AB32" s="119" t="n"/>
    </row>
    <row r="33" ht="15.75" customHeight="1" s="510" thickBot="1">
      <c r="A33" s="1119" t="n"/>
      <c r="B33" s="1176" t="n"/>
      <c r="C33" s="754" t="n"/>
      <c r="D33" s="750" t="n"/>
      <c r="E33" s="784" t="inlineStr">
        <is>
          <t>Boru Ucu Min.</t>
        </is>
      </c>
      <c r="F33" s="785">
        <f>IF(D2="BOTAŞ",VLOOKUP(E7,'Boru Kontrol Tablosu BOTAŞ'!B21:T53,17,0),VLOOKUP(E7,'Boru Kontrol Tablosu ASME'!B21:T53,17,0))</f>
        <v/>
      </c>
      <c r="G33" s="786" t="inlineStr">
        <is>
          <t>Boru Gövde Min.</t>
        </is>
      </c>
      <c r="H33" s="1000">
        <f>IF(D2="BOTAŞ",VLOOKUP(E7,'Boru Kontrol Tablosu BOTAŞ'!B21:T53,19,0),VLOOKUP(E7,'Boru Kontrol Tablosu ASME'!B21:T53,19,0))</f>
        <v/>
      </c>
      <c r="I33" s="803" t="n"/>
      <c r="J33" s="787">
        <f>VLOOKUP(J7,'Boru Kontrol Tablosu ASME'!B22:T54,17,0)</f>
        <v/>
      </c>
      <c r="K33" s="788">
        <f>VLOOKUP(J7,'Boru Kontrol Tablosu ASME'!B21:T53,19,0)</f>
        <v/>
      </c>
      <c r="L33" s="1119" t="n"/>
      <c r="M33" s="1119" t="n"/>
      <c r="N33" s="1119" t="n"/>
      <c r="AA33" s="119" t="n">
        <v>90600</v>
      </c>
      <c r="AB33" s="119" t="n"/>
    </row>
    <row r="34">
      <c r="A34" s="1119" t="n"/>
      <c r="B34" s="898" t="inlineStr">
        <is>
          <t>Boru Çevre Toleransı (mm)</t>
        </is>
      </c>
      <c r="C34" s="1159" t="n"/>
      <c r="D34" s="1181" t="n"/>
      <c r="E34" s="791" t="inlineStr">
        <is>
          <t>Boru Ucu Max.</t>
        </is>
      </c>
      <c r="F34" s="792">
        <f>F32*3.141592</f>
        <v/>
      </c>
      <c r="G34" s="793" t="inlineStr">
        <is>
          <t>Boru Gövde Max</t>
        </is>
      </c>
      <c r="H34" s="987">
        <f>H32*3.141592</f>
        <v/>
      </c>
      <c r="I34" s="1184" t="n"/>
      <c r="J34" s="794">
        <f>J32*3.141592</f>
        <v/>
      </c>
      <c r="K34" s="795">
        <f>K32*3.141592</f>
        <v/>
      </c>
      <c r="L34" s="1119" t="n"/>
      <c r="M34" s="1119" t="n"/>
      <c r="N34" s="1119" t="n"/>
      <c r="AA34" s="119" t="n">
        <v>100100</v>
      </c>
      <c r="AB34" s="119" t="n"/>
    </row>
    <row r="35" ht="15.75" customHeight="1" s="510" thickBot="1">
      <c r="A35" s="1119" t="n"/>
      <c r="B35" s="1176" t="n"/>
      <c r="C35" s="754" t="n"/>
      <c r="D35" s="750" t="n"/>
      <c r="E35" s="773" t="inlineStr">
        <is>
          <t>Boru Ucu Min.</t>
        </is>
      </c>
      <c r="F35" s="774">
        <f>F33*3.141592</f>
        <v/>
      </c>
      <c r="G35" s="775" t="inlineStr">
        <is>
          <t>Boru Gövde Min.</t>
        </is>
      </c>
      <c r="H35" s="1002">
        <f>H33*3.141592</f>
        <v/>
      </c>
      <c r="I35" s="1163" t="n"/>
      <c r="J35" s="796">
        <f>J33*3.141592</f>
        <v/>
      </c>
      <c r="K35" s="797">
        <f>K33*3.141592</f>
        <v/>
      </c>
      <c r="L35" s="1119" t="n"/>
      <c r="M35" s="1119" t="n"/>
      <c r="N35" s="1119" t="n"/>
      <c r="AA35" s="119" t="n">
        <v>120400</v>
      </c>
      <c r="AB35" s="119" t="n"/>
    </row>
    <row r="36">
      <c r="A36" s="1119" t="n"/>
      <c r="B36" s="917" t="inlineStr">
        <is>
          <t>Ovalite (mm)</t>
        </is>
      </c>
      <c r="C36" s="1169" t="n"/>
      <c r="D36" s="600" t="inlineStr">
        <is>
          <t>Boru Ucu</t>
        </is>
      </c>
      <c r="E36" s="789">
        <f>VLOOKUP(E7,'Boru Kontrol Tablosu ASME'!B21:AI53,25,0)</f>
        <v/>
      </c>
      <c r="F36" s="919">
        <f>VLOOKUP(E7,'Boru Kontrol Tablosu ASME'!B21:AI53,27,0)</f>
        <v/>
      </c>
      <c r="G36" s="919">
        <f>VLOOKUP(E7,'Boru Kontrol Tablosu ASME'!B21:AG53,29,0)</f>
        <v/>
      </c>
      <c r="H36" s="919">
        <f>VLOOKUP(E7,'Boru Kontrol Tablosu ASME'!B21:AG53,31,0)</f>
        <v/>
      </c>
      <c r="I36" s="750" t="n"/>
      <c r="J36" s="909">
        <f>IF(J8&lt;60.3,0.45,IF(J8&lt;168.4,IF(J8/J10&lt;75,0.015*J8/2,"Anlaşma"),IF(J8&lt;610.1,0.015*J8/2,IF(J8&lt;1422,IF(J8/J10&lt;75,0.01*J8/2,"Anlaşmaya Bağlı")))))</f>
        <v/>
      </c>
      <c r="K36" s="750" t="n"/>
      <c r="L36" s="1119" t="n"/>
      <c r="M36" s="1119" t="n"/>
      <c r="N36" s="1119" t="n"/>
    </row>
    <row r="37" ht="15.75" customHeight="1" s="510" thickBot="1">
      <c r="A37" s="1119" t="n"/>
      <c r="B37" s="1176" t="n"/>
      <c r="C37" s="750" t="n"/>
      <c r="D37" s="599" t="inlineStr">
        <is>
          <t>Boru Gövde</t>
        </is>
      </c>
      <c r="E37" s="621">
        <f>VLOOKUP(E7,'Boru Kontrol Tablosu ASME'!B21:AI53,26,0)</f>
        <v/>
      </c>
      <c r="F37" s="921">
        <f>VLOOKUP(E7,'Boru Kontrol Tablosu ASME'!B21:AI53,28,0)</f>
        <v/>
      </c>
      <c r="G37" s="921">
        <f>VLOOKUP(E7,'Boru Kontrol Tablosu ASME'!B21:AG53,30,0)</f>
        <v/>
      </c>
      <c r="H37" s="921">
        <f>VLOOKUP(E7,'Boru Kontrol Tablosu ASME'!B21:AG53,32,0)</f>
        <v/>
      </c>
      <c r="I37" s="1163" t="n"/>
      <c r="J37" s="911">
        <f>IF(J8&lt;60.3,0.6,IF(J8&lt;168.4,IF(J8/J10&lt;75,0.02*J8,"Anlaşmaya Bağlı"),IF(J8&lt;610.1,0.02*J8,IF(J8&lt;1422,IF(J8/J10&lt;75,0.015*J8,"Anlaşmaya Bağlı")))))</f>
        <v/>
      </c>
      <c r="K37" s="1163" t="n"/>
      <c r="L37" s="1119" t="n"/>
      <c r="M37" s="1119" t="n"/>
      <c r="N37" s="1119" t="n"/>
    </row>
    <row r="38">
      <c r="A38" s="1119" t="n"/>
      <c r="B38" s="870" t="inlineStr">
        <is>
          <t>Minimum Uzama (mm)</t>
        </is>
      </c>
      <c r="C38" s="1169" t="n"/>
      <c r="D38" s="600" t="inlineStr">
        <is>
          <t>Malzeme (mm)</t>
        </is>
      </c>
      <c r="E38" s="623">
        <f>VLOOKUP(E7,'Boru Kontrol Tablosu ASME'!B21:AQ53,36,0)</f>
        <v/>
      </c>
      <c r="F38" s="624">
        <f>VLOOKUP(E7,'Boru Kontrol Tablosu ASME'!B21:AQ53,38,0)</f>
        <v/>
      </c>
      <c r="G38" s="624">
        <f>VLOOKUP(E7,'Boru Kontrol Tablosu ASME'!B21:AQ53,40,0)</f>
        <v/>
      </c>
      <c r="H38" s="624">
        <f>VLOOKUP(E7,'Boru Kontrol Tablosu ASME'!B21:AR53,42,0)</f>
        <v/>
      </c>
      <c r="I38" s="625">
        <f>VLOOKUP(E7,'Boru Kontrol Tablosu ASME'!B21:AS53,44,0)</f>
        <v/>
      </c>
      <c r="J38" s="913">
        <f>1940*(POWER(IF(J10*38&lt;485,ROUND(J10*38,-1),485),0.2))/POWER(K26,0.9)</f>
        <v/>
      </c>
      <c r="K38" s="750" t="n"/>
      <c r="L38" s="1119" t="n"/>
      <c r="M38" s="1119" t="n"/>
      <c r="N38" s="1119" t="n"/>
    </row>
    <row r="39" ht="15.75" customHeight="1" s="510" thickBot="1">
      <c r="A39" s="1119" t="n"/>
      <c r="B39" s="1176" t="n"/>
      <c r="C39" s="750" t="n"/>
      <c r="D39" s="601" t="inlineStr">
        <is>
          <t>Kaynak</t>
        </is>
      </c>
      <c r="E39" s="618" t="n">
        <v>10</v>
      </c>
      <c r="F39" s="619" t="n">
        <v>10</v>
      </c>
      <c r="G39" s="619" t="n">
        <v>10</v>
      </c>
      <c r="H39" s="619" t="n">
        <v>10</v>
      </c>
      <c r="I39" s="620" t="n">
        <v>10</v>
      </c>
      <c r="J39" s="915" t="n">
        <v>10</v>
      </c>
      <c r="K39" s="803" t="n"/>
      <c r="L39" s="1119" t="n"/>
      <c r="M39" s="1119" t="n"/>
      <c r="N39" s="1119" t="n"/>
    </row>
    <row r="40">
      <c r="A40" s="1119" t="n"/>
      <c r="B40" s="898" t="inlineStr">
        <is>
          <t>Radial Offset Max. (mm)</t>
        </is>
      </c>
      <c r="C40" s="1183" t="n"/>
      <c r="D40" s="1184" t="n"/>
      <c r="E40" s="611">
        <f>IF(E11="SAWH",IF(E10&lt;15.01,1.5*0.75,IF(E10&lt;25.01,0.1*0.75*E10,IF(E10&gt;25.01,2.5*0.75,"HATA"))),"Değer Yok")</f>
        <v/>
      </c>
      <c r="F40" s="612">
        <f>IF(E11="SAWH",IF(F10&lt;15.01,1.5*0.75,IF(F10&lt;25.01,0.1*0.75*F10,IF(F10&gt;25.01,2.5*0.75,"HATA"))),"Değer Yok")</f>
        <v/>
      </c>
      <c r="G40" s="612">
        <f>IF(E11="SAWH",IF(G10&lt;15.01,1.5*0.75,IF(G10&lt;25.01,0.1*0.75*G10,IF(G10&gt;25.01,2.5*0.75,"HATA"))),"Değer Yok")</f>
        <v/>
      </c>
      <c r="H40" s="612">
        <f>IF(E11="SAWH",IF(H10&lt;15.01,1.5*0.75,IF(H10&lt;25.01,0.1*0.75*H10,IF(H10&gt;25.01,2.5*0.75,"HATA"))),"Değer Yok")</f>
        <v/>
      </c>
      <c r="I40" s="613">
        <f>IF(E11="SAWH",IF(I10&lt;15.01,1.5*0.75,IF(I10&lt;25.01,0.1*0.75*I10,IF(I10&gt;25.01,2.5*0.75,"HATA"))),"Değer Yok")</f>
        <v/>
      </c>
      <c r="J40" s="901">
        <f>IF(J11="SAWH",IF(J10&lt;15.01,1.5*0.75,IF(J10&lt;25.01,0.1*0.75*J10,IF(J10&gt;25.01,2.5*0.75,"HATA"))),"Değer Yok")</f>
        <v/>
      </c>
      <c r="K40" s="1184" t="n"/>
      <c r="L40" s="1119" t="n"/>
      <c r="M40" s="1119" t="n"/>
      <c r="N40" s="1119" t="n"/>
    </row>
    <row r="41">
      <c r="A41" s="1119" t="n"/>
      <c r="B41" s="907" t="inlineStr">
        <is>
          <t>Kaynak Yüksekliği</t>
        </is>
      </c>
      <c r="C41" s="803" t="n"/>
      <c r="D41" s="981" t="inlineStr">
        <is>
          <t>İç (mm)</t>
        </is>
      </c>
      <c r="E41" s="626">
        <f>IF(E11="SAWH",IF(E10&lt;13.01,3.5*0.75,3.5*0.75),"Değer Yok")</f>
        <v/>
      </c>
      <c r="F41" s="627">
        <f>IF(E11="SAWH",IF(F10&lt;13.01,3.5*0.75,3.5*0.75),"Değer Yok")</f>
        <v/>
      </c>
      <c r="G41" s="627">
        <f>IF(E11="SAWH",IF(G10&lt;13.01,3.5*0.75,3.5*0.75),"Değer Yok")</f>
        <v/>
      </c>
      <c r="H41" s="627">
        <f>IF(E11="SAWH",IF(H10&lt;13.01,3.5*0.75,3.5*0.75),"Değer Yok")</f>
        <v/>
      </c>
      <c r="I41" s="628">
        <f>IF(E11="SAWH",IF(I10&lt;13.01,3.5*0.75,3.5*0.75),"Değer Yok")</f>
        <v/>
      </c>
      <c r="J41" s="849">
        <f>IF(J11="SAWH",IF(J10&lt;13.01,3.5*0.75,3.5*0.75),"Değer Yok")</f>
        <v/>
      </c>
      <c r="K41" s="452" t="n"/>
      <c r="L41" s="1119" t="n"/>
      <c r="M41" s="1119" t="n"/>
      <c r="N41" s="1119" t="n"/>
    </row>
    <row r="42" ht="15.75" customHeight="1" s="510" thickBot="1">
      <c r="A42" s="1119" t="n"/>
      <c r="B42" s="1176" t="n"/>
      <c r="C42" s="750" t="n"/>
      <c r="D42" s="865" t="inlineStr">
        <is>
          <t>Dış (mm)</t>
        </is>
      </c>
      <c r="E42" s="618">
        <f>IF(E11="SAWH",IF(E10&lt;13.01,3.5*0.75,4.5*0.75),"Değer Yok")</f>
        <v/>
      </c>
      <c r="F42" s="619">
        <f>IF(E11="SAWH",IF(F10&lt;13.01,3.5*0.75,4.5*0.75),"Değer Yok")</f>
        <v/>
      </c>
      <c r="G42" s="619">
        <f>IF(E11="SAWH",IF(G10&lt;13.01,3.5*0.75,4.5*0.75),"Değer Yok")</f>
        <v/>
      </c>
      <c r="H42" s="619">
        <f>IF(E11="SAWH",IF(H10&lt;13.01,3.5*0.75,4.5*0.75),"Değer Yok")</f>
        <v/>
      </c>
      <c r="I42" s="620">
        <f>IF(E11="SAWH",IF(I10&lt;13.01,3.5*0.75,4.5*0.75),"Değer Yok")</f>
        <v/>
      </c>
      <c r="J42" s="874">
        <f>IF(J11="SAWH",IF(J10&lt;13.01,3.5*0.75,4.5*0.75),"Değer Yok")</f>
        <v/>
      </c>
      <c r="K42" s="803" t="n"/>
      <c r="L42" s="1119" t="n"/>
      <c r="M42" s="1119" t="n"/>
      <c r="N42" s="1119" t="n"/>
    </row>
    <row r="43" ht="15.75" customHeight="1" s="510" thickBot="1">
      <c r="A43" s="1119" t="n"/>
      <c r="B43" s="938" t="inlineStr">
        <is>
          <t>Misalignment (mm)</t>
        </is>
      </c>
      <c r="C43" s="1156" t="n"/>
      <c r="D43" s="1164" t="n"/>
      <c r="E43" s="629">
        <f>IF(E11="SAWH",IF(E10&lt;20.01,3*0.75,4*0.75),"DEĞER YOK")</f>
        <v/>
      </c>
      <c r="F43" s="630">
        <f>IF(E11="SAWH",IF(F10&lt;20.01,3*0.75,4*0.75),"DEĞER YOK")</f>
        <v/>
      </c>
      <c r="G43" s="630">
        <f>IF(E11="SAWH",IF(G10&lt;20.01,3*0.75,4*0.75),"DEĞER YOK")</f>
        <v/>
      </c>
      <c r="H43" s="630">
        <f>IF(E11="SAWH",IF(H10&lt;20.01,3*0.75,4*0.75),"DEĞER YOK")</f>
        <v/>
      </c>
      <c r="I43" s="631">
        <f>IF(E11="SAWH",IF(I10&lt;20.01,3*0.75,4*0.75),"DEĞER YOK")</f>
        <v/>
      </c>
      <c r="J43" s="841">
        <f>IF(J11="SAWH",IF(J10&lt;20.01,3*0.75,4*0.75),"DEĞER YOK")</f>
        <v/>
      </c>
      <c r="K43" s="1164" t="n"/>
      <c r="L43" s="1119" t="n"/>
      <c r="M43" s="1119" t="n"/>
      <c r="N43" s="1119" t="n"/>
    </row>
    <row r="44">
      <c r="A44" s="1119" t="n"/>
      <c r="B44" s="995" t="inlineStr">
        <is>
          <t>Çentik Darbe (J)</t>
        </is>
      </c>
      <c r="C44" s="754" t="n"/>
      <c r="D44" s="750" t="n"/>
      <c r="E44" s="979" t="inlineStr">
        <is>
          <t>Malzeme</t>
        </is>
      </c>
      <c r="F44" s="633">
        <f>VLOOKUP(E12,'Boru SMYS Tablosu'!B5:G16,5,0)</f>
        <v/>
      </c>
      <c r="G44" s="634" t="inlineStr">
        <is>
          <t>Kaynak</t>
        </is>
      </c>
      <c r="H44" s="1187">
        <f>VLOOKUP(E12,'Boru SMYS Tablosu'!B5:G16,6,0)</f>
        <v/>
      </c>
      <c r="I44" s="1171" t="n"/>
      <c r="J44" s="678">
        <f>VLOOKUP(J12,'Boru SMYS Tablosu'!B5:G16,5,0)</f>
        <v/>
      </c>
      <c r="K44" s="679">
        <f>VLOOKUP(J12,'Boru SMYS Tablosu'!B5:G16,6,0)</f>
        <v/>
      </c>
      <c r="L44" s="1119" t="n"/>
      <c r="M44" s="1119" t="n"/>
      <c r="N44" s="1119" t="n"/>
    </row>
    <row r="45" ht="23.25" customHeight="1" s="510">
      <c r="A45" s="1119" t="n"/>
      <c r="B45" s="1188" t="inlineStr">
        <is>
          <t>Çentik Numunesi Boyutu</t>
        </is>
      </c>
      <c r="C45" s="1165" t="n"/>
      <c r="D45" s="1174" t="n"/>
      <c r="E45" s="764" t="inlineStr">
        <is>
          <t>Tablo 22 ye göre düzenle</t>
        </is>
      </c>
      <c r="F45" s="760" t="n"/>
      <c r="G45" s="761" t="n"/>
      <c r="H45" s="762" t="n"/>
      <c r="I45" s="763" t="n"/>
      <c r="J45" s="947" t="n"/>
      <c r="K45" s="948" t="n"/>
      <c r="L45" s="1119" t="n"/>
      <c r="M45" s="1119" t="n"/>
      <c r="N45" s="1119" t="n"/>
      <c r="AA45" s="331" t="n"/>
      <c r="AB45" s="331" t="n"/>
      <c r="AC45" s="331" t="n"/>
      <c r="AD45" s="331" t="n"/>
      <c r="AE45" s="331" t="n"/>
    </row>
    <row r="46" ht="15.75" customHeight="1" s="510" thickBot="1">
      <c r="A46" s="1119" t="n"/>
      <c r="B46" s="863" t="inlineStr">
        <is>
          <t>Akma Çekme Oranı Max.</t>
        </is>
      </c>
      <c r="C46" s="1167" t="n"/>
      <c r="D46" s="803" t="n"/>
      <c r="E46" s="866">
        <f>VLOOKUP(E12,'Boru SMYS Tablosu'!B5:G16,4,0)</f>
        <v/>
      </c>
      <c r="F46" s="1167" t="n"/>
      <c r="G46" s="1167" t="n"/>
      <c r="H46" s="1167" t="n"/>
      <c r="I46" s="803" t="n"/>
      <c r="J46" s="915">
        <f>VLOOKUP(J12,'Boru SMYS Tablosu'!B5:G16,4,0)</f>
        <v/>
      </c>
      <c r="K46" s="803" t="n"/>
      <c r="L46" s="1119" t="n"/>
      <c r="M46" s="1119" t="n"/>
      <c r="N46" s="1119" t="n"/>
    </row>
    <row r="47">
      <c r="A47" s="1119" t="n"/>
      <c r="B47" s="898" t="inlineStr">
        <is>
          <t>Artık Sress Testi Max (mm)</t>
        </is>
      </c>
      <c r="C47" s="1183" t="n"/>
      <c r="D47" s="1184" t="n"/>
      <c r="E47" s="986">
        <f>IF(D2="BOTAŞ",IF(E11="SAWH",12.566*POWER(E8,2)*G24*0.1/(200000*E10),"TEST YOK"),IF(E11="SAWH",12.566*POWER(E8,2)*G24*0.1/(200000*E10),"TEST YOK"))</f>
        <v/>
      </c>
      <c r="F47" s="987">
        <f>IF(E11="SAWH",12.566*POWER(E8,2)*G24*0.1/(200000*F10),"TEST YOK")</f>
        <v/>
      </c>
      <c r="G47" s="987">
        <f>IF(E11="SAWH",12.566*POWER(E8,2)*G24*0.1/(200000*G10),"TEST YOK")</f>
        <v/>
      </c>
      <c r="H47" s="637">
        <f>IF(E11="SAWH",12.566*POWER(E8,2)*G24*0.1/(200000*H10),"TEST YOK")</f>
        <v/>
      </c>
      <c r="I47" s="988">
        <f>IF(E11="SAWH",12.566*POWER(E8,2)*G24*0.1/(200000*I10),"TEST YOK")</f>
        <v/>
      </c>
      <c r="J47" s="880">
        <f>IF(J11="SAWH",12.566*POWER(J8,2)*K24*0.1/(200000*J10),"TEST YOK")</f>
        <v/>
      </c>
      <c r="K47" s="1184" t="n"/>
      <c r="L47" s="1119" t="n"/>
      <c r="M47" s="1119">
        <f>12.566*POWER(E8,2)*G24*0.1/(200000*G10)</f>
        <v/>
      </c>
      <c r="N47" s="1119">
        <f>12.566*POWER(E8,2)*G24*0.1/(200000*H10)</f>
        <v/>
      </c>
    </row>
    <row r="48" ht="15.75" customHeight="1" s="510" thickBot="1">
      <c r="A48" s="1119" t="n"/>
      <c r="B48" s="860" t="inlineStr">
        <is>
          <t>Yırtılma Testi (DWTT)</t>
        </is>
      </c>
      <c r="C48" s="1186" t="n"/>
      <c r="D48" s="1163" t="n"/>
      <c r="E48" s="639">
        <f>IF(E8&lt;508,"TEST YOK","Var")</f>
        <v/>
      </c>
      <c r="F48" s="640">
        <f>IF(E8&lt;508," TEST YOK","Var")</f>
        <v/>
      </c>
      <c r="G48" s="640">
        <f>IF(E8&lt;508,"TEST YOK","Var")</f>
        <v/>
      </c>
      <c r="H48" s="640">
        <f>IF(E8&lt;508,"TEST YOK","Var")</f>
        <v/>
      </c>
      <c r="I48" s="641">
        <f>IF(E8&lt;508,"TEST YOK","Var")</f>
        <v/>
      </c>
      <c r="J48" s="876">
        <f>IF(J8&lt;508,"TEST YOK","Var")</f>
        <v/>
      </c>
      <c r="K48" s="1163" t="n"/>
      <c r="L48" s="1119" t="n"/>
      <c r="M48" s="1119" t="n"/>
      <c r="N48" s="1119" t="n"/>
    </row>
    <row r="49" ht="15.75" customHeight="1" s="510" thickBot="1">
      <c r="A49" s="1119" t="n"/>
      <c r="B49" s="989" t="inlineStr">
        <is>
          <t>Sertlik TESTİ</t>
        </is>
      </c>
      <c r="D49" s="1169" t="n"/>
      <c r="E49" s="642" t="inlineStr">
        <is>
          <t>300 HV</t>
        </is>
      </c>
      <c r="F49" s="643" t="inlineStr">
        <is>
          <t>300 HV</t>
        </is>
      </c>
      <c r="G49" s="643" t="inlineStr">
        <is>
          <t>300 HV</t>
        </is>
      </c>
      <c r="H49" s="643" t="inlineStr">
        <is>
          <t>300 HV</t>
        </is>
      </c>
      <c r="I49" s="644" t="inlineStr">
        <is>
          <t>300 HV</t>
        </is>
      </c>
      <c r="J49" s="947" t="inlineStr">
        <is>
          <t>300 HV</t>
        </is>
      </c>
      <c r="K49" s="1169" t="n"/>
      <c r="L49" s="1119" t="n"/>
      <c r="M49" s="1119" t="n"/>
      <c r="N49" s="1119" t="n"/>
    </row>
    <row r="50">
      <c r="A50" s="1119" t="n"/>
      <c r="B50" s="898" t="inlineStr">
        <is>
          <t>Mandrel Çapı Max (mm)</t>
        </is>
      </c>
      <c r="C50" s="1183" t="n"/>
      <c r="D50" s="1184" t="n"/>
      <c r="E50" s="986">
        <f>IF(E11="SAWH",(1.15*(E8-2*E10)/((VLOOKUP(E12,'Boru SMYS Tablosu'!B3:O16,14,0)*E8/E10)-2*VLOOKUP(E12,'Boru SMYS Tablosu'!B3:O16,14,0)-1))-E10,"TEST YOK")</f>
        <v/>
      </c>
      <c r="F50" s="987">
        <f>IF(E11="SAWH",(1.15*(E8-2*F10)/((VLOOKUP(E12,'Boru SMYS Tablosu'!B3:O16,14,0)*E8/F10)-2*VLOOKUP(E12,'Boru SMYS Tablosu'!B3:O16,14,0)-1))-F10,"TEST YOK")</f>
        <v/>
      </c>
      <c r="G50" s="987">
        <f>IF(E11="SAWH",(1.15*(E8-2*G10)/((VLOOKUP(E12,'Boru SMYS Tablosu'!B3:O16,14,0)*E8/G10)-2*VLOOKUP(E12,'Boru SMYS Tablosu'!B3:O16,14,0)-1))-G10,"TEST YOK")</f>
        <v/>
      </c>
      <c r="H50" s="987">
        <f>IF(E11="SAWH",(1.15*(E8-2*H10)/((VLOOKUP(E12,'Boru SMYS Tablosu'!B3:O16,14,0)*E8/H10)-2*VLOOKUP(E12,'Boru SMYS Tablosu'!B3:O16,14,0)-1))-H10,"TEST YOK")</f>
        <v/>
      </c>
      <c r="I50" s="988">
        <f>IF(E11="SAWH",1.15*(E8-2*I10)/((VLOOKUP(E12,'Boru SMYS Tablosu'!B3:O16,14,0)*E8/I10)-2*VLOOKUP(E12,'Boru SMYS Tablosu'!B3:O16,14,0)-1)-I10, "TEST YOK")</f>
        <v/>
      </c>
      <c r="J50" s="880">
        <f>IF(J11="SAWH",(1.15*(J8-2*J10)/((VLOOKUP(J12,'Boru SMYS Tablosu'!B3:O16,14,0)*J8/J10)-2*VLOOKUP(J12,'Boru SMYS Tablosu'!B3:O16,14,0)-1))-J10,"TEST YOK")</f>
        <v/>
      </c>
      <c r="K50" s="1184" t="n"/>
      <c r="L50" s="1119" t="n"/>
      <c r="M50" s="1119" t="n"/>
      <c r="N50" s="1119" t="n"/>
    </row>
    <row r="51" ht="15.75" customHeight="1" s="510" thickBot="1">
      <c r="A51" s="1119" t="n"/>
      <c r="B51" s="863" t="inlineStr">
        <is>
          <t>Çene Açıklığı Max (mm)</t>
        </is>
      </c>
      <c r="C51" s="1167" t="n"/>
      <c r="D51" s="803" t="n"/>
      <c r="E51" s="645">
        <f>IF(E50="TEST YOK","TEST YOK",E50+3.2+2*E10)</f>
        <v/>
      </c>
      <c r="F51" s="1000">
        <f>IF(F50="TEST YOK","TEST YOK",F50+3.2+2*F10)</f>
        <v/>
      </c>
      <c r="G51" s="1000">
        <f>IF(G50="TEST YOK","TEST YOK",G50+3.2+2*G10)</f>
        <v/>
      </c>
      <c r="H51" s="647">
        <f>IF(H50="TEST YOK","TEST YOK",H50+3.2+2*H10)</f>
        <v/>
      </c>
      <c r="I51" s="1001">
        <f>IF(I50="TEST YOK","TEST YOK",I50+3.2+2*I10)</f>
        <v/>
      </c>
      <c r="J51" s="874">
        <f>IF(J50="TEST YOK","TEST YOK",J50+3.2+2*J10)</f>
        <v/>
      </c>
      <c r="K51" s="803" t="n"/>
      <c r="L51" s="1119" t="n"/>
      <c r="M51" s="1119" t="n"/>
      <c r="N51" s="1119" t="n"/>
    </row>
    <row r="52" ht="27.75" customHeight="1" s="510">
      <c r="A52" s="1119" t="n"/>
      <c r="B52" s="1006" t="inlineStr">
        <is>
          <t xml:space="preserve">FLATTENING </t>
        </is>
      </c>
      <c r="C52" s="1181" t="n"/>
      <c r="D52" s="604" t="inlineStr">
        <is>
          <t>Kaynak açılma yüksekliği (mm)</t>
        </is>
      </c>
      <c r="E52" s="617">
        <f>IF(E10=0,"YOK",IF(E11="ERW HFW",IF(E13&gt;'Boru SMYS Tablosu'!$D$9,IF(E10&gt;12.69,E8*0.66,E8*0.5),E8*0.5),"TEST YOK"))</f>
        <v/>
      </c>
      <c r="F52" s="649">
        <f>IF(E11="ERW HFW",IF(E13&gt;'Boru SMYS Tablosu'!$D$9,IF(F10&gt;12.69,E8*0.66,E8*0.5),E8*0.5),"TEST YOK")</f>
        <v/>
      </c>
      <c r="G52" s="649">
        <f>IF(E11="ERW HFW",IF(E13&gt;'Boru SMYS Tablosu'!$D$9,IF(G10&gt;12.69,E8*0.66,E8*0.5),E8*0.5),"TEST YOK")</f>
        <v/>
      </c>
      <c r="H52" s="649">
        <f>IF(E11="ERW HFW",IF(E13&gt;'Boru SMYS Tablosu'!$D$9,IF(H10&gt;12.69,E8*0.66,E8*0.5),E8*0.5),"TEST YOK")</f>
        <v/>
      </c>
      <c r="I52" s="650">
        <f>IF(E11="ERW HFW",IF(E13&gt;'Boru SMYS Tablosu'!$D$9,IF(I10&gt;12.69,E8*0.66,E8*0.5),E8*0.5),"TEST YOK")</f>
        <v/>
      </c>
      <c r="J52" s="1189">
        <f>IF(J11="ERW HFW",IF(J13&gt;'Boru SMYS Tablosu'!$D$9,IF(J10&gt;12.69,J8*0.66,J8*0.5),J8*0.5),"TEST YOK")</f>
        <v/>
      </c>
      <c r="K52" s="1160" t="n"/>
      <c r="L52" s="1119" t="n"/>
      <c r="M52" s="1119" t="n"/>
      <c r="N52" s="1119" t="n"/>
    </row>
    <row r="53" ht="27.75" customHeight="1" s="510">
      <c r="A53" s="1119" t="n"/>
      <c r="B53" s="6" t="n"/>
      <c r="C53" s="1169" t="n"/>
      <c r="D53" s="605" t="inlineStr">
        <is>
          <t>Malzemede çatlak yüksekliği (mm)</t>
        </is>
      </c>
      <c r="E53" s="626">
        <f>IF(E10=0,"YOK",IF(E11="ERW HFW",IF(E8/E10&gt;10,E8*0.33,"Soruştur"),"TEST YOK"))</f>
        <v/>
      </c>
      <c r="F53" s="627">
        <f>IF(E11="ERW HFW",IF(E8/F10&gt;10,E8*0.33,"Soruştur"),"TEST YOK")</f>
        <v/>
      </c>
      <c r="G53" s="627">
        <f>IF(E11="ERW HFW",IF(E8/G10&gt;10,E8*0.33,"Soruştur"),"TEST YOK")</f>
        <v/>
      </c>
      <c r="H53" s="627">
        <f>IF(E11="ERW HFW",IF(E8/H10&gt;10,E8*0.33,"Soruştur"),"TEST YOK")</f>
        <v/>
      </c>
      <c r="I53" s="628">
        <f>IF(E11="ERW HFW",IF(E8/I10&gt;10,E8*0.33,"Soruştur"),"BU TEST YOK")</f>
        <v/>
      </c>
      <c r="J53" s="1190">
        <f>IF(J11="ERW HFW",IF(J8/J10&gt;10,J8*0.33,"Soruştur"),"TEST YOK")</f>
        <v/>
      </c>
      <c r="K53" s="1174" t="n"/>
      <c r="L53" s="1119" t="n"/>
      <c r="M53" s="1119" t="n"/>
      <c r="N53" s="1119" t="n"/>
    </row>
    <row r="54" ht="39.75" customHeight="1" s="510" thickBot="1">
      <c r="A54" s="1119" t="n"/>
      <c r="B54" s="1176" t="n"/>
      <c r="C54" s="750" t="n"/>
      <c r="D54" s="606" t="inlineStr">
        <is>
          <t>Laminasyon</t>
        </is>
      </c>
      <c r="E54" s="1191">
        <f>IF(E11="ERW HFW","Düzleştirme testinde karşı duvarlar değdiğinde Laminasyon ve Yanık bulunmayacaktır","TEST YOK")</f>
        <v/>
      </c>
      <c r="F54" s="1167" t="n"/>
      <c r="G54" s="1167" t="n"/>
      <c r="H54" s="1167" t="n"/>
      <c r="I54" s="1168" t="n"/>
      <c r="J54" s="1192">
        <f>IF(J11="ERW HFW","Düzleştirme testinde karşı duvarlar değdiğinde Laminasyon ve Yanık bulunmayacaktır","TEST YOK")</f>
        <v/>
      </c>
      <c r="K54" s="1168" t="n"/>
      <c r="L54" s="1119" t="n"/>
      <c r="M54" s="1119" t="n"/>
      <c r="N54" s="1119" t="n"/>
    </row>
    <row r="55">
      <c r="A55" s="1119" t="n"/>
      <c r="B55" s="898" t="inlineStr">
        <is>
          <t>Boru Ucu Kaynak Çatılaşma Max(mm)</t>
        </is>
      </c>
      <c r="C55" s="1183" t="n"/>
      <c r="D55" s="1184" t="n"/>
      <c r="E55" s="986">
        <f>IF(E11="SAWH", E8*0.0015, "Bu Ölçü Yok")</f>
        <v/>
      </c>
      <c r="F55" s="1183" t="n"/>
      <c r="G55" s="1183" t="n"/>
      <c r="H55" s="1183" t="n"/>
      <c r="I55" s="1184" t="n"/>
      <c r="J55" s="880">
        <f>IF(J11="SAWH", J8*0.0015, "Bu Ölçü Yok")</f>
        <v/>
      </c>
      <c r="K55" s="1184" t="n"/>
      <c r="L55" s="1119" t="n"/>
      <c r="M55" s="1119" t="n"/>
      <c r="N55" s="1119" t="n"/>
    </row>
    <row r="56" ht="15.75" customHeight="1" s="510" thickBot="1">
      <c r="A56" s="1119" t="n"/>
      <c r="B56" s="863" t="inlineStr">
        <is>
          <t>Boru Ucu Diklik Max. (mm)</t>
        </is>
      </c>
      <c r="C56" s="1167" t="n"/>
      <c r="D56" s="803" t="n"/>
      <c r="E56" s="1193" t="n">
        <v>1.6</v>
      </c>
      <c r="F56" s="1167" t="n"/>
      <c r="G56" s="1167" t="n"/>
      <c r="H56" s="1167" t="n"/>
      <c r="I56" s="1168" t="n"/>
      <c r="J56" s="1194" t="n">
        <v>1.6</v>
      </c>
      <c r="K56" s="1168" t="n"/>
      <c r="L56" s="1119" t="n"/>
      <c r="M56" s="1119" t="n"/>
      <c r="N56" s="1119" t="n"/>
    </row>
    <row r="57" ht="15.75" customHeight="1" s="510" thickBot="1">
      <c r="A57" s="1119" t="n"/>
      <c r="B57" s="938" t="inlineStr">
        <is>
          <t>Tamir Kaynağı Uzunluğu (Tek mm)</t>
        </is>
      </c>
      <c r="C57" s="1156" t="n"/>
      <c r="D57" s="1164" t="n"/>
      <c r="E57" s="951">
        <f>IF(E11="SAWH",IF(E8*0.2&lt;150,E8*0.2,150),"Değer Yok")</f>
        <v/>
      </c>
      <c r="F57" s="1156" t="n"/>
      <c r="G57" s="1156" t="n"/>
      <c r="H57" s="1156" t="n"/>
      <c r="I57" s="1164" t="n"/>
      <c r="J57" s="841">
        <f>IF(J11="SAWH",IF(J8*0.2&lt;150,J8*0.2,150),"Değer Yok")</f>
        <v/>
      </c>
      <c r="K57" s="1164" t="n"/>
      <c r="L57" s="1119" t="n"/>
    </row>
    <row r="58" ht="15.75" customHeight="1" s="510" thickBot="1">
      <c r="A58" s="1119" t="n"/>
      <c r="B58" s="843" t="inlineStr">
        <is>
          <t>Tam. Kay. Ön Isıtma</t>
        </is>
      </c>
      <c r="C58" s="9" t="n"/>
      <c r="D58" s="1182" t="n"/>
      <c r="E58" s="651">
        <f>IF(E13&gt;52000,IF(E10&gt;10,"100 C Ön Isıtma","Ön Isıtma Yok"),"Ön Isıtma Yok")</f>
        <v/>
      </c>
      <c r="F58" s="652">
        <f>IF(E13&gt;52000,IF(F10&gt;10,"100 C Ön Isıtma","Ön Isıtma Yok"),"Ön Isıtma Yok")</f>
        <v/>
      </c>
      <c r="G58" s="652">
        <f>IF(E13&gt;52000,IF(G10&gt;10,"100 C Ön Isıtma","Ön Isıtma Yok"),"Ön Isıtma Yok")</f>
        <v/>
      </c>
      <c r="H58" s="652">
        <f>IF(E13&gt;52000,IF(H10&gt;10,"100 C Ön Isıtma","Ön Isıtma Yok"),"Ön Isıtma Yok")</f>
        <v/>
      </c>
      <c r="I58" s="653">
        <f>IF(E13&gt;52000,IF(I10&gt;10,"100 C Ön Isıtma","Ön Isıtma Yok"),"Ön Isıtma Yok")</f>
        <v/>
      </c>
      <c r="J58" s="903">
        <f>IF(J13&gt;52000,IF(J10&gt;10,"100 C Ön Isıtma","Ön Isıtma Yok"),"Ön Isıtma Yok")</f>
        <v/>
      </c>
      <c r="K58" s="1182" t="n"/>
      <c r="L58" s="1119" t="n"/>
    </row>
    <row r="59">
      <c r="A59" s="1119" t="n"/>
      <c r="B59" s="917" t="inlineStr">
        <is>
          <t>Ağırlık Nominal (Kg/m)</t>
        </is>
      </c>
      <c r="C59" s="754" t="n"/>
      <c r="D59" s="750" t="n"/>
      <c r="E59" s="654">
        <f>E10*0.02466*(E8-E10)</f>
        <v/>
      </c>
      <c r="F59" s="655">
        <f>F10*0.02466*(E8-F10)</f>
        <v/>
      </c>
      <c r="G59" s="655">
        <f>G10*0.02466*(E8-G10)</f>
        <v/>
      </c>
      <c r="H59" s="655">
        <f>H10*0.02466*(E8-H10)</f>
        <v/>
      </c>
      <c r="I59" s="656">
        <f>I10*0.02466*(E8-I10)</f>
        <v/>
      </c>
      <c r="J59" s="878">
        <f>J10*0.02466*(J8-J10)</f>
        <v/>
      </c>
      <c r="K59" s="750" t="n"/>
      <c r="L59" s="1119" t="n"/>
    </row>
    <row r="60">
      <c r="A60" s="1119" t="n"/>
      <c r="B60" s="907" t="inlineStr">
        <is>
          <t>Ağırlık Min. (Kg/m)</t>
        </is>
      </c>
      <c r="C60" s="1165" t="n"/>
      <c r="D60" s="452" t="n"/>
      <c r="E60" s="657">
        <f>E59*0.965</f>
        <v/>
      </c>
      <c r="F60" s="658">
        <f>F59*0.965</f>
        <v/>
      </c>
      <c r="G60" s="658">
        <f>G59*0.965</f>
        <v/>
      </c>
      <c r="H60" s="658">
        <f>H59*0.965</f>
        <v/>
      </c>
      <c r="I60" s="659">
        <f>I59*0.965</f>
        <v/>
      </c>
      <c r="J60" s="849">
        <f>J59*0.965</f>
        <v/>
      </c>
      <c r="K60" s="452" t="n"/>
      <c r="L60" s="1119" t="n"/>
    </row>
    <row r="61" ht="15.75" customHeight="1" s="510" thickBot="1">
      <c r="A61" s="1119" t="n"/>
      <c r="B61" s="860" t="inlineStr">
        <is>
          <t>Ağırlık Max. (Kg/m)</t>
        </is>
      </c>
      <c r="C61" s="1186" t="n"/>
      <c r="D61" s="1163" t="n"/>
      <c r="E61" s="660">
        <f>E59*1.1</f>
        <v/>
      </c>
      <c r="F61" s="661">
        <f>F59*1.1</f>
        <v/>
      </c>
      <c r="G61" s="661">
        <f>G59*1.1</f>
        <v/>
      </c>
      <c r="H61" s="661">
        <f>H59*1.1</f>
        <v/>
      </c>
      <c r="I61" s="662">
        <f>I59*1.1</f>
        <v/>
      </c>
      <c r="J61" s="856">
        <f>J59*1.1</f>
        <v/>
      </c>
      <c r="K61" s="1163" t="n"/>
      <c r="L61" s="1119" t="n"/>
    </row>
    <row r="62" ht="20.25" customHeight="1" s="510" thickBot="1">
      <c r="A62" s="1119" t="n"/>
      <c r="B62" s="858" t="inlineStr">
        <is>
          <t>Operating pressure/ SMYS</t>
        </is>
      </c>
      <c r="C62" s="1159" t="n"/>
      <c r="D62" s="1159" t="n"/>
      <c r="E62" s="1195">
        <f>75/E28</f>
        <v/>
      </c>
      <c r="F62" s="1196">
        <f>75/F28</f>
        <v/>
      </c>
      <c r="G62" s="1196">
        <f>75/G28</f>
        <v/>
      </c>
      <c r="H62" s="1196">
        <f>75/H28</f>
        <v/>
      </c>
      <c r="I62" s="1197">
        <f>82.5/I28</f>
        <v/>
      </c>
      <c r="J62" s="1198">
        <f>75/J28</f>
        <v/>
      </c>
      <c r="K62" s="1163" t="n"/>
      <c r="L62" s="284" t="n"/>
    </row>
    <row r="63" ht="72" customHeight="1" s="510" thickBot="1">
      <c r="A63" s="1119" t="n"/>
      <c r="B63" s="853" t="inlineStr">
        <is>
          <t>841.1.2 Fracture Control and Arrest</t>
        </is>
      </c>
      <c r="C63" s="1159" t="n"/>
      <c r="D63" s="1181" t="n"/>
      <c r="E63" s="666">
        <f>IF(E7&gt;14,IF(E62&gt;40%,"Brittle Fracture Control, API 5L Annex G ye Bakınız","API 5L Annex G işlemine gerek yok"),IF(E62&gt;80%,"Brittle Fracture Control, API 5L Annex G ye Bakınız","API 5L Annex G işlemine gerek yok"))</f>
        <v/>
      </c>
      <c r="F63" s="667">
        <f>IF(E7&gt;14,IF(F62&gt;40%,"Brittle Fracture Control, API 5L Annex G ye Bakınız","API 5L Annex G işlemine gerek yok"),IF(F62&gt;80%,"Brittle Fracture Control, API 5L Annex G ye Bakınız","API 5L Annex G işlemine gerek yok"))</f>
        <v/>
      </c>
      <c r="G63" s="667">
        <f>IF(E7&gt;14,IF(G62&gt;40%,"Brittle Fracture Control, API 5L Annex G ye Bakınız","API 5L Annex G işlemine gerek yok"),IF(G62&gt;80%,"Brittle Fracture Control, API 5L Annex G ye Bakınız","API 5L Annex G işlemine gerek yok"))</f>
        <v/>
      </c>
      <c r="H63" s="667">
        <f>IF(E7&gt;14,IF(H62&gt;40%,"Brittle Fracture Control, API 5L Annex G ye Bakınız","API 5L Annex G işlemine gerek yok"),IF(H62&gt;80%,"Brittle Fracture Control, API 5L Annex G ye Bakınız","API 5L Annex G işlemine gerek yok"))</f>
        <v/>
      </c>
      <c r="I63" s="668">
        <f>IF(E7&gt;14,IF(I62&gt;40%,"Brittle Fracture Control, API 5L Annex G ye Bakınız","API 5L Annex G işlemine gerek yok"),IF(I62&gt;80%,"Brittle Fracture Control, API 5L Annex G ye Bakınız","API 5L Annex G işlemine gerek yok"))</f>
        <v/>
      </c>
      <c r="J63" s="1199">
        <f>IF(J7&gt;14,IF(J62&gt;40%,"Brittle Fracture Control, API 5L Annex G ye Bakınız","API 5L Annex G işlemine gerek yok"),IF(J62&gt;80%,"Brittle Fracture Control, API 5L Annex G ye Bakınız","API 5L Annex G işlemine gerek yok"))</f>
        <v/>
      </c>
      <c r="K63" s="1160" t="n"/>
      <c r="L63" s="1119" t="n"/>
    </row>
    <row r="64" ht="15.75" customHeight="1" s="510" thickBot="1">
      <c r="A64" s="1119" t="n"/>
      <c r="B64" s="835" t="inlineStr">
        <is>
          <t>D/t</t>
        </is>
      </c>
      <c r="C64" s="1156" t="n"/>
      <c r="D64" s="1164" t="n"/>
      <c r="E64" s="669">
        <f>$E$8/E10</f>
        <v/>
      </c>
      <c r="F64" s="669">
        <f>$E$8/F10</f>
        <v/>
      </c>
      <c r="G64" s="669">
        <f>$E$8/G10</f>
        <v/>
      </c>
      <c r="H64" s="669">
        <f>$E$8/H10</f>
        <v/>
      </c>
      <c r="I64" s="669">
        <f>$E$8/I10</f>
        <v/>
      </c>
      <c r="J64" s="1200">
        <f>J8/J10</f>
        <v/>
      </c>
      <c r="K64" s="1181" t="n"/>
      <c r="L64" s="1119" t="n"/>
    </row>
    <row r="65" ht="14.45" customHeight="1" s="510">
      <c r="A65" s="1119" t="n"/>
      <c r="B65" s="829" t="inlineStr">
        <is>
          <t>841.1.1 Steel Pipe Design Formula Alternative</t>
        </is>
      </c>
      <c r="C65" s="1159" t="n"/>
      <c r="D65" s="1159" t="n"/>
      <c r="E65" s="831">
        <f>IF(E64&lt;30,"Alternatif  Basınç Dizayn Hesabı Kullanılabilir", "Normal Basınç Dizayn Hesabı")</f>
        <v/>
      </c>
      <c r="F65" s="831">
        <f>IF(F64&lt;30,"Alternatif  Basınç Dizayn Hesabı Kullanılabilir", "Normal Basınç Dizayn Hesabı")</f>
        <v/>
      </c>
      <c r="G65" s="831">
        <f>IF(G64&lt;30,"Alternatif  Basınç Dizayn Hesabı Kullanılabilir", "Normal Basınç Dizayn Hesabı")</f>
        <v/>
      </c>
      <c r="H65" s="831">
        <f>IF(H64&lt;30,"Alternatif  Basınç Dizayn Hesabı Kullanılabilir", "Normal Basınç Dizayn Hesabı")</f>
        <v/>
      </c>
      <c r="I65" s="831">
        <f>IF(I64&lt;30,"Alternatif  Basınç Dizayn Hesabı Kullanılabilir", "Normal Basınç Dizayn Hesabı")</f>
        <v/>
      </c>
      <c r="J65" s="832">
        <f>IF(J64&lt;30,"Alternatif  Basınç Dizayn Hesabı Kullanılabilir", "Normal Basınç Dizyn Hesabı")</f>
        <v/>
      </c>
      <c r="L65" s="1119" t="n"/>
    </row>
    <row r="66">
      <c r="A66" s="1119" t="n"/>
      <c r="L66" s="1119" t="n"/>
    </row>
    <row r="67">
      <c r="A67" s="1119" t="n"/>
      <c r="B67" s="828" t="inlineStr">
        <is>
          <t>Alternative  Design Pressure</t>
        </is>
      </c>
      <c r="E67" s="1119">
        <f>IF(E65="Alternatif  Basınç Dizayn Hesabı Kullanılabilir",E3*0.72,"Hesaplamaya Gerek Yok")</f>
        <v/>
      </c>
      <c r="F67" s="1119">
        <f>IF(F65="Alternatif  Basınç Dizayn Hesabı Kullanılabilir",F3*0.72,"Hesaplamaya Gerek Yok")</f>
        <v/>
      </c>
      <c r="G67" s="1119">
        <f>IF(G65="Alternatif  Basınç Dizayn Hesabı Kullanılabilir",G3*0.72,"Hesaplamaya Gerek Yok")</f>
        <v/>
      </c>
      <c r="H67" s="1119">
        <f>IF(H65="Alternatif  Basınç Dizayn Hesabı Kullanılabilir",H3*0.72,"Hesaplamaya Gerek Yok")</f>
        <v/>
      </c>
      <c r="I67" s="1119">
        <f>IF(I65="Alternatif  Basınç Dizayn Hesabı Kullanılabilir",I3*0.72,"Hesaplamaya Gerek Yok")</f>
        <v/>
      </c>
      <c r="J67" s="828">
        <f>IF(J65="Alternatif  Basınç Dizayn Hesabı Kullanılabilir",2*J13*J10/(J8-J10)/14.50733*J9,"Hesaplamaya Gerek Yok")</f>
        <v/>
      </c>
      <c r="L67" s="1119" t="n"/>
    </row>
    <row r="68">
      <c r="A68" s="1119" t="n"/>
      <c r="B68" s="1119" t="n"/>
      <c r="C68" s="1119" t="n"/>
      <c r="D68" s="1119" t="n"/>
      <c r="E68" s="1119" t="n"/>
      <c r="F68" s="1119" t="n"/>
      <c r="G68" s="1119" t="n"/>
      <c r="H68" s="1119" t="n"/>
      <c r="I68" s="1119" t="n"/>
      <c r="J68" s="1119" t="n"/>
      <c r="K68" s="1119" t="n"/>
      <c r="L68" s="1119" t="n"/>
    </row>
    <row r="69">
      <c r="A69" s="1119" t="n"/>
      <c r="B69" s="1119" t="n"/>
      <c r="C69" s="1119" t="n"/>
      <c r="D69" s="1119" t="n"/>
      <c r="E69" s="1119" t="n"/>
      <c r="F69" s="1119" t="n"/>
      <c r="G69" s="1119" t="n"/>
      <c r="H69" s="1119" t="n"/>
      <c r="I69" s="1119" t="n"/>
      <c r="J69" s="1119" t="n"/>
      <c r="K69" s="1119" t="n"/>
      <c r="L69" s="1119" t="n"/>
    </row>
    <row r="71">
      <c r="E71">
        <f>E62/0.72</f>
        <v/>
      </c>
    </row>
  </sheetData>
  <mergeCells count="138">
    <mergeCell ref="B11:D11"/>
    <mergeCell ref="H35:I35"/>
    <mergeCell ref="B60:D60"/>
    <mergeCell ref="E12:I12"/>
    <mergeCell ref="B57:D57"/>
    <mergeCell ref="E55:I55"/>
    <mergeCell ref="J10:K10"/>
    <mergeCell ref="B44:D44"/>
    <mergeCell ref="J28:K28"/>
    <mergeCell ref="J59:K59"/>
    <mergeCell ref="J60:K60"/>
    <mergeCell ref="J9:K9"/>
    <mergeCell ref="B28:D28"/>
    <mergeCell ref="G24:I24"/>
    <mergeCell ref="E65:E66"/>
    <mergeCell ref="G65:G66"/>
    <mergeCell ref="J53:K53"/>
    <mergeCell ref="E13:I13"/>
    <mergeCell ref="B30:D30"/>
    <mergeCell ref="G26:I26"/>
    <mergeCell ref="B6:D6"/>
    <mergeCell ref="J4:K4"/>
    <mergeCell ref="H65:H66"/>
    <mergeCell ref="E27:F27"/>
    <mergeCell ref="H37:I37"/>
    <mergeCell ref="B62:D62"/>
    <mergeCell ref="E7:I7"/>
    <mergeCell ref="H15:I15"/>
    <mergeCell ref="J62:K62"/>
    <mergeCell ref="B56:D56"/>
    <mergeCell ref="B43:D43"/>
    <mergeCell ref="J65:K66"/>
    <mergeCell ref="J58:K58"/>
    <mergeCell ref="J64:K64"/>
    <mergeCell ref="B8:D8"/>
    <mergeCell ref="J57:K57"/>
    <mergeCell ref="E14:F14"/>
    <mergeCell ref="B10:D10"/>
    <mergeCell ref="H34:I34"/>
    <mergeCell ref="B36:C37"/>
    <mergeCell ref="B52:C54"/>
    <mergeCell ref="B9:D9"/>
    <mergeCell ref="J49:K49"/>
    <mergeCell ref="H36:I36"/>
    <mergeCell ref="J36:K36"/>
    <mergeCell ref="H17:I17"/>
    <mergeCell ref="B22:C23"/>
    <mergeCell ref="J11:K11"/>
    <mergeCell ref="E6:I6"/>
    <mergeCell ref="B45:D45"/>
    <mergeCell ref="E46:I46"/>
    <mergeCell ref="H19:I19"/>
    <mergeCell ref="E26:F26"/>
    <mergeCell ref="B47:D47"/>
    <mergeCell ref="B59:D59"/>
    <mergeCell ref="E57:I57"/>
    <mergeCell ref="J12:K12"/>
    <mergeCell ref="E16:F16"/>
    <mergeCell ref="G27:I27"/>
    <mergeCell ref="B31:D31"/>
    <mergeCell ref="E25:F25"/>
    <mergeCell ref="E54:I54"/>
    <mergeCell ref="J46:K46"/>
    <mergeCell ref="B46:D46"/>
    <mergeCell ref="J51:K51"/>
    <mergeCell ref="B38:C39"/>
    <mergeCell ref="H14:I14"/>
    <mergeCell ref="J61:K61"/>
    <mergeCell ref="E18:F18"/>
    <mergeCell ref="J48:K48"/>
    <mergeCell ref="B48:D48"/>
    <mergeCell ref="E56:I56"/>
    <mergeCell ref="J29:K29"/>
    <mergeCell ref="F65:F66"/>
    <mergeCell ref="J38:K38"/>
    <mergeCell ref="B32:D33"/>
    <mergeCell ref="B13:D13"/>
    <mergeCell ref="E8:I8"/>
    <mergeCell ref="A2:C2"/>
    <mergeCell ref="J40:K40"/>
    <mergeCell ref="H21:I21"/>
    <mergeCell ref="E20:F20"/>
    <mergeCell ref="B49:D49"/>
    <mergeCell ref="B51:D51"/>
    <mergeCell ref="H16:I16"/>
    <mergeCell ref="E15:F15"/>
    <mergeCell ref="B63:D63"/>
    <mergeCell ref="B41:C42"/>
    <mergeCell ref="B50:D50"/>
    <mergeCell ref="E11:I11"/>
    <mergeCell ref="B25:D25"/>
    <mergeCell ref="B34:D35"/>
    <mergeCell ref="J50:K50"/>
    <mergeCell ref="B14:D21"/>
    <mergeCell ref="I65:I66"/>
    <mergeCell ref="J42:K42"/>
    <mergeCell ref="B12:D12"/>
    <mergeCell ref="J52:K52"/>
    <mergeCell ref="J39:K39"/>
    <mergeCell ref="H20:I20"/>
    <mergeCell ref="B67:D67"/>
    <mergeCell ref="J5:K5"/>
    <mergeCell ref="E24:F24"/>
    <mergeCell ref="B61:D61"/>
    <mergeCell ref="J67:K67"/>
    <mergeCell ref="J37:K37"/>
    <mergeCell ref="B29:D29"/>
    <mergeCell ref="J13:K13"/>
    <mergeCell ref="S2:S5"/>
    <mergeCell ref="E17:F17"/>
    <mergeCell ref="H44:I44"/>
    <mergeCell ref="J30:K30"/>
    <mergeCell ref="J6:K6"/>
    <mergeCell ref="E19:F19"/>
    <mergeCell ref="B40:D40"/>
    <mergeCell ref="B55:D55"/>
    <mergeCell ref="J55:K55"/>
    <mergeCell ref="B24:D24"/>
    <mergeCell ref="B64:D64"/>
    <mergeCell ref="G25:I25"/>
    <mergeCell ref="E1:J2"/>
    <mergeCell ref="H32:I32"/>
    <mergeCell ref="J54:K54"/>
    <mergeCell ref="J7:K7"/>
    <mergeCell ref="J63:K63"/>
    <mergeCell ref="B26:D26"/>
    <mergeCell ref="J41:K41"/>
    <mergeCell ref="B7:D7"/>
    <mergeCell ref="J47:K47"/>
    <mergeCell ref="J56:K56"/>
    <mergeCell ref="J43:K43"/>
    <mergeCell ref="H18:I18"/>
    <mergeCell ref="H33:I33"/>
    <mergeCell ref="B27:D27"/>
    <mergeCell ref="B58:D58"/>
    <mergeCell ref="B65:D66"/>
    <mergeCell ref="J8:K8"/>
    <mergeCell ref="E21:F21"/>
  </mergeCells>
  <conditionalFormatting sqref="E63">
    <cfRule type="expression" priority="1" dxfId="0">
      <formula>"""Brittle Fracture Control, API 5L Annex G ye Bakınız"""</formula>
    </cfRule>
  </conditionalFormatting>
  <conditionalFormatting sqref="F63">
    <cfRule type="cellIs" priority="2" operator="equal" dxfId="0">
      <formula>"""Brittle Fracture Control, API 5L Annex G ye Bakınız"""</formula>
    </cfRule>
  </conditionalFormatting>
  <dataValidations count="2">
    <dataValidation sqref="D2" showDropDown="0" showInputMessage="1" showErrorMessage="1" allowBlank="1" type="list">
      <formula1>$T$1:$T$2</formula1>
    </dataValidation>
    <dataValidation sqref="J9:K9" showDropDown="0" showInputMessage="1" showErrorMessage="1" allowBlank="1" type="list">
      <formula1>$AF$2:$AF$6</formula1>
    </dataValidation>
  </dataValidations>
  <pageMargins left="0.7" right="0.7" top="0.75" bottom="0.75" header="0.3" footer="0.3"/>
  <pageSetup orientation="portrait" paperSize="9"/>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codeName="Sayfa3" published="0">
    <outlinePr summaryBelow="1" summaryRight="1"/>
    <pageSetUpPr/>
  </sheetPr>
  <dimension ref="B2:O17"/>
  <sheetViews>
    <sheetView workbookViewId="0">
      <selection activeCell="E28" sqref="E28"/>
    </sheetView>
  </sheetViews>
  <sheetFormatPr baseColWidth="8" defaultRowHeight="15"/>
  <cols>
    <col width="10.89453125" customWidth="1" style="510" min="2" max="2"/>
    <col width="9.68359375" customWidth="1" style="510" min="4" max="4"/>
    <col width="12.64453125" bestFit="1" customWidth="1" style="510" min="5" max="5"/>
    <col width="12.375" customWidth="1" style="510" min="6" max="6"/>
    <col width="12.10546875" customWidth="1" style="510" min="7" max="13"/>
  </cols>
  <sheetData>
    <row r="1" ht="15.75" customHeight="1" s="510" thickBot="1"/>
    <row r="2" ht="15.75" customHeight="1" s="510" thickBot="1">
      <c r="B2" s="34" t="inlineStr">
        <is>
          <t>Pipe</t>
        </is>
      </c>
    </row>
    <row r="3" ht="29.25" customHeight="1" s="510" thickBot="1">
      <c r="B3" s="68" t="inlineStr">
        <is>
          <t>API 5L</t>
        </is>
      </c>
      <c r="C3" s="69" t="inlineStr">
        <is>
          <t>ISO 3183</t>
        </is>
      </c>
      <c r="D3" s="69" t="inlineStr">
        <is>
          <t>SMYS(psi)</t>
        </is>
      </c>
      <c r="E3" s="69" t="inlineStr">
        <is>
          <t>Yield/Tensile</t>
        </is>
      </c>
      <c r="F3" s="69" t="inlineStr">
        <is>
          <t>Çentik Darbe Malzeme</t>
        </is>
      </c>
      <c r="G3" s="69" t="inlineStr">
        <is>
          <t>Çentik Darbe Kaynak</t>
        </is>
      </c>
      <c r="H3" s="69" t="inlineStr">
        <is>
          <t>Yield min MPa</t>
        </is>
      </c>
      <c r="I3" s="69" t="inlineStr">
        <is>
          <t>Yield max psi</t>
        </is>
      </c>
      <c r="J3" s="69" t="inlineStr">
        <is>
          <t>Yield max Mpa</t>
        </is>
      </c>
      <c r="K3" s="69" t="inlineStr">
        <is>
          <t>Tensile Min.Psi</t>
        </is>
      </c>
      <c r="L3" s="69" t="inlineStr">
        <is>
          <t>Tensile Min.Mpa</t>
        </is>
      </c>
      <c r="M3" s="69" t="inlineStr">
        <is>
          <t>Tensile Max.Psi</t>
        </is>
      </c>
      <c r="N3" s="69" t="inlineStr">
        <is>
          <t>Tensile Max.Mpa</t>
        </is>
      </c>
      <c r="O3" s="70" t="inlineStr">
        <is>
          <t>Strain Value</t>
        </is>
      </c>
    </row>
    <row r="4" s="510">
      <c r="B4" s="65" t="inlineStr">
        <is>
          <t>GRADE A</t>
        </is>
      </c>
      <c r="C4" s="66" t="inlineStr">
        <is>
          <t>L210</t>
        </is>
      </c>
      <c r="D4" s="66" t="n">
        <v>30500</v>
      </c>
      <c r="E4" s="495" t="n"/>
      <c r="F4" s="495" t="n"/>
      <c r="G4" s="495" t="n"/>
      <c r="H4" s="120" t="n">
        <v>210</v>
      </c>
      <c r="I4" s="495" t="n"/>
      <c r="J4" s="495" t="n"/>
      <c r="K4" s="495" t="n"/>
      <c r="L4" s="495" t="n"/>
      <c r="M4" s="495" t="n"/>
      <c r="N4" s="495" t="n"/>
      <c r="O4" s="496" t="n"/>
    </row>
    <row r="5">
      <c r="B5" s="65" t="inlineStr">
        <is>
          <t>GRADE B</t>
        </is>
      </c>
      <c r="C5" s="66" t="inlineStr">
        <is>
          <t>L245</t>
        </is>
      </c>
      <c r="D5" s="66" t="n">
        <v>35500</v>
      </c>
      <c r="E5" s="120" t="n">
        <v>0.8</v>
      </c>
      <c r="F5" s="120" t="n">
        <v>27</v>
      </c>
      <c r="G5" s="120" t="n">
        <v>27</v>
      </c>
      <c r="H5" s="120" t="n">
        <v>245</v>
      </c>
      <c r="I5" s="120" t="n">
        <v>65300</v>
      </c>
      <c r="J5" s="120" t="n">
        <v>450</v>
      </c>
      <c r="K5" s="120" t="n">
        <v>60200</v>
      </c>
      <c r="L5" s="120" t="n">
        <v>415</v>
      </c>
      <c r="M5" s="120" t="n">
        <v>95000</v>
      </c>
      <c r="N5" s="120" t="n">
        <v>655</v>
      </c>
      <c r="O5" s="121" t="n">
        <v>0.1375</v>
      </c>
    </row>
    <row r="6">
      <c r="B6" s="35" t="inlineStr">
        <is>
          <t>X42</t>
        </is>
      </c>
      <c r="C6" s="36" t="inlineStr">
        <is>
          <t>L290</t>
        </is>
      </c>
      <c r="D6" s="36" t="n">
        <v>42100</v>
      </c>
      <c r="E6" s="72" t="n">
        <v>0.85</v>
      </c>
      <c r="F6" s="72" t="n">
        <v>27</v>
      </c>
      <c r="G6" s="72" t="n">
        <v>27</v>
      </c>
      <c r="H6" s="72" t="n">
        <v>290</v>
      </c>
      <c r="I6" s="72" t="n">
        <v>71800</v>
      </c>
      <c r="J6" s="72" t="n">
        <v>495</v>
      </c>
      <c r="K6" s="72" t="n">
        <v>60200</v>
      </c>
      <c r="L6" s="72" t="n">
        <v>415</v>
      </c>
      <c r="M6" s="72" t="n">
        <v>95000</v>
      </c>
      <c r="N6" s="72" t="n">
        <v>655</v>
      </c>
      <c r="O6" s="73" t="n">
        <v>0.1375</v>
      </c>
    </row>
    <row r="7">
      <c r="B7" s="35" t="inlineStr">
        <is>
          <t>X46</t>
        </is>
      </c>
      <c r="C7" s="37" t="inlineStr">
        <is>
          <t>L320</t>
        </is>
      </c>
      <c r="D7" s="37" t="n">
        <v>46400</v>
      </c>
      <c r="E7" s="72" t="n">
        <v>0.85</v>
      </c>
      <c r="F7" s="72" t="n">
        <v>48</v>
      </c>
      <c r="G7" s="72" t="n">
        <v>36</v>
      </c>
      <c r="H7" s="72" t="n">
        <v>320</v>
      </c>
      <c r="I7" s="72" t="n">
        <v>76100</v>
      </c>
      <c r="J7" s="72" t="n">
        <v>525</v>
      </c>
      <c r="K7" s="72" t="n">
        <v>63100</v>
      </c>
      <c r="L7" s="72" t="n">
        <v>435</v>
      </c>
      <c r="M7" s="72" t="n">
        <v>95000</v>
      </c>
      <c r="N7" s="72" t="n">
        <v>655</v>
      </c>
      <c r="O7" s="73" t="n">
        <v>0.1325</v>
      </c>
    </row>
    <row r="8">
      <c r="B8" s="35" t="inlineStr">
        <is>
          <t>X52</t>
        </is>
      </c>
      <c r="C8" s="37" t="inlineStr">
        <is>
          <t>L360</t>
        </is>
      </c>
      <c r="D8" s="37" t="n">
        <v>52200</v>
      </c>
      <c r="E8" s="72" t="n">
        <v>0.87</v>
      </c>
      <c r="F8" s="72" t="n">
        <v>48</v>
      </c>
      <c r="G8" s="72" t="n">
        <v>36</v>
      </c>
      <c r="H8" s="72" t="n">
        <v>360</v>
      </c>
      <c r="I8" s="72" t="n">
        <v>76900</v>
      </c>
      <c r="J8" s="72" t="n">
        <v>530</v>
      </c>
      <c r="K8" s="72" t="n">
        <v>66700</v>
      </c>
      <c r="L8" s="72" t="n">
        <v>460</v>
      </c>
      <c r="M8" s="72" t="n">
        <v>110200</v>
      </c>
      <c r="N8" s="72" t="n">
        <v>760</v>
      </c>
      <c r="O8" s="73" t="n">
        <v>0.125</v>
      </c>
    </row>
    <row r="9">
      <c r="B9" s="35" t="inlineStr">
        <is>
          <t>X56</t>
        </is>
      </c>
      <c r="C9" s="36" t="inlineStr">
        <is>
          <t>L390</t>
        </is>
      </c>
      <c r="D9" s="36" t="n">
        <v>56600</v>
      </c>
      <c r="E9" s="72" t="n">
        <v>0.87</v>
      </c>
      <c r="F9" s="72" t="n">
        <v>48</v>
      </c>
      <c r="G9" s="72" t="n">
        <v>36</v>
      </c>
      <c r="H9" s="72" t="n">
        <v>390</v>
      </c>
      <c r="I9" s="72" t="n">
        <v>79000</v>
      </c>
      <c r="J9" s="72" t="n">
        <v>545</v>
      </c>
      <c r="K9" s="72" t="n">
        <v>71100</v>
      </c>
      <c r="L9" s="72" t="n">
        <v>490</v>
      </c>
      <c r="M9" s="72" t="n">
        <v>110200</v>
      </c>
      <c r="N9" s="72" t="n">
        <v>760</v>
      </c>
      <c r="O9" s="73" t="n">
        <v>0.1175</v>
      </c>
    </row>
    <row r="10">
      <c r="B10" s="35" t="inlineStr">
        <is>
          <t>X60</t>
        </is>
      </c>
      <c r="C10" s="37" t="inlineStr">
        <is>
          <t>L415</t>
        </is>
      </c>
      <c r="D10" s="37" t="n">
        <v>60200</v>
      </c>
      <c r="E10" s="72" t="n">
        <v>0.9</v>
      </c>
      <c r="F10" s="72" t="n">
        <v>60</v>
      </c>
      <c r="G10" s="72" t="n">
        <v>45</v>
      </c>
      <c r="H10" s="72" t="n">
        <v>415</v>
      </c>
      <c r="I10" s="72" t="n">
        <v>81900</v>
      </c>
      <c r="J10" s="72" t="n">
        <v>565</v>
      </c>
      <c r="K10" s="72" t="n">
        <v>75400</v>
      </c>
      <c r="L10" s="72" t="n">
        <v>520</v>
      </c>
      <c r="M10" s="72" t="n">
        <v>110200</v>
      </c>
      <c r="N10" s="72" t="n">
        <v>760</v>
      </c>
      <c r="O10" s="73" t="n">
        <v>0.1125</v>
      </c>
    </row>
    <row r="11">
      <c r="B11" s="35" t="inlineStr">
        <is>
          <t>X65</t>
        </is>
      </c>
      <c r="C11" s="37" t="inlineStr">
        <is>
          <t>L450</t>
        </is>
      </c>
      <c r="D11" s="37" t="n">
        <v>65300</v>
      </c>
      <c r="E11" s="72" t="n">
        <v>0.9</v>
      </c>
      <c r="F11" s="72" t="n">
        <v>60</v>
      </c>
      <c r="G11" s="72" t="n">
        <v>45</v>
      </c>
      <c r="H11" s="72" t="n">
        <v>450</v>
      </c>
      <c r="I11" s="72" t="n">
        <v>87000</v>
      </c>
      <c r="J11" s="72" t="n">
        <v>600</v>
      </c>
      <c r="K11" s="72" t="n">
        <v>77600</v>
      </c>
      <c r="L11" s="72" t="n">
        <v>535</v>
      </c>
      <c r="M11" s="72" t="n">
        <v>110200</v>
      </c>
      <c r="N11" s="72" t="n">
        <v>760</v>
      </c>
      <c r="O11" s="73" t="n">
        <v>0.11</v>
      </c>
    </row>
    <row r="12">
      <c r="B12" s="35" t="inlineStr">
        <is>
          <t>X70</t>
        </is>
      </c>
      <c r="C12" s="36" t="inlineStr">
        <is>
          <t>L485</t>
        </is>
      </c>
      <c r="D12" s="36" t="n">
        <v>70300</v>
      </c>
      <c r="E12" s="72" t="n">
        <v>0.93</v>
      </c>
      <c r="F12" s="72" t="n">
        <v>60</v>
      </c>
      <c r="G12" s="72" t="n">
        <v>45</v>
      </c>
      <c r="H12" s="72" t="n">
        <v>485</v>
      </c>
      <c r="I12" s="72" t="n">
        <v>92100</v>
      </c>
      <c r="J12" s="72" t="n">
        <v>635</v>
      </c>
      <c r="K12" s="72" t="n">
        <v>82700</v>
      </c>
      <c r="L12" s="72" t="n">
        <v>570</v>
      </c>
      <c r="M12" s="72" t="n">
        <v>110200</v>
      </c>
      <c r="N12" s="72" t="n">
        <v>760</v>
      </c>
      <c r="O12" s="73" t="n">
        <v>0.1025</v>
      </c>
    </row>
    <row r="13">
      <c r="B13" s="35" t="inlineStr">
        <is>
          <t>X80</t>
        </is>
      </c>
      <c r="C13" s="37" t="inlineStr">
        <is>
          <t>L555</t>
        </is>
      </c>
      <c r="D13" s="37" t="n">
        <v>80500</v>
      </c>
      <c r="E13" s="72" t="n">
        <v>0.93</v>
      </c>
      <c r="F13" s="72" t="n">
        <v>90</v>
      </c>
      <c r="G13" s="72" t="n">
        <v>68</v>
      </c>
      <c r="H13" s="72" t="n">
        <v>555</v>
      </c>
      <c r="I13" s="72" t="n">
        <v>102300</v>
      </c>
      <c r="J13" s="72" t="n">
        <v>705</v>
      </c>
      <c r="K13" s="72" t="n">
        <v>90600</v>
      </c>
      <c r="L13" s="72" t="n">
        <v>625</v>
      </c>
      <c r="M13" s="72" t="n">
        <v>119700</v>
      </c>
      <c r="N13" s="72" t="n">
        <v>825</v>
      </c>
      <c r="O13" s="73" t="n">
        <v>0.095</v>
      </c>
    </row>
    <row r="14">
      <c r="B14" s="35" t="inlineStr">
        <is>
          <t>X90</t>
        </is>
      </c>
      <c r="C14" s="38" t="inlineStr">
        <is>
          <t>L625</t>
        </is>
      </c>
      <c r="D14" s="38" t="n">
        <v>90600</v>
      </c>
      <c r="E14" s="72" t="n">
        <v>0.95</v>
      </c>
      <c r="F14" s="72" t="n"/>
      <c r="G14" s="72" t="n"/>
      <c r="H14" s="72" t="n">
        <v>625</v>
      </c>
      <c r="I14" s="72" t="n">
        <v>112400</v>
      </c>
      <c r="J14" s="72" t="n">
        <v>775</v>
      </c>
      <c r="K14" s="72" t="n">
        <v>100800</v>
      </c>
      <c r="L14" s="72" t="n">
        <v>695</v>
      </c>
      <c r="M14" s="72" t="n">
        <v>132700</v>
      </c>
      <c r="N14" s="72" t="n">
        <v>915</v>
      </c>
      <c r="O14" s="73" t="n">
        <v>0.08500000000000001</v>
      </c>
    </row>
    <row r="15">
      <c r="B15" s="35" t="inlineStr">
        <is>
          <t>X100</t>
        </is>
      </c>
      <c r="C15" s="38" t="inlineStr">
        <is>
          <t>L690</t>
        </is>
      </c>
      <c r="D15" s="38" t="n">
        <v>100100</v>
      </c>
      <c r="E15" s="72" t="n">
        <v>0.97</v>
      </c>
      <c r="F15" s="72" t="n"/>
      <c r="G15" s="72" t="n"/>
      <c r="H15" s="72" t="n">
        <v>690</v>
      </c>
      <c r="I15" s="72" t="n">
        <v>121800</v>
      </c>
      <c r="J15" s="72" t="n">
        <v>840</v>
      </c>
      <c r="K15" s="72" t="n">
        <v>110200</v>
      </c>
      <c r="L15" s="72" t="n">
        <v>760</v>
      </c>
      <c r="M15" s="72" t="n">
        <v>143600</v>
      </c>
      <c r="N15" s="72" t="n">
        <v>990</v>
      </c>
      <c r="O15" s="73" t="n">
        <v>0.08</v>
      </c>
    </row>
    <row r="16">
      <c r="B16" s="35" t="inlineStr">
        <is>
          <t>X120</t>
        </is>
      </c>
      <c r="C16" s="36" t="inlineStr">
        <is>
          <t>L830</t>
        </is>
      </c>
      <c r="D16" s="36" t="n">
        <v>120400</v>
      </c>
      <c r="E16" s="72" t="n">
        <v>0.99</v>
      </c>
      <c r="F16" s="72" t="n"/>
      <c r="G16" s="72" t="n"/>
      <c r="H16" s="72" t="n">
        <v>830</v>
      </c>
      <c r="I16" s="72" t="n">
        <v>152300</v>
      </c>
      <c r="J16" s="72" t="n">
        <v>1050</v>
      </c>
      <c r="K16" s="72" t="n">
        <v>132700</v>
      </c>
      <c r="L16" s="72" t="n">
        <v>915</v>
      </c>
      <c r="M16" s="72" t="n">
        <v>166100</v>
      </c>
      <c r="N16" s="72" t="n">
        <v>1145</v>
      </c>
      <c r="O16" s="73" t="n">
        <v>0.0675</v>
      </c>
    </row>
    <row r="17" ht="15.75" customHeight="1" s="510" thickBot="1">
      <c r="B17" s="15" t="n"/>
      <c r="C17" s="16" t="n"/>
      <c r="D17" s="16" t="n"/>
      <c r="E17" s="16" t="n"/>
      <c r="F17" s="16" t="n"/>
      <c r="G17" s="16" t="n"/>
      <c r="H17" s="16" t="n"/>
      <c r="I17" s="16" t="n"/>
      <c r="J17" s="16" t="n"/>
      <c r="K17" s="16" t="n"/>
      <c r="L17" s="16" t="n"/>
      <c r="M17" s="16" t="n"/>
      <c r="N17" s="16" t="n"/>
      <c r="O17" s="33" t="n"/>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codeName="Sayfa5" published="0">
    <outlinePr summaryBelow="1" summaryRight="1"/>
    <pageSetUpPr/>
  </sheetPr>
  <dimension ref="A1:AA56"/>
  <sheetViews>
    <sheetView topLeftCell="H38" zoomScale="70" zoomScaleNormal="70" workbookViewId="0">
      <selection activeCell="R52" sqref="R52"/>
    </sheetView>
  </sheetViews>
  <sheetFormatPr baseColWidth="8" defaultRowHeight="16.5" customHeight="1"/>
  <cols>
    <col width="7.26171875" customWidth="1" style="510" min="1" max="1"/>
    <col width="41.96875" customWidth="1" style="510" min="2" max="2"/>
    <col width="6.3203125" customWidth="1" style="510" min="3" max="5"/>
    <col width="10.0859375" customWidth="1" style="510" min="7" max="7"/>
    <col width="11.703125" customWidth="1" style="510" min="8" max="8"/>
    <col width="12.375" customWidth="1" style="510" min="9" max="9"/>
    <col width="24.6171875" customWidth="1" style="510" min="11" max="11"/>
    <col width="18.16015625" bestFit="1" customWidth="1" style="510" min="15" max="15"/>
    <col width="9.55078125" customWidth="1" style="510" min="16" max="17"/>
    <col width="39.81640625" bestFit="1" customWidth="1" style="510" min="18" max="18"/>
    <col width="19.37109375" bestFit="1" customWidth="1" style="510" min="19" max="19"/>
    <col width="10.4921875" customWidth="1" style="510" min="20" max="20"/>
    <col width="9.4140625" customWidth="1" style="510" min="21" max="21"/>
    <col width="7.26171875" customWidth="1" style="510" min="257" max="257"/>
    <col width="41.96875" customWidth="1" style="510" min="258" max="258"/>
    <col width="6.3203125" customWidth="1" style="510" min="259" max="261"/>
    <col width="24.6171875" customWidth="1" style="510" min="267" max="267"/>
    <col width="7.26171875" customWidth="1" style="510" min="513" max="513"/>
    <col width="41.96875" customWidth="1" style="510" min="514" max="514"/>
    <col width="6.3203125" customWidth="1" style="510" min="515" max="517"/>
    <col width="24.6171875" customWidth="1" style="510" min="523" max="523"/>
    <col width="7.26171875" customWidth="1" style="510" min="769" max="769"/>
    <col width="41.96875" customWidth="1" style="510" min="770" max="770"/>
    <col width="6.3203125" customWidth="1" style="510" min="771" max="773"/>
    <col width="24.6171875" customWidth="1" style="510" min="779" max="779"/>
    <col width="7.26171875" customWidth="1" style="510" min="1025" max="1025"/>
    <col width="41.96875" customWidth="1" style="510" min="1026" max="1026"/>
    <col width="6.3203125" customWidth="1" style="510" min="1027" max="1029"/>
    <col width="24.6171875" customWidth="1" style="510" min="1035" max="1035"/>
    <col width="7.26171875" customWidth="1" style="510" min="1281" max="1281"/>
    <col width="41.96875" customWidth="1" style="510" min="1282" max="1282"/>
    <col width="6.3203125" customWidth="1" style="510" min="1283" max="1285"/>
    <col width="24.6171875" customWidth="1" style="510" min="1291" max="1291"/>
    <col width="7.26171875" customWidth="1" style="510" min="1537" max="1537"/>
    <col width="41.96875" customWidth="1" style="510" min="1538" max="1538"/>
    <col width="6.3203125" customWidth="1" style="510" min="1539" max="1541"/>
    <col width="24.6171875" customWidth="1" style="510" min="1547" max="1547"/>
    <col width="7.26171875" customWidth="1" style="510" min="1793" max="1793"/>
    <col width="41.96875" customWidth="1" style="510" min="1794" max="1794"/>
    <col width="6.3203125" customWidth="1" style="510" min="1795" max="1797"/>
    <col width="24.6171875" customWidth="1" style="510" min="1803" max="1803"/>
    <col width="7.26171875" customWidth="1" style="510" min="2049" max="2049"/>
    <col width="41.96875" customWidth="1" style="510" min="2050" max="2050"/>
    <col width="6.3203125" customWidth="1" style="510" min="2051" max="2053"/>
    <col width="24.6171875" customWidth="1" style="510" min="2059" max="2059"/>
    <col width="7.26171875" customWidth="1" style="510" min="2305" max="2305"/>
    <col width="41.96875" customWidth="1" style="510" min="2306" max="2306"/>
    <col width="6.3203125" customWidth="1" style="510" min="2307" max="2309"/>
    <col width="24.6171875" customWidth="1" style="510" min="2315" max="2315"/>
    <col width="7.26171875" customWidth="1" style="510" min="2561" max="2561"/>
    <col width="41.96875" customWidth="1" style="510" min="2562" max="2562"/>
    <col width="6.3203125" customWidth="1" style="510" min="2563" max="2565"/>
    <col width="24.6171875" customWidth="1" style="510" min="2571" max="2571"/>
    <col width="7.26171875" customWidth="1" style="510" min="2817" max="2817"/>
    <col width="41.96875" customWidth="1" style="510" min="2818" max="2818"/>
    <col width="6.3203125" customWidth="1" style="510" min="2819" max="2821"/>
    <col width="24.6171875" customWidth="1" style="510" min="2827" max="2827"/>
    <col width="7.26171875" customWidth="1" style="510" min="3073" max="3073"/>
    <col width="41.96875" customWidth="1" style="510" min="3074" max="3074"/>
    <col width="6.3203125" customWidth="1" style="510" min="3075" max="3077"/>
    <col width="24.6171875" customWidth="1" style="510" min="3083" max="3083"/>
    <col width="7.26171875" customWidth="1" style="510" min="3329" max="3329"/>
    <col width="41.96875" customWidth="1" style="510" min="3330" max="3330"/>
    <col width="6.3203125" customWidth="1" style="510" min="3331" max="3333"/>
    <col width="24.6171875" customWidth="1" style="510" min="3339" max="3339"/>
    <col width="7.26171875" customWidth="1" style="510" min="3585" max="3585"/>
    <col width="41.96875" customWidth="1" style="510" min="3586" max="3586"/>
    <col width="6.3203125" customWidth="1" style="510" min="3587" max="3589"/>
    <col width="24.6171875" customWidth="1" style="510" min="3595" max="3595"/>
    <col width="7.26171875" customWidth="1" style="510" min="3841" max="3841"/>
    <col width="41.96875" customWidth="1" style="510" min="3842" max="3842"/>
    <col width="6.3203125" customWidth="1" style="510" min="3843" max="3845"/>
    <col width="24.6171875" customWidth="1" style="510" min="3851" max="3851"/>
    <col width="7.26171875" customWidth="1" style="510" min="4097" max="4097"/>
    <col width="41.96875" customWidth="1" style="510" min="4098" max="4098"/>
    <col width="6.3203125" customWidth="1" style="510" min="4099" max="4101"/>
    <col width="24.6171875" customWidth="1" style="510" min="4107" max="4107"/>
    <col width="7.26171875" customWidth="1" style="510" min="4353" max="4353"/>
    <col width="41.96875" customWidth="1" style="510" min="4354" max="4354"/>
    <col width="6.3203125" customWidth="1" style="510" min="4355" max="4357"/>
    <col width="24.6171875" customWidth="1" style="510" min="4363" max="4363"/>
    <col width="7.26171875" customWidth="1" style="510" min="4609" max="4609"/>
    <col width="41.96875" customWidth="1" style="510" min="4610" max="4610"/>
    <col width="6.3203125" customWidth="1" style="510" min="4611" max="4613"/>
    <col width="24.6171875" customWidth="1" style="510" min="4619" max="4619"/>
    <col width="7.26171875" customWidth="1" style="510" min="4865" max="4865"/>
    <col width="41.96875" customWidth="1" style="510" min="4866" max="4866"/>
    <col width="6.3203125" customWidth="1" style="510" min="4867" max="4869"/>
    <col width="24.6171875" customWidth="1" style="510" min="4875" max="4875"/>
    <col width="7.26171875" customWidth="1" style="510" min="5121" max="5121"/>
    <col width="41.96875" customWidth="1" style="510" min="5122" max="5122"/>
    <col width="6.3203125" customWidth="1" style="510" min="5123" max="5125"/>
    <col width="24.6171875" customWidth="1" style="510" min="5131" max="5131"/>
    <col width="7.26171875" customWidth="1" style="510" min="5377" max="5377"/>
    <col width="41.96875" customWidth="1" style="510" min="5378" max="5378"/>
    <col width="6.3203125" customWidth="1" style="510" min="5379" max="5381"/>
    <col width="24.6171875" customWidth="1" style="510" min="5387" max="5387"/>
    <col width="7.26171875" customWidth="1" style="510" min="5633" max="5633"/>
    <col width="41.96875" customWidth="1" style="510" min="5634" max="5634"/>
    <col width="6.3203125" customWidth="1" style="510" min="5635" max="5637"/>
    <col width="24.6171875" customWidth="1" style="510" min="5643" max="5643"/>
    <col width="7.26171875" customWidth="1" style="510" min="5889" max="5889"/>
    <col width="41.96875" customWidth="1" style="510" min="5890" max="5890"/>
    <col width="6.3203125" customWidth="1" style="510" min="5891" max="5893"/>
    <col width="24.6171875" customWidth="1" style="510" min="5899" max="5899"/>
    <col width="7.26171875" customWidth="1" style="510" min="6145" max="6145"/>
    <col width="41.96875" customWidth="1" style="510" min="6146" max="6146"/>
    <col width="6.3203125" customWidth="1" style="510" min="6147" max="6149"/>
    <col width="24.6171875" customWidth="1" style="510" min="6155" max="6155"/>
    <col width="7.26171875" customWidth="1" style="510" min="6401" max="6401"/>
    <col width="41.96875" customWidth="1" style="510" min="6402" max="6402"/>
    <col width="6.3203125" customWidth="1" style="510" min="6403" max="6405"/>
    <col width="24.6171875" customWidth="1" style="510" min="6411" max="6411"/>
    <col width="7.26171875" customWidth="1" style="510" min="6657" max="6657"/>
    <col width="41.96875" customWidth="1" style="510" min="6658" max="6658"/>
    <col width="6.3203125" customWidth="1" style="510" min="6659" max="6661"/>
    <col width="24.6171875" customWidth="1" style="510" min="6667" max="6667"/>
    <col width="7.26171875" customWidth="1" style="510" min="6913" max="6913"/>
    <col width="41.96875" customWidth="1" style="510" min="6914" max="6914"/>
    <col width="6.3203125" customWidth="1" style="510" min="6915" max="6917"/>
    <col width="24.6171875" customWidth="1" style="510" min="6923" max="6923"/>
    <col width="7.26171875" customWidth="1" style="510" min="7169" max="7169"/>
    <col width="41.96875" customWidth="1" style="510" min="7170" max="7170"/>
    <col width="6.3203125" customWidth="1" style="510" min="7171" max="7173"/>
    <col width="24.6171875" customWidth="1" style="510" min="7179" max="7179"/>
    <col width="7.26171875" customWidth="1" style="510" min="7425" max="7425"/>
    <col width="41.96875" customWidth="1" style="510" min="7426" max="7426"/>
    <col width="6.3203125" customWidth="1" style="510" min="7427" max="7429"/>
    <col width="24.6171875" customWidth="1" style="510" min="7435" max="7435"/>
    <col width="7.26171875" customWidth="1" style="510" min="7681" max="7681"/>
    <col width="41.96875" customWidth="1" style="510" min="7682" max="7682"/>
    <col width="6.3203125" customWidth="1" style="510" min="7683" max="7685"/>
    <col width="24.6171875" customWidth="1" style="510" min="7691" max="7691"/>
    <col width="7.26171875" customWidth="1" style="510" min="7937" max="7937"/>
    <col width="41.96875" customWidth="1" style="510" min="7938" max="7938"/>
    <col width="6.3203125" customWidth="1" style="510" min="7939" max="7941"/>
    <col width="24.6171875" customWidth="1" style="510" min="7947" max="7947"/>
    <col width="7.26171875" customWidth="1" style="510" min="8193" max="8193"/>
    <col width="41.96875" customWidth="1" style="510" min="8194" max="8194"/>
    <col width="6.3203125" customWidth="1" style="510" min="8195" max="8197"/>
    <col width="24.6171875" customWidth="1" style="510" min="8203" max="8203"/>
    <col width="7.26171875" customWidth="1" style="510" min="8449" max="8449"/>
    <col width="41.96875" customWidth="1" style="510" min="8450" max="8450"/>
    <col width="6.3203125" customWidth="1" style="510" min="8451" max="8453"/>
    <col width="24.6171875" customWidth="1" style="510" min="8459" max="8459"/>
    <col width="7.26171875" customWidth="1" style="510" min="8705" max="8705"/>
    <col width="41.96875" customWidth="1" style="510" min="8706" max="8706"/>
    <col width="6.3203125" customWidth="1" style="510" min="8707" max="8709"/>
    <col width="24.6171875" customWidth="1" style="510" min="8715" max="8715"/>
    <col width="7.26171875" customWidth="1" style="510" min="8961" max="8961"/>
    <col width="41.96875" customWidth="1" style="510" min="8962" max="8962"/>
    <col width="6.3203125" customWidth="1" style="510" min="8963" max="8965"/>
    <col width="24.6171875" customWidth="1" style="510" min="8971" max="8971"/>
    <col width="7.26171875" customWidth="1" style="510" min="9217" max="9217"/>
    <col width="41.96875" customWidth="1" style="510" min="9218" max="9218"/>
    <col width="6.3203125" customWidth="1" style="510" min="9219" max="9221"/>
    <col width="24.6171875" customWidth="1" style="510" min="9227" max="9227"/>
    <col width="7.26171875" customWidth="1" style="510" min="9473" max="9473"/>
    <col width="41.96875" customWidth="1" style="510" min="9474" max="9474"/>
    <col width="6.3203125" customWidth="1" style="510" min="9475" max="9477"/>
    <col width="24.6171875" customWidth="1" style="510" min="9483" max="9483"/>
    <col width="7.26171875" customWidth="1" style="510" min="9729" max="9729"/>
    <col width="41.96875" customWidth="1" style="510" min="9730" max="9730"/>
    <col width="6.3203125" customWidth="1" style="510" min="9731" max="9733"/>
    <col width="24.6171875" customWidth="1" style="510" min="9739" max="9739"/>
    <col width="7.26171875" customWidth="1" style="510" min="9985" max="9985"/>
    <col width="41.96875" customWidth="1" style="510" min="9986" max="9986"/>
    <col width="6.3203125" customWidth="1" style="510" min="9987" max="9989"/>
    <col width="24.6171875" customWidth="1" style="510" min="9995" max="9995"/>
    <col width="7.26171875" customWidth="1" style="510" min="10241" max="10241"/>
    <col width="41.96875" customWidth="1" style="510" min="10242" max="10242"/>
    <col width="6.3203125" customWidth="1" style="510" min="10243" max="10245"/>
    <col width="24.6171875" customWidth="1" style="510" min="10251" max="10251"/>
    <col width="7.26171875" customWidth="1" style="510" min="10497" max="10497"/>
    <col width="41.96875" customWidth="1" style="510" min="10498" max="10498"/>
    <col width="6.3203125" customWidth="1" style="510" min="10499" max="10501"/>
    <col width="24.6171875" customWidth="1" style="510" min="10507" max="10507"/>
    <col width="7.26171875" customWidth="1" style="510" min="10753" max="10753"/>
    <col width="41.96875" customWidth="1" style="510" min="10754" max="10754"/>
    <col width="6.3203125" customWidth="1" style="510" min="10755" max="10757"/>
    <col width="24.6171875" customWidth="1" style="510" min="10763" max="10763"/>
    <col width="7.26171875" customWidth="1" style="510" min="11009" max="11009"/>
    <col width="41.96875" customWidth="1" style="510" min="11010" max="11010"/>
    <col width="6.3203125" customWidth="1" style="510" min="11011" max="11013"/>
    <col width="24.6171875" customWidth="1" style="510" min="11019" max="11019"/>
    <col width="7.26171875" customWidth="1" style="510" min="11265" max="11265"/>
    <col width="41.96875" customWidth="1" style="510" min="11266" max="11266"/>
    <col width="6.3203125" customWidth="1" style="510" min="11267" max="11269"/>
    <col width="24.6171875" customWidth="1" style="510" min="11275" max="11275"/>
    <col width="7.26171875" customWidth="1" style="510" min="11521" max="11521"/>
    <col width="41.96875" customWidth="1" style="510" min="11522" max="11522"/>
    <col width="6.3203125" customWidth="1" style="510" min="11523" max="11525"/>
    <col width="24.6171875" customWidth="1" style="510" min="11531" max="11531"/>
    <col width="7.26171875" customWidth="1" style="510" min="11777" max="11777"/>
    <col width="41.96875" customWidth="1" style="510" min="11778" max="11778"/>
    <col width="6.3203125" customWidth="1" style="510" min="11779" max="11781"/>
    <col width="24.6171875" customWidth="1" style="510" min="11787" max="11787"/>
    <col width="7.26171875" customWidth="1" style="510" min="12033" max="12033"/>
    <col width="41.96875" customWidth="1" style="510" min="12034" max="12034"/>
    <col width="6.3203125" customWidth="1" style="510" min="12035" max="12037"/>
    <col width="24.6171875" customWidth="1" style="510" min="12043" max="12043"/>
    <col width="7.26171875" customWidth="1" style="510" min="12289" max="12289"/>
    <col width="41.96875" customWidth="1" style="510" min="12290" max="12290"/>
    <col width="6.3203125" customWidth="1" style="510" min="12291" max="12293"/>
    <col width="24.6171875" customWidth="1" style="510" min="12299" max="12299"/>
    <col width="7.26171875" customWidth="1" style="510" min="12545" max="12545"/>
    <col width="41.96875" customWidth="1" style="510" min="12546" max="12546"/>
    <col width="6.3203125" customWidth="1" style="510" min="12547" max="12549"/>
    <col width="24.6171875" customWidth="1" style="510" min="12555" max="12555"/>
    <col width="7.26171875" customWidth="1" style="510" min="12801" max="12801"/>
    <col width="41.96875" customWidth="1" style="510" min="12802" max="12802"/>
    <col width="6.3203125" customWidth="1" style="510" min="12803" max="12805"/>
    <col width="24.6171875" customWidth="1" style="510" min="12811" max="12811"/>
    <col width="7.26171875" customWidth="1" style="510" min="13057" max="13057"/>
    <col width="41.96875" customWidth="1" style="510" min="13058" max="13058"/>
    <col width="6.3203125" customWidth="1" style="510" min="13059" max="13061"/>
    <col width="24.6171875" customWidth="1" style="510" min="13067" max="13067"/>
    <col width="7.26171875" customWidth="1" style="510" min="13313" max="13313"/>
    <col width="41.96875" customWidth="1" style="510" min="13314" max="13314"/>
    <col width="6.3203125" customWidth="1" style="510" min="13315" max="13317"/>
    <col width="24.6171875" customWidth="1" style="510" min="13323" max="13323"/>
    <col width="7.26171875" customWidth="1" style="510" min="13569" max="13569"/>
    <col width="41.96875" customWidth="1" style="510" min="13570" max="13570"/>
    <col width="6.3203125" customWidth="1" style="510" min="13571" max="13573"/>
    <col width="24.6171875" customWidth="1" style="510" min="13579" max="13579"/>
    <col width="7.26171875" customWidth="1" style="510" min="13825" max="13825"/>
    <col width="41.96875" customWidth="1" style="510" min="13826" max="13826"/>
    <col width="6.3203125" customWidth="1" style="510" min="13827" max="13829"/>
    <col width="24.6171875" customWidth="1" style="510" min="13835" max="13835"/>
    <col width="7.26171875" customWidth="1" style="510" min="14081" max="14081"/>
    <col width="41.96875" customWidth="1" style="510" min="14082" max="14082"/>
    <col width="6.3203125" customWidth="1" style="510" min="14083" max="14085"/>
    <col width="24.6171875" customWidth="1" style="510" min="14091" max="14091"/>
    <col width="7.26171875" customWidth="1" style="510" min="14337" max="14337"/>
    <col width="41.96875" customWidth="1" style="510" min="14338" max="14338"/>
    <col width="6.3203125" customWidth="1" style="510" min="14339" max="14341"/>
    <col width="24.6171875" customWidth="1" style="510" min="14347" max="14347"/>
    <col width="7.26171875" customWidth="1" style="510" min="14593" max="14593"/>
    <col width="41.96875" customWidth="1" style="510" min="14594" max="14594"/>
    <col width="6.3203125" customWidth="1" style="510" min="14595" max="14597"/>
    <col width="24.6171875" customWidth="1" style="510" min="14603" max="14603"/>
    <col width="7.26171875" customWidth="1" style="510" min="14849" max="14849"/>
    <col width="41.96875" customWidth="1" style="510" min="14850" max="14850"/>
    <col width="6.3203125" customWidth="1" style="510" min="14851" max="14853"/>
    <col width="24.6171875" customWidth="1" style="510" min="14859" max="14859"/>
    <col width="7.26171875" customWidth="1" style="510" min="15105" max="15105"/>
    <col width="41.96875" customWidth="1" style="510" min="15106" max="15106"/>
    <col width="6.3203125" customWidth="1" style="510" min="15107" max="15109"/>
    <col width="24.6171875" customWidth="1" style="510" min="15115" max="15115"/>
    <col width="7.26171875" customWidth="1" style="510" min="15361" max="15361"/>
    <col width="41.96875" customWidth="1" style="510" min="15362" max="15362"/>
    <col width="6.3203125" customWidth="1" style="510" min="15363" max="15365"/>
    <col width="24.6171875" customWidth="1" style="510" min="15371" max="15371"/>
    <col width="7.26171875" customWidth="1" style="510" min="15617" max="15617"/>
    <col width="41.96875" customWidth="1" style="510" min="15618" max="15618"/>
    <col width="6.3203125" customWidth="1" style="510" min="15619" max="15621"/>
    <col width="24.6171875" customWidth="1" style="510" min="15627" max="15627"/>
    <col width="7.26171875" customWidth="1" style="510" min="15873" max="15873"/>
    <col width="41.96875" customWidth="1" style="510" min="15874" max="15874"/>
    <col width="6.3203125" customWidth="1" style="510" min="15875" max="15877"/>
    <col width="24.6171875" customWidth="1" style="510" min="15883" max="15883"/>
    <col width="7.26171875" customWidth="1" style="510" min="16129" max="16129"/>
    <col width="41.96875" customWidth="1" style="510" min="16130" max="16130"/>
    <col width="6.3203125" customWidth="1" style="510" min="16131" max="16133"/>
    <col width="24.6171875" customWidth="1" style="510" min="16139" max="16139"/>
  </cols>
  <sheetData>
    <row r="1" ht="15" customHeight="1" s="510">
      <c r="A1" s="179" t="inlineStr">
        <is>
          <t>Branch reinforcement calculations as per ASME B 31.3 1996 Edition:</t>
        </is>
      </c>
      <c r="B1" s="180" t="n"/>
      <c r="C1" s="181" t="n"/>
      <c r="D1" s="181" t="n"/>
      <c r="E1" s="181" t="n"/>
      <c r="F1" s="182" t="inlineStr">
        <is>
          <t>(for nomenclature refer ASME 31.3 1996 Edition)</t>
        </is>
      </c>
      <c r="G1" s="180" t="n"/>
      <c r="H1" s="180" t="n"/>
      <c r="I1" s="180" t="n"/>
      <c r="J1" s="180" t="n"/>
      <c r="K1" s="183" t="n"/>
      <c r="L1" s="184" t="n"/>
      <c r="M1" s="185" t="n"/>
    </row>
    <row r="2" ht="15" customHeight="1" s="510">
      <c r="A2" s="186" t="n"/>
      <c r="B2" s="191" t="n"/>
      <c r="C2" s="238" t="n"/>
      <c r="D2" s="238" t="n"/>
      <c r="E2" s="238" t="n"/>
      <c r="F2" s="197" t="inlineStr">
        <is>
          <t xml:space="preserve">Nom. run size (inch)  </t>
        </is>
      </c>
      <c r="G2" s="191" t="n"/>
      <c r="H2" s="191" t="n"/>
      <c r="I2" s="190" t="inlineStr">
        <is>
          <t>48"</t>
        </is>
      </c>
      <c r="J2" s="192" t="n"/>
      <c r="K2" s="191" t="n"/>
      <c r="L2" s="192" t="n"/>
      <c r="M2" s="193" t="n"/>
    </row>
    <row r="3" ht="15" customHeight="1" s="510">
      <c r="A3" s="194" t="inlineStr">
        <is>
          <t>Enter the following data in the units indicated</t>
        </is>
      </c>
      <c r="B3" s="195" t="n"/>
      <c r="C3" s="196" t="n"/>
      <c r="D3" s="196" t="n"/>
      <c r="E3" s="196" t="n"/>
      <c r="F3" s="197" t="inlineStr">
        <is>
          <t xml:space="preserve">Nom. branch size (inch)  </t>
        </is>
      </c>
      <c r="G3" s="191" t="n"/>
      <c r="H3" s="191" t="n"/>
      <c r="I3" s="190" t="inlineStr">
        <is>
          <t>4"</t>
        </is>
      </c>
      <c r="J3" s="192" t="n"/>
      <c r="K3" s="192" t="n"/>
      <c r="L3" s="192" t="n"/>
      <c r="M3" s="193" t="n"/>
    </row>
    <row r="4" ht="15" customHeight="1" s="510">
      <c r="A4" s="198" t="inlineStr">
        <is>
          <t>1 .</t>
        </is>
      </c>
      <c r="B4" s="199" t="inlineStr">
        <is>
          <t>Dh=O.D of header or run pipe in mm</t>
        </is>
      </c>
      <c r="C4" s="229" t="n"/>
      <c r="D4" s="201" t="n"/>
      <c r="E4" s="202">
        <f>VLOOKUP(I2,Tablo2[[ÇAP inch]:[ÇAP mm]],2,0)</f>
        <v/>
      </c>
      <c r="F4" s="191" t="n"/>
      <c r="G4" s="191" t="n"/>
      <c r="H4" s="191" t="n"/>
      <c r="I4" s="191" t="n"/>
      <c r="J4" s="191" t="n"/>
      <c r="K4" s="192" t="n"/>
      <c r="L4" s="192" t="n"/>
      <c r="M4" s="193" t="n"/>
    </row>
    <row r="5" ht="15" customHeight="1" s="510">
      <c r="A5" s="198" t="n"/>
      <c r="B5" s="199" t="inlineStr">
        <is>
          <t>Db=O.D. of branch pipe in mm</t>
        </is>
      </c>
      <c r="C5" s="229" t="n"/>
      <c r="D5" s="201" t="n"/>
      <c r="E5" s="202">
        <f>VLOOKUP(I3,Tablo2[[ÇAP inch]:[ÇAP mm]],2,0)</f>
        <v/>
      </c>
      <c r="F5" s="191" t="n"/>
      <c r="G5" s="191" t="n"/>
      <c r="H5" s="191" t="n"/>
      <c r="I5" s="191" t="n"/>
      <c r="J5" s="191" t="n"/>
      <c r="K5" s="192" t="n"/>
      <c r="L5" s="192" t="n"/>
      <c r="M5" s="193" t="n"/>
    </row>
    <row r="6" ht="15" customHeight="1" s="510">
      <c r="A6" s="198" t="inlineStr">
        <is>
          <t>2 .</t>
        </is>
      </c>
      <c r="B6" s="203" t="inlineStr">
        <is>
          <t>Nominal thickness of branch pipe in mm.Tb</t>
        </is>
      </c>
      <c r="C6" s="229" t="n"/>
      <c r="D6" s="201" t="n"/>
      <c r="E6" s="202">
        <f>VLOOKUP(I3,Tablo2[[ÇAP inch]:[Et Kalınlığı 5]],12,0)</f>
        <v/>
      </c>
      <c r="F6" s="191" t="n"/>
      <c r="G6" s="191" t="n"/>
      <c r="H6" s="191" t="n"/>
      <c r="I6" s="191" t="n"/>
      <c r="J6" s="191" t="n"/>
      <c r="K6" s="192" t="n"/>
      <c r="L6" s="192" t="n"/>
      <c r="M6" s="193" t="n"/>
    </row>
    <row r="7" ht="15" customHeight="1" s="510">
      <c r="A7" s="198" t="n"/>
      <c r="B7" s="204" t="inlineStr">
        <is>
          <t>Corrosion allowance for branch pipe in mm. Cb</t>
        </is>
      </c>
      <c r="C7" s="229" t="n"/>
      <c r="D7" s="205" t="n"/>
      <c r="E7" s="206" t="n">
        <v>1.5</v>
      </c>
      <c r="F7" s="191" t="n"/>
      <c r="G7" s="191" t="n"/>
      <c r="H7" s="191" t="n"/>
      <c r="I7" s="191" t="n"/>
      <c r="J7" s="191" t="n"/>
      <c r="K7" s="207" t="n"/>
      <c r="L7" s="207" t="n"/>
      <c r="M7" s="208" t="n"/>
    </row>
    <row r="8" ht="15" customHeight="1" s="510">
      <c r="A8" s="198" t="n">
        <v>3</v>
      </c>
      <c r="B8" s="209" t="inlineStr">
        <is>
          <t>Nominal thickness of run pipe in mm Th</t>
        </is>
      </c>
      <c r="C8" s="229" t="n"/>
      <c r="D8" s="201" t="n"/>
      <c r="E8" s="202">
        <f>VLOOKUP(I2,Tablo2[[ÇAP inch]:[Et Kalınlığı 5]],12,0)</f>
        <v/>
      </c>
      <c r="F8" s="191" t="n"/>
      <c r="G8" s="191" t="n"/>
      <c r="H8" s="191" t="n"/>
      <c r="I8" s="191" t="n"/>
      <c r="J8" s="191" t="n"/>
      <c r="K8" s="192" t="n"/>
      <c r="L8" s="207" t="n"/>
      <c r="M8" s="208" t="n"/>
    </row>
    <row r="9" ht="15" customHeight="1" s="510">
      <c r="A9" s="198" t="n"/>
      <c r="B9" s="204" t="inlineStr">
        <is>
          <t>Corrosion allowance for run pipe in mm. Ch</t>
        </is>
      </c>
      <c r="C9" s="229" t="n"/>
      <c r="D9" s="205" t="n"/>
      <c r="E9" s="206" t="n">
        <v>1.5</v>
      </c>
      <c r="F9" s="191" t="n"/>
      <c r="G9" s="191" t="n"/>
      <c r="H9" s="191" t="n"/>
      <c r="I9" s="191" t="n"/>
      <c r="J9" s="191" t="n"/>
      <c r="K9" s="192" t="n"/>
      <c r="L9" s="192" t="n"/>
      <c r="M9" s="193" t="n"/>
    </row>
    <row r="10" ht="15" customHeight="1" s="510">
      <c r="A10" s="198" t="n">
        <v>4</v>
      </c>
      <c r="B10" s="285" t="inlineStr">
        <is>
          <t>Internal design gauge pressure (bar)</t>
        </is>
      </c>
      <c r="C10" s="229" t="n"/>
      <c r="D10" s="201" t="n"/>
      <c r="E10" s="202" t="n">
        <v>82.5</v>
      </c>
      <c r="F10" s="191" t="n"/>
      <c r="G10" s="191" t="n"/>
      <c r="H10" s="191" t="n"/>
      <c r="I10" s="191" t="n"/>
      <c r="J10" s="191" t="n"/>
      <c r="K10" s="192" t="n"/>
      <c r="L10" s="211" t="n"/>
      <c r="M10" s="212" t="n"/>
    </row>
    <row r="11" ht="15" customHeight="1" s="510">
      <c r="A11" s="198" t="n">
        <v>5</v>
      </c>
      <c r="B11" s="213" t="inlineStr">
        <is>
          <t>Basic allowable stress for material of run pipe,(table A-1) psi(g), Sh</t>
        </is>
      </c>
      <c r="C11" s="214" t="n"/>
      <c r="D11" s="215" t="n"/>
      <c r="E11" s="216">
        <f>VLOOKUP(I2,Tablo2[],4,0)</f>
        <v/>
      </c>
      <c r="F11" s="191" t="n"/>
      <c r="G11" s="191" t="n"/>
      <c r="H11" s="191" t="n"/>
      <c r="I11" s="191" t="n"/>
      <c r="J11" s="191" t="n"/>
      <c r="K11" s="192" t="n"/>
      <c r="L11" s="207" t="n"/>
      <c r="M11" s="208" t="n"/>
    </row>
    <row r="12" ht="15" customHeight="1" s="510">
      <c r="A12" s="198" t="n">
        <v>6</v>
      </c>
      <c r="B12" s="213" t="inlineStr">
        <is>
          <t xml:space="preserve">Basic allowable stress for material of branch pipe,(Table A-1) psi(g) Sb </t>
        </is>
      </c>
      <c r="C12" s="214" t="n"/>
      <c r="D12" s="215" t="n"/>
      <c r="E12" s="216">
        <f>VLOOKUP(I3,Tablo2[],4,0)</f>
        <v/>
      </c>
      <c r="F12" s="191" t="n"/>
      <c r="G12" s="191" t="n"/>
      <c r="H12" s="191" t="n"/>
      <c r="I12" s="191" t="n"/>
      <c r="J12" s="218">
        <f>IF(E8&lt;8.71,E8-0.04,IF(E8&lt;12.71,E8-0.1,E8-0.15))</f>
        <v/>
      </c>
      <c r="K12" s="192" t="n"/>
      <c r="L12" s="207" t="n"/>
      <c r="M12" s="208" t="n"/>
    </row>
    <row r="13" ht="15" customHeight="1" s="510">
      <c r="A13" s="198" t="n">
        <v>7</v>
      </c>
      <c r="B13" s="203" t="inlineStr">
        <is>
          <t>Quality factor from (Table A-1B), for run pipe.Ejh</t>
        </is>
      </c>
      <c r="C13" s="229" t="n"/>
      <c r="D13" s="201" t="n"/>
      <c r="E13" s="202" t="n">
        <v>1</v>
      </c>
      <c r="F13" s="217" t="inlineStr">
        <is>
          <t>d1 effective length removed from  pipe at branch mm</t>
        </is>
      </c>
      <c r="G13" s="191" t="n"/>
      <c r="H13" s="191" t="n"/>
      <c r="I13" s="191" t="n"/>
      <c r="J13" s="218">
        <f>(E5-2*((1-E16/100)*E6) +2*E7)/SIN(PI()*E21/180)</f>
        <v/>
      </c>
      <c r="K13" s="192" t="n"/>
      <c r="L13" s="192" t="n"/>
      <c r="M13" s="193" t="n"/>
    </row>
    <row r="14" ht="15" customHeight="1" s="510">
      <c r="A14" s="198" t="n">
        <v>8</v>
      </c>
      <c r="B14" s="203" t="inlineStr">
        <is>
          <t>Quality factor from (Table A-1B),for branch pipe.Ejb</t>
        </is>
      </c>
      <c r="C14" s="229" t="n"/>
      <c r="D14" s="201" t="n"/>
      <c r="E14" s="202" t="n">
        <v>1</v>
      </c>
      <c r="F14" s="191" t="inlineStr">
        <is>
          <t>th pressure design thickness for the run pipe mm</t>
        </is>
      </c>
      <c r="G14" s="191" t="n"/>
      <c r="H14" s="191" t="n"/>
      <c r="I14" s="191" t="n"/>
      <c r="J14" s="218">
        <f>(E10*E4)/(2*(E11*E13+0.4*E10))</f>
        <v/>
      </c>
      <c r="L14" s="191" t="n"/>
      <c r="M14" s="193" t="n"/>
    </row>
    <row r="15" ht="15" customHeight="1" s="510">
      <c r="A15" s="198" t="n">
        <v>9</v>
      </c>
      <c r="B15" s="199" t="inlineStr">
        <is>
          <t>Negative mill tolerance for run pipe in  % . Nh</t>
        </is>
      </c>
      <c r="C15" s="229" t="n"/>
      <c r="D15" s="201" t="n"/>
      <c r="E15" s="202" t="n">
        <v>12.5</v>
      </c>
      <c r="F15" s="219" t="inlineStr">
        <is>
          <t>tb pressure design thickness for the branch pipe mm</t>
        </is>
      </c>
      <c r="G15" s="191" t="n"/>
      <c r="H15" s="191" t="n"/>
      <c r="I15" s="191" t="n"/>
      <c r="J15" s="218">
        <f>(E10*E5)/(2*(E12*E14+0.4*E10))</f>
        <v/>
      </c>
      <c r="K15" s="191" t="n"/>
      <c r="L15" s="191" t="n"/>
      <c r="M15" s="220" t="n"/>
      <c r="S15" s="119" t="n">
        <v>0.5</v>
      </c>
    </row>
    <row r="16" ht="15" customHeight="1" s="510">
      <c r="A16" s="198" t="n">
        <v>10</v>
      </c>
      <c r="B16" s="210" t="inlineStr">
        <is>
          <t>Negative mill tolerance for branch pipe in  % . Nb</t>
        </is>
      </c>
      <c r="C16" s="229" t="n"/>
      <c r="D16" s="201" t="n"/>
      <c r="E16" s="202" t="n">
        <v>12.5</v>
      </c>
      <c r="F16" s="217" t="inlineStr">
        <is>
          <t>(Tb-Cb)+(Th-Ch)+d1/2 mm</t>
        </is>
      </c>
      <c r="G16" s="191" t="n"/>
      <c r="H16" s="191" t="n"/>
      <c r="I16" s="191" t="n"/>
      <c r="J16" s="218">
        <f>(E6*(1-E16/100)-E7)+(E8*(1-E15/100)-E9)+J13/2</f>
        <v/>
      </c>
      <c r="K16" s="191" t="n"/>
      <c r="L16" s="191" t="n"/>
      <c r="M16" s="220" t="n"/>
      <c r="S16" s="119" t="n">
        <v>0.6</v>
      </c>
    </row>
    <row r="17" ht="15" customHeight="1" s="510">
      <c r="A17" s="221" t="inlineStr">
        <is>
          <t>*</t>
        </is>
      </c>
      <c r="B17" s="222" t="inlineStr">
        <is>
          <t>Do you want to check the connection</t>
        </is>
      </c>
      <c r="C17" s="191" t="n"/>
      <c r="D17" s="223" t="n"/>
      <c r="E17" s="224" t="inlineStr">
        <is>
          <t>YES</t>
        </is>
      </c>
      <c r="F17" s="217" t="inlineStr">
        <is>
          <t>Greater of d1 and (Tb-Cb)+(Th-Ch)+d1/2</t>
        </is>
      </c>
      <c r="G17" s="191" t="n"/>
      <c r="H17" s="191" t="n"/>
      <c r="I17" s="191" t="n"/>
      <c r="J17" s="218">
        <f>IF(J13&gt;=J16,J13,J16)</f>
        <v/>
      </c>
      <c r="K17" s="191" t="n"/>
      <c r="L17" s="191" t="n"/>
      <c r="M17" s="220" t="n"/>
      <c r="S17" s="119" t="n">
        <v>0.72</v>
      </c>
    </row>
    <row r="18" ht="15" customHeight="1" s="510">
      <c r="A18" s="198" t="n"/>
      <c r="B18" s="222" t="inlineStr">
        <is>
          <t>with reinforcing ring.specify YES / NO</t>
        </is>
      </c>
      <c r="C18" s="238" t="n"/>
      <c r="D18" s="238" t="n"/>
      <c r="E18" s="238" t="n"/>
      <c r="F18" s="219" t="inlineStr">
        <is>
          <t>d2 half width of reinforcement zone mm</t>
        </is>
      </c>
      <c r="G18" s="191" t="n"/>
      <c r="H18" s="191" t="n"/>
      <c r="I18" s="191" t="n"/>
      <c r="J18" s="218">
        <f>IF(J17&lt;=E4,J17,E4)</f>
        <v/>
      </c>
      <c r="K18" s="191" t="n"/>
      <c r="L18" s="191" t="n"/>
      <c r="M18" s="220" t="n"/>
      <c r="S18" s="119" t="n">
        <v>0.8</v>
      </c>
    </row>
    <row r="19" ht="15" customHeight="1" s="510">
      <c r="A19" s="225" t="inlineStr">
        <is>
          <t>PLEASE NOTE SET Tr = 0 FOR CHECKING IF REINFORCEMENT PAD IS REQUIRED</t>
        </is>
      </c>
      <c r="B19" s="191" t="n"/>
      <c r="C19" s="226" t="n"/>
      <c r="D19" s="226" t="n"/>
      <c r="E19" s="226" t="n"/>
      <c r="F19" s="219" t="inlineStr">
        <is>
          <t xml:space="preserve"> A2 area from excess thickness in the run pipe mm2</t>
        </is>
      </c>
      <c r="G19" s="191" t="n"/>
      <c r="H19" s="191" t="n"/>
      <c r="I19" s="191" t="n"/>
      <c r="J19" s="218">
        <f>(2*J18-J13)*(E8*(1-E15/100)-J14-E9)</f>
        <v/>
      </c>
      <c r="K19" s="191" t="n"/>
      <c r="L19" s="191" t="n"/>
      <c r="M19" s="220" t="n"/>
    </row>
    <row r="20" ht="15" customHeight="1" s="510">
      <c r="A20" s="198" t="n">
        <v>11</v>
      </c>
      <c r="B20" s="199" t="inlineStr">
        <is>
          <t>Tr minimum thickness of reinforcing ring or saddle mm</t>
        </is>
      </c>
      <c r="C20" s="229" t="n"/>
      <c r="D20" s="227" t="n"/>
      <c r="E20" s="228" t="n">
        <v>0</v>
      </c>
      <c r="F20" s="219" t="n"/>
      <c r="G20" s="191" t="n"/>
      <c r="H20" s="191" t="n"/>
      <c r="I20" s="191" t="n"/>
      <c r="J20" s="229" t="n"/>
      <c r="K20" s="191" t="n"/>
      <c r="L20" s="191" t="n"/>
      <c r="M20" s="220" t="n"/>
    </row>
    <row r="21" ht="15" customHeight="1" s="510">
      <c r="A21" s="198" t="n">
        <v>12</v>
      </c>
      <c r="B21" s="230" t="inlineStr">
        <is>
          <t>b smaller angle between axes of branch and run in degree</t>
        </is>
      </c>
      <c r="C21" s="229" t="n"/>
      <c r="D21" s="201" t="n"/>
      <c r="E21" s="202" t="n">
        <v>90</v>
      </c>
      <c r="F21" s="217" t="inlineStr">
        <is>
          <t>2.5(Th-Ch) mm</t>
        </is>
      </c>
      <c r="G21" s="191" t="n"/>
      <c r="H21" s="191" t="n"/>
      <c r="I21" s="191" t="n"/>
      <c r="J21" s="218">
        <f>2.5*(E8*(1-E15/100)-E9)</f>
        <v/>
      </c>
      <c r="K21" s="191" t="n"/>
      <c r="L21" s="191" t="n"/>
      <c r="M21" s="220" t="n"/>
    </row>
    <row r="22" ht="15" customHeight="1" s="510">
      <c r="A22" s="198" t="n"/>
      <c r="B22" s="191" t="n"/>
      <c r="C22" s="238" t="n"/>
      <c r="D22" s="238" t="n"/>
      <c r="E22" s="238" t="n"/>
      <c r="F22" s="217" t="inlineStr">
        <is>
          <t>2.5(Tb-Cb)+Tr mm</t>
        </is>
      </c>
      <c r="G22" s="191" t="n"/>
      <c r="H22" s="191" t="n"/>
      <c r="I22" s="191" t="n"/>
      <c r="J22" s="218">
        <f>2.5*(E6*(1-E16/100)-E7) +E20</f>
        <v/>
      </c>
      <c r="K22" s="191" t="n"/>
      <c r="L22" s="191" t="n"/>
      <c r="M22" s="220" t="n"/>
    </row>
    <row r="23" ht="15" customHeight="1" s="510">
      <c r="A23" s="231" t="n"/>
      <c r="B23" s="191" t="n"/>
      <c r="C23" s="232" t="n"/>
      <c r="D23" s="232" t="n"/>
      <c r="E23" s="232" t="n"/>
      <c r="F23" s="217" t="inlineStr">
        <is>
          <t>L4, Lesser of 2.5(Th-Ch)and 2.5(Tb-Cb)+Tr mm</t>
        </is>
      </c>
      <c r="G23" s="191" t="n"/>
      <c r="H23" s="191" t="n"/>
      <c r="I23" s="191" t="n"/>
      <c r="J23" s="218">
        <f>IF(J21&lt;=J22,J21,J22)</f>
        <v/>
      </c>
      <c r="K23" s="219" t="inlineStr">
        <is>
          <t xml:space="preserve">Height of reinforcement zone outside of run pipe </t>
        </is>
      </c>
      <c r="L23" s="219" t="n"/>
      <c r="M23" s="220" t="n"/>
      <c r="O23" s="756" t="inlineStr">
        <is>
          <t>Sütun1</t>
        </is>
      </c>
      <c r="P23" s="290" t="inlineStr">
        <is>
          <t>D (Inch)</t>
        </is>
      </c>
      <c r="Q23" s="290" t="inlineStr">
        <is>
          <t>D (mm)</t>
        </is>
      </c>
      <c r="R23" s="290" t="inlineStr">
        <is>
          <t>S (Mpa)</t>
        </is>
      </c>
      <c r="S23" s="290" t="inlineStr">
        <is>
          <t>P (Bar)</t>
        </is>
      </c>
      <c r="T23" s="756" t="n"/>
      <c r="U23" s="756" t="n"/>
    </row>
    <row r="24" ht="15" customHeight="1" s="510">
      <c r="A24" s="198" t="n">
        <v>13</v>
      </c>
      <c r="B24" s="233" t="inlineStr">
        <is>
          <t>Length of reinforcing pad measured along the run mm . Lr</t>
        </is>
      </c>
      <c r="C24" s="191" t="n"/>
      <c r="D24" s="191" t="n"/>
      <c r="E24" s="234">
        <f>IF(E17="YES",(2*J18-1),0)</f>
        <v/>
      </c>
      <c r="F24" s="219" t="n"/>
      <c r="G24" s="191" t="n"/>
      <c r="H24" s="191" t="n"/>
      <c r="I24" s="191" t="n"/>
      <c r="J24" s="235" t="n"/>
      <c r="K24" s="191" t="n"/>
      <c r="L24" s="191" t="n"/>
      <c r="M24" s="220" t="n"/>
      <c r="O24" s="756" t="inlineStr">
        <is>
          <t xml:space="preserve">Nom. run size   </t>
        </is>
      </c>
      <c r="P24" s="291" t="inlineStr">
        <is>
          <t>18"</t>
        </is>
      </c>
      <c r="Q24" s="291">
        <f>VLOOKUP(P24,Tablo2[[ÇAP inch]:[ÇAP mm]],2,0)</f>
        <v/>
      </c>
      <c r="R24" s="291">
        <f>ROUND(VLOOKUP(P24,Tablo2[[ÇAP inch]:[Tensile Mpa]],4,0)/145.0377,0)</f>
        <v/>
      </c>
      <c r="S24" s="291" t="n">
        <v>75</v>
      </c>
      <c r="T24" s="756" t="n"/>
      <c r="U24" s="756" t="n"/>
    </row>
    <row r="25" ht="15" customHeight="1" s="510">
      <c r="A25" s="198" t="n"/>
      <c r="B25" s="236">
        <f>IF(E24=2*J18-1," MAXIMUM LENGTH OF SADDLE IN COMPLAINCE WITH CODE","     ")</f>
        <v/>
      </c>
      <c r="C25" s="232" t="n"/>
      <c r="D25" s="232" t="n"/>
      <c r="E25" s="232" t="n"/>
      <c r="F25" s="219" t="inlineStr">
        <is>
          <t>A3 area from excess thickness in branch pipe mm2</t>
        </is>
      </c>
      <c r="G25" s="191" t="n"/>
      <c r="H25" s="191" t="n"/>
      <c r="I25" s="191" t="n"/>
      <c r="J25" s="218">
        <f>2*J23*((E6*(1-E16/100)-E7-J15)/(SIN(PI()*E21/180)))</f>
        <v/>
      </c>
      <c r="K25" s="191" t="n"/>
      <c r="L25" s="191" t="n"/>
      <c r="M25" s="220" t="n"/>
      <c r="O25" s="756" t="inlineStr">
        <is>
          <t xml:space="preserve">Nom. branch size   </t>
        </is>
      </c>
      <c r="P25" s="291" t="inlineStr">
        <is>
          <t>4"</t>
        </is>
      </c>
      <c r="Q25" s="291">
        <f>VLOOKUP(P25,Tablo2[[ÇAP inch]:[ÇAP mm]],2,0)</f>
        <v/>
      </c>
      <c r="R25" s="291">
        <f>ROUND(VLOOKUP(P25,Tablo2[[ÇAP inch]:[Tensile Mpa]],4,0)/145.0377,0)</f>
        <v/>
      </c>
      <c r="S25" s="291" t="n">
        <v>75</v>
      </c>
      <c r="T25" s="756" t="n"/>
      <c r="U25" s="756" t="n"/>
    </row>
    <row r="26" ht="27.75" customHeight="1" s="510">
      <c r="A26" s="198" t="n"/>
      <c r="B26" s="237" t="n"/>
      <c r="C26" s="232" t="n"/>
      <c r="D26" s="232" t="n"/>
      <c r="E26" s="232" t="n"/>
      <c r="F26" s="219" t="inlineStr">
        <is>
          <t>Less of L4 &amp;Tr forcalculating reinforcement area in ring</t>
        </is>
      </c>
      <c r="G26" s="238" t="n"/>
      <c r="H26" s="238" t="n"/>
      <c r="I26" s="238" t="n"/>
      <c r="J26" s="1201">
        <f>IF(E20&lt;=J23,E20,J23)</f>
        <v/>
      </c>
      <c r="K26" s="191" t="n"/>
      <c r="L26" s="191" t="n"/>
      <c r="M26" s="220" t="n"/>
      <c r="O26" s="804" t="inlineStr">
        <is>
          <t>Selected Reinforcing  Material</t>
        </is>
      </c>
      <c r="P26" s="291" t="n"/>
      <c r="Q26" s="291" t="n"/>
      <c r="R26" s="291" t="n">
        <v>355</v>
      </c>
      <c r="S26" s="291" t="n"/>
    </row>
    <row r="27" ht="15" customHeight="1" s="510">
      <c r="A27" s="198" t="n"/>
      <c r="B27" s="191" t="n"/>
      <c r="C27" s="238" t="n"/>
      <c r="D27" s="238" t="n"/>
      <c r="E27" s="238" t="n"/>
      <c r="F27" s="191" t="n"/>
      <c r="G27" s="191" t="n"/>
      <c r="H27" s="240" t="inlineStr">
        <is>
          <t>PLEASE  NOTE  THIS SHOULD NOT BE LESS THAN Db</t>
        </is>
      </c>
      <c r="I27" s="191" t="n"/>
      <c r="J27" s="191" t="n"/>
      <c r="K27" s="191" t="n"/>
      <c r="L27" s="191" t="n"/>
      <c r="M27" s="220" t="n"/>
      <c r="O27" s="1047" t="inlineStr">
        <is>
          <t>Run Pipe Design Factor</t>
        </is>
      </c>
      <c r="Q27" s="756" t="n">
        <v>0.5</v>
      </c>
      <c r="R27" s="756" t="n"/>
      <c r="S27" s="756" t="n"/>
    </row>
    <row r="28" ht="15" customHeight="1" s="510">
      <c r="A28" s="231" t="inlineStr">
        <is>
          <t>PLEASE NOTE SET Ta = 0 FOR CHECKING IF REINFORCEMENT PAD IS REQUIRED</t>
        </is>
      </c>
      <c r="B28" s="191" t="n"/>
      <c r="C28" s="238" t="n"/>
      <c r="D28" s="238" t="n"/>
      <c r="E28" s="238" t="n"/>
      <c r="F28" s="219" t="inlineStr">
        <is>
          <t>Thickness used in ring area calculation</t>
        </is>
      </c>
      <c r="G28" s="191" t="n"/>
      <c r="H28" s="191" t="n"/>
      <c r="I28" s="191" t="n"/>
      <c r="J28" s="1201">
        <f>IF(E20=0,0,J26)</f>
        <v/>
      </c>
      <c r="K28" s="191" t="n"/>
      <c r="L28" s="191" t="n"/>
      <c r="M28" s="220" t="n"/>
      <c r="O28" s="1046" t="inlineStr">
        <is>
          <t>İstasyon İçi Borulama</t>
        </is>
      </c>
    </row>
    <row r="29" ht="15" customHeight="1" s="510">
      <c r="A29" s="198" t="n">
        <v>14</v>
      </c>
      <c r="B29" s="233" t="inlineStr">
        <is>
          <t>Enter next higher,available thk ta of reinforcing ring in mm.</t>
        </is>
      </c>
      <c r="C29" s="191" t="n"/>
      <c r="D29" s="241" t="n"/>
      <c r="E29" s="242" t="n">
        <v>0</v>
      </c>
      <c r="F29" s="219" t="inlineStr">
        <is>
          <t>Reinforcement area in reinforcing ring mm2</t>
        </is>
      </c>
      <c r="G29" s="191" t="n"/>
      <c r="H29" s="191" t="n"/>
      <c r="I29" s="191" t="n"/>
      <c r="J29" s="244">
        <f>J28*(E24-E5/SIN(E21*(PI()/180)))</f>
        <v/>
      </c>
      <c r="K29" s="191" t="n"/>
      <c r="L29" s="191" t="n"/>
      <c r="M29" s="220" t="n"/>
      <c r="O29" s="290" t="inlineStr">
        <is>
          <t>B</t>
        </is>
      </c>
      <c r="P29" s="290">
        <f>IF(S25&lt;82.5, VLOOKUP(P25,Tablo244[[ÇAP inch]:[Et Kalınlığı 5]],12,0),VLOOKUP(P25,Tablo244[[ÇAP inch]:[Et Kalınlığı 5]],14,0))</f>
        <v/>
      </c>
      <c r="Q29" s="290" t="inlineStr">
        <is>
          <t>mm</t>
        </is>
      </c>
      <c r="R29" s="290" t="n"/>
      <c r="S29" s="290">
        <f>IF(P29&gt;2*P11,"Değer 2*d den büyük!","Değer uygun")</f>
        <v/>
      </c>
    </row>
    <row r="30" ht="15" customHeight="1" s="510">
      <c r="A30" s="198" t="n">
        <v>15</v>
      </c>
      <c r="B30" s="233" t="inlineStr">
        <is>
          <t>Length of reinforcement pad for  ta in mm.</t>
        </is>
      </c>
      <c r="C30" s="244" t="n"/>
      <c r="D30" s="245">
        <f>IF( J29=0,"NOT  APPLICABLE",ROUND(((J29/E29)+(E5/SIN(E21*(PI()/180)))), 0))</f>
        <v/>
      </c>
      <c r="E30" s="244" t="n"/>
      <c r="F30" s="219" t="inlineStr">
        <is>
          <t>Throat dimension of fillet weld mm tc</t>
        </is>
      </c>
      <c r="G30" s="191" t="n"/>
      <c r="H30" s="191" t="n"/>
      <c r="I30" s="191" t="n"/>
      <c r="J30" s="244">
        <f>IF(0.7*E6&lt;=6,0.7*E6,6)</f>
        <v/>
      </c>
      <c r="K30" s="191" t="n"/>
      <c r="L30" s="191" t="n"/>
      <c r="M30" s="220" t="n"/>
      <c r="O30" t="inlineStr">
        <is>
          <t>Cb</t>
        </is>
      </c>
      <c r="P30" s="734" t="n">
        <v>0</v>
      </c>
      <c r="Q30" s="290" t="inlineStr">
        <is>
          <t>mm</t>
        </is>
      </c>
      <c r="R30" s="290" t="inlineStr">
        <is>
          <t xml:space="preserve">Corrosion allowance for branch pipe in mm. </t>
        </is>
      </c>
      <c r="S30" s="290">
        <f>IF(P30&gt;2*P12,"Değer 2*d den büyük!","Değer uygun")</f>
        <v/>
      </c>
    </row>
    <row r="31" ht="15" customHeight="1" s="510">
      <c r="A31" s="198" t="n"/>
      <c r="B31" s="246">
        <f>IF(D30="NOT  APPLICABLE","        ",(IF(D30&gt;2*J18,"TRY WITH NEXT HIGHER THK REINFORCING RING ( Please note,this length shall be less than twice half width of reinforcement zone )  ",IF(D30&lt;=E5+100,"TRY WITH NEXT LOWER THK REINFORCING RING                       ( Please note,this length shall be greater than (O.D of branch pipe + 100 )mm;also refer RESULT 3 , a possible solution with available thickness )","LENGTH OF SADDLE IS IN COMPLAINCE WITH CODE"))))</f>
        <v/>
      </c>
      <c r="C31" s="191" t="n"/>
      <c r="D31" s="247" t="n"/>
      <c r="E31" s="247" t="n"/>
      <c r="F31" s="219" t="inlineStr">
        <is>
          <t>Weld reinforcement area without ring mm2</t>
        </is>
      </c>
      <c r="G31" s="191" t="n"/>
      <c r="H31" s="191" t="n"/>
      <c r="I31" s="191" t="n"/>
      <c r="J31" s="218">
        <f>(J30/0.707)^2</f>
        <v/>
      </c>
      <c r="K31" s="191" t="n"/>
      <c r="L31" s="191" t="n"/>
      <c r="M31" s="220" t="n"/>
      <c r="O31" s="290" t="inlineStr">
        <is>
          <t>d</t>
        </is>
      </c>
      <c r="P31" s="290">
        <f>Q25-2*P29</f>
        <v/>
      </c>
      <c r="Q31" s="290" t="inlineStr">
        <is>
          <t>mm</t>
        </is>
      </c>
      <c r="R31" s="290" t="n"/>
      <c r="S31" s="290">
        <f>IF(P31&gt;2*P13,"Değer 2*d den büyük!","Değer uygun")</f>
        <v/>
      </c>
    </row>
    <row r="32" ht="15" customHeight="1" s="510">
      <c r="A32" s="198" t="n"/>
      <c r="B32" s="233" t="n"/>
      <c r="C32" s="248" t="n"/>
      <c r="D32" s="249" t="n"/>
      <c r="E32" s="248" t="n"/>
      <c r="F32" s="219" t="inlineStr">
        <is>
          <t>Leg dimension of weld at reinforcement ring mm</t>
        </is>
      </c>
      <c r="G32" s="191" t="n"/>
      <c r="H32" s="191" t="n"/>
      <c r="I32" s="191" t="n"/>
      <c r="J32" s="218">
        <f>0.5*E20/0.707</f>
        <v/>
      </c>
      <c r="K32" s="191" t="n"/>
      <c r="L32" s="191" t="n"/>
      <c r="M32" s="220" t="n"/>
      <c r="O32" s="290" t="inlineStr">
        <is>
          <t>H</t>
        </is>
      </c>
      <c r="P32" s="290">
        <f>IF(S24&lt;82.5,IF(Q27=0.5,VLOOKUP(P24,Tablo244[],10,0),IF(Q27=0.6,VLOOKUP(P24,'Boru Kontrol Tablosu BOTAŞ'!B21:R53,8,0),IF(Q27=0.72,VLOOKUP(P24,Tablo244[],6,0),"Uygun Dizayn Değeri Seçin"))),"İstasyon Borusu mu")</f>
        <v/>
      </c>
      <c r="Q32" s="290" t="inlineStr">
        <is>
          <t>mm</t>
        </is>
      </c>
      <c r="R32" s="290" t="n"/>
      <c r="S32" s="290">
        <f>IF(P32&gt;2*P14,"Değer 2*d den büyük!","Değer uygun")</f>
        <v/>
      </c>
    </row>
    <row r="33" ht="15" customHeight="1" s="510">
      <c r="A33" s="198" t="n"/>
      <c r="B33" s="233" t="n"/>
      <c r="C33" s="247" t="n"/>
      <c r="D33" s="250" t="n"/>
      <c r="E33" s="247" t="n"/>
      <c r="F33" s="219" t="inlineStr">
        <is>
          <t>Weld dim. at ring used in calculation mm</t>
        </is>
      </c>
      <c r="G33" s="191" t="n"/>
      <c r="H33" s="191" t="n"/>
      <c r="I33" s="191" t="n"/>
      <c r="J33" s="218">
        <f>IF(J32&lt;=J23,J32,J23)</f>
        <v/>
      </c>
      <c r="K33" s="191" t="n"/>
      <c r="L33" s="191" t="n"/>
      <c r="M33" s="220" t="n"/>
      <c r="O33" s="290" t="inlineStr">
        <is>
          <t>M</t>
        </is>
      </c>
      <c r="P33" s="290" t="n">
        <v>11</v>
      </c>
      <c r="Q33" s="290" t="inlineStr">
        <is>
          <t>mm</t>
        </is>
      </c>
      <c r="R33" s="290" t="inlineStr">
        <is>
          <t>(Selected Wall Thick.)</t>
        </is>
      </c>
      <c r="S33" s="290">
        <f>IF(P33&gt;2*P15,"Değer 2*d den büyük!","Değer uygun")</f>
        <v/>
      </c>
    </row>
    <row r="34" ht="15" customHeight="1" s="510">
      <c r="A34" s="198" t="n"/>
      <c r="B34" s="251" t="n"/>
      <c r="C34" s="248" t="n"/>
      <c r="D34" s="248" t="n"/>
      <c r="E34" s="248" t="n"/>
      <c r="F34" s="219" t="inlineStr">
        <is>
          <t>Weld reinforcement area at ring mm2</t>
        </is>
      </c>
      <c r="G34" s="191" t="n"/>
      <c r="H34" s="191" t="n"/>
      <c r="I34" s="191" t="n"/>
      <c r="J34" s="218">
        <f>J33*J32</f>
        <v/>
      </c>
      <c r="K34" s="191" t="n"/>
      <c r="L34" s="191" t="n"/>
      <c r="M34" s="220" t="n"/>
      <c r="O34" s="290" t="inlineStr">
        <is>
          <t>t</t>
        </is>
      </c>
      <c r="P34" s="734">
        <f>S24/10*Q24/2/R24/0.5</f>
        <v/>
      </c>
      <c r="Q34" s="290" t="inlineStr">
        <is>
          <t>mm</t>
        </is>
      </c>
      <c r="R34" s="290" t="n"/>
      <c r="S34" s="290">
        <f>IF(P34&gt;2*P16,"Değer 2*d den büyük!","Değer uygun")</f>
        <v/>
      </c>
    </row>
    <row r="35" ht="15" customHeight="1" s="510">
      <c r="A35" s="252" t="inlineStr">
        <is>
          <t>Result</t>
        </is>
      </c>
      <c r="B35" s="253">
        <f>IF((INT(J36)-INT(J37))&gt;=0,"1. Branch connection is OK","1. Area available not sufficient pl try with reinforcement , increase saddle  thk and/or saddle length.")</f>
        <v/>
      </c>
      <c r="C35" s="248" t="n"/>
      <c r="D35" s="248" t="n"/>
      <c r="E35" s="248" t="n"/>
      <c r="F35" s="219" t="n"/>
      <c r="G35" s="191" t="n"/>
      <c r="H35" s="191" t="n"/>
      <c r="I35" s="191" t="n"/>
      <c r="J35" s="235" t="n"/>
      <c r="K35" s="191" t="n"/>
      <c r="L35" s="191" t="n"/>
      <c r="M35" s="220" t="n"/>
      <c r="O35" s="290" t="inlineStr">
        <is>
          <t>Ch</t>
        </is>
      </c>
      <c r="P35" s="734" t="n">
        <v>0</v>
      </c>
      <c r="Q35" s="290" t="inlineStr">
        <is>
          <t>mm</t>
        </is>
      </c>
      <c r="R35" s="290" t="inlineStr">
        <is>
          <t xml:space="preserve">Corrosion allowance for run pipe in mm. </t>
        </is>
      </c>
      <c r="S35" s="290">
        <f>IF(P35&gt;2*P17,"Değer 2*d den büyük!","Değer uygun")</f>
        <v/>
      </c>
    </row>
    <row r="36" ht="15" customHeight="1" s="510">
      <c r="A36" s="186" t="n"/>
      <c r="B36" s="254">
        <f>IF(AND(J36&gt;J37,E20=0),"2. Reinforcement not required","2. Reinforcement is required " )</f>
        <v/>
      </c>
      <c r="C36" s="248" t="n"/>
      <c r="D36" s="248" t="n"/>
      <c r="E36" s="248" t="n"/>
      <c r="F36" s="255" t="inlineStr">
        <is>
          <t xml:space="preserve">Total area available for reinforcement mm2 </t>
        </is>
      </c>
      <c r="G36" s="256" t="n"/>
      <c r="H36" s="256" t="n"/>
      <c r="I36" s="256" t="n"/>
      <c r="J36" s="257">
        <f>IF(J23&gt;=E20,J34+J31+J29+J25+J19,J19+J25+J29+J34)</f>
        <v/>
      </c>
      <c r="K36" s="235" t="n"/>
      <c r="L36" s="191" t="n"/>
      <c r="M36" s="220" t="n"/>
      <c r="O36" s="290" t="inlineStr">
        <is>
          <t>tb</t>
        </is>
      </c>
      <c r="P36" s="734">
        <f>S25*Q25/2/R25/0.5/10</f>
        <v/>
      </c>
      <c r="Q36" s="290" t="inlineStr">
        <is>
          <t>mm</t>
        </is>
      </c>
      <c r="R36" s="290" t="n"/>
      <c r="S36" s="290">
        <f>IF(P36&gt;2*P18,"Değer 2*d den büyük!","Değer uygun")</f>
        <v/>
      </c>
    </row>
    <row r="37" ht="15" customHeight="1" s="510">
      <c r="A37" s="198" t="n"/>
      <c r="B37" s="258">
        <f>IF(E29=0," ",IF(AND(J36&gt;J37,E20=0),"  ", "3. Size of reinforcing ring, width(mm)  x  thk(mm)"))</f>
        <v/>
      </c>
      <c r="C37" s="259">
        <f>IF(E29=0," ",IF(AND(J36&gt;J37,E20=0),"  ",ROUND(((IF(D30&lt;=E5+100,ROUND((E5+100),0),ROUND(D30,0)))-E5)/2,0)))</f>
        <v/>
      </c>
      <c r="D37" s="260">
        <f>IF(E29=0," ",IF(AND(J36&gt;J37,E20=0)," ", " X "))</f>
        <v/>
      </c>
      <c r="E37" s="261">
        <f>IF(E29=0," ",IF(AND(J36&gt;J37,E20=0)," ",E29))</f>
        <v/>
      </c>
      <c r="F37" s="255" t="inlineStr">
        <is>
          <t>Area required mm2</t>
        </is>
      </c>
      <c r="G37" s="256" t="n"/>
      <c r="H37" s="256" t="n"/>
      <c r="I37" s="256" t="n"/>
      <c r="J37" s="257">
        <f>J14*J13*(2-SIN(E21*PI()/180))</f>
        <v/>
      </c>
      <c r="K37" s="235" t="n"/>
      <c r="L37" s="191" t="n"/>
      <c r="M37" s="220" t="n"/>
      <c r="O37" s="290" t="inlineStr">
        <is>
          <t>L1</t>
        </is>
      </c>
      <c r="P37" s="734">
        <f>2.5*P32</f>
        <v/>
      </c>
      <c r="Q37" s="290" t="inlineStr">
        <is>
          <t>mm</t>
        </is>
      </c>
      <c r="R37" s="290" t="n"/>
      <c r="S37" s="290">
        <f>IF(P37&gt;2*P19,"Değer 2*d den büyük!","Değer uygun")</f>
        <v/>
      </c>
      <c r="AA37">
        <f>914.1-882.1</f>
        <v/>
      </c>
    </row>
    <row r="38" ht="21" customHeight="1" s="510" thickBot="1">
      <c r="A38" s="252" t="n"/>
      <c r="B38" s="191" t="n"/>
      <c r="C38" s="191" t="n"/>
      <c r="D38" s="191" t="n"/>
      <c r="E38" s="191" t="n"/>
      <c r="F38" s="262" t="n"/>
      <c r="G38" s="229" t="n"/>
      <c r="H38" s="229" t="n"/>
      <c r="I38" s="229" t="n"/>
      <c r="J38" s="229" t="n"/>
      <c r="K38" s="191" t="n"/>
      <c r="L38" s="191" t="n"/>
      <c r="M38" s="220" t="n"/>
      <c r="O38" s="290" t="inlineStr">
        <is>
          <t>L2</t>
        </is>
      </c>
      <c r="P38" s="734">
        <f>2.5*P29+P33</f>
        <v/>
      </c>
      <c r="Q38" s="290" t="inlineStr">
        <is>
          <t>mm</t>
        </is>
      </c>
      <c r="R38" s="290" t="n"/>
      <c r="S38" s="290">
        <f>IF(P38&gt;2*P20,"Değer 2*d den büyük!","Değer uygun")</f>
        <v/>
      </c>
      <c r="AA38">
        <f>13428.5/882.1</f>
        <v/>
      </c>
    </row>
    <row r="39" ht="15.75" customHeight="1" s="510" thickBot="1">
      <c r="A39" s="263" t="n"/>
      <c r="B39" s="180" t="n"/>
      <c r="C39" s="264" t="inlineStr">
        <is>
          <t>PPD. BY :</t>
        </is>
      </c>
      <c r="D39" s="265" t="n"/>
      <c r="E39" s="266" t="n"/>
      <c r="F39" s="267" t="inlineStr">
        <is>
          <t>JOB NO.</t>
        </is>
      </c>
      <c r="G39" s="268" t="n"/>
      <c r="H39" s="180" t="n"/>
      <c r="I39" s="180" t="n"/>
      <c r="J39" s="269" t="n"/>
      <c r="K39" s="270" t="inlineStr">
        <is>
          <t>DWG.NO.</t>
        </is>
      </c>
      <c r="L39" s="180" t="n"/>
      <c r="M39" s="271" t="inlineStr">
        <is>
          <t>ISSUE</t>
        </is>
      </c>
      <c r="O39" s="290" t="inlineStr">
        <is>
          <t>L</t>
        </is>
      </c>
      <c r="P39" s="734">
        <f>IF(P37&lt;P38,P37,P38)</f>
        <v/>
      </c>
      <c r="Q39" s="290" t="inlineStr">
        <is>
          <t>mm</t>
        </is>
      </c>
      <c r="R39" s="290" t="n"/>
      <c r="S39" s="290">
        <f>IF(P39&gt;2*P21,"Değer 2*d den büyük!","Değer uygun")</f>
        <v/>
      </c>
    </row>
    <row r="40" ht="16.5" customHeight="1" s="510" thickBot="1">
      <c r="A40" s="186" t="n"/>
      <c r="B40" s="191" t="n"/>
      <c r="C40" s="272" t="inlineStr">
        <is>
          <t>CKD. BY  :</t>
        </is>
      </c>
      <c r="D40" s="273" t="n"/>
      <c r="E40" s="273" t="n"/>
      <c r="F40" s="274" t="n"/>
      <c r="G40" s="191" t="n"/>
      <c r="H40" s="191" t="n"/>
      <c r="I40" s="191" t="n"/>
      <c r="J40" s="220" t="n"/>
      <c r="K40" s="191" t="n"/>
      <c r="L40" s="191" t="n"/>
      <c r="M40" s="274" t="inlineStr">
        <is>
          <t>R0</t>
        </is>
      </c>
      <c r="O40" s="290" t="inlineStr">
        <is>
          <t>Ar</t>
        </is>
      </c>
      <c r="P40" s="734">
        <f>P31*P34</f>
        <v/>
      </c>
      <c r="Q40" s="290" t="inlineStr">
        <is>
          <t>mm2</t>
        </is>
      </c>
      <c r="R40" s="290" t="n"/>
      <c r="S40" s="290">
        <f>IF(P40&gt;2*P22,"Değer 2*d den büyük!","Değer uygun")</f>
        <v/>
      </c>
    </row>
    <row r="41" ht="16.5" customHeight="1" s="510" thickBot="1">
      <c r="A41" s="275" t="inlineStr">
        <is>
          <t>BRANCH REINFORCEMENT CALCULATIONS</t>
        </is>
      </c>
      <c r="B41" s="276" t="n"/>
      <c r="C41" s="277" t="inlineStr">
        <is>
          <t>DATE  :</t>
        </is>
      </c>
      <c r="D41" s="278" t="n"/>
      <c r="E41" s="278" t="n"/>
      <c r="F41" s="279" t="n"/>
      <c r="G41" s="280" t="inlineStr">
        <is>
          <t xml:space="preserve">PROJECT :  </t>
        </is>
      </c>
      <c r="H41" s="276" t="n"/>
      <c r="I41" s="276" t="n"/>
      <c r="J41" s="281" t="n"/>
      <c r="K41" s="278" t="inlineStr">
        <is>
          <t xml:space="preserve">SHEET               OF      </t>
        </is>
      </c>
      <c r="L41" s="276" t="n"/>
      <c r="M41" s="282" t="n"/>
      <c r="O41" s="290" t="inlineStr">
        <is>
          <t xml:space="preserve">A1 </t>
        </is>
      </c>
      <c r="P41" s="734">
        <f>IF((P32-P34-P35)*P31&gt;0,(P32-P34-P35)*P31,0)</f>
        <v/>
      </c>
      <c r="Q41" s="290" t="inlineStr">
        <is>
          <t>mm2</t>
        </is>
      </c>
      <c r="R41" s="290" t="n"/>
      <c r="S41" s="290">
        <f>IF(P41&gt;2*P23,"Değer 2*d den büyük!","Değer uygun")</f>
        <v/>
      </c>
    </row>
    <row r="42" ht="15" customHeight="1" s="510">
      <c r="A42" s="283" t="n"/>
      <c r="B42" s="191" t="n"/>
      <c r="C42" s="191" t="n"/>
      <c r="D42" s="191" t="n"/>
      <c r="E42" s="191" t="n"/>
      <c r="F42" s="191" t="n"/>
      <c r="G42" s="191" t="n"/>
      <c r="H42" s="191" t="n"/>
      <c r="I42" s="191" t="n"/>
      <c r="J42" s="191" t="n"/>
      <c r="K42" s="191" t="n"/>
      <c r="L42" s="191" t="n"/>
      <c r="M42" s="191" t="n"/>
      <c r="O42" s="290" t="inlineStr">
        <is>
          <t>A2</t>
        </is>
      </c>
      <c r="P42" s="734">
        <f>2*(P29-P36-P30)*P39</f>
        <v/>
      </c>
      <c r="Q42" s="290" t="inlineStr">
        <is>
          <t>mm2</t>
        </is>
      </c>
      <c r="R42" s="290" t="n"/>
      <c r="S42" s="290">
        <f>IF(P42&gt;2*P24,"Değer 2*d den büyük!","Değer uygun")</f>
        <v/>
      </c>
    </row>
    <row r="43" ht="15" customHeight="1" s="510">
      <c r="A43" s="283" t="n"/>
      <c r="B43" s="191" t="n"/>
      <c r="C43" s="191" t="n"/>
      <c r="D43" s="191" t="n"/>
      <c r="E43" s="191" t="n"/>
      <c r="F43" s="191" t="n"/>
      <c r="G43" s="191" t="n"/>
      <c r="H43" s="191" t="n"/>
      <c r="I43" s="191" t="n"/>
      <c r="J43" s="191" t="n"/>
      <c r="K43" s="191" t="n"/>
      <c r="L43" s="191" t="n"/>
      <c r="M43" s="191" t="n"/>
      <c r="O43" s="290" t="inlineStr">
        <is>
          <t>A2*</t>
        </is>
      </c>
      <c r="P43" s="520">
        <f>P42*R25/R24</f>
        <v/>
      </c>
      <c r="Q43" t="inlineStr">
        <is>
          <t>mm2</t>
        </is>
      </c>
      <c r="R43" s="290" t="n"/>
      <c r="S43" s="734">
        <f>IF(P43&gt;2*P25,"Değer 2*d den büyük!","Değer uygun")</f>
        <v/>
      </c>
    </row>
    <row r="44" ht="15" customHeight="1" s="510">
      <c r="A44" s="6" t="n"/>
      <c r="O44" s="290" t="inlineStr">
        <is>
          <t>A3</t>
        </is>
      </c>
      <c r="P44" s="734">
        <f>P40-P41-P43</f>
        <v/>
      </c>
      <c r="Q44" s="290" t="inlineStr">
        <is>
          <t>mm2</t>
        </is>
      </c>
      <c r="R44" s="290" t="n"/>
      <c r="S44" s="290">
        <f>IF(P44&gt;2*P26,"Değer 2*d den büyük!","Değer uygun")</f>
        <v/>
      </c>
    </row>
    <row r="45" ht="15" customHeight="1" s="510">
      <c r="A45" s="6" t="n"/>
      <c r="O45" s="290" t="inlineStr">
        <is>
          <t>d*  =</t>
        </is>
      </c>
      <c r="P45" s="290">
        <f>P44/P33</f>
        <v/>
      </c>
      <c r="Q45" s="290" t="inlineStr">
        <is>
          <t>(d&gt;d* olmalı)</t>
        </is>
      </c>
      <c r="R45" s="290" t="n"/>
      <c r="S45" s="290">
        <f>IF(P45&gt;2*P27,"Değer 2*d den büyük!","Değer uygun")</f>
        <v/>
      </c>
    </row>
    <row r="46" ht="15" customHeight="1" s="510">
      <c r="A46" s="6" t="n"/>
      <c r="O46" s="290" t="inlineStr">
        <is>
          <t>A3 Req. &gt;=</t>
        </is>
      </c>
      <c r="P46" s="290" t="inlineStr">
        <is>
          <t>Ar-A2-A1</t>
        </is>
      </c>
      <c r="Q46" s="734">
        <f>P40-P42-P41</f>
        <v/>
      </c>
      <c r="R46" s="290" t="inlineStr">
        <is>
          <t>mm2</t>
        </is>
      </c>
      <c r="S46" s="290">
        <f>IF(P46&gt;2*P28,"Değer 2*d den büyük!","Değer uygun")</f>
        <v/>
      </c>
    </row>
    <row r="47" ht="15" customHeight="1" s="510">
      <c r="O47" s="290" t="inlineStr">
        <is>
          <t>M Req.&gt;</t>
        </is>
      </c>
      <c r="P47" s="734">
        <f>Q46/(2*P31-Q25)</f>
        <v/>
      </c>
      <c r="Q47" s="290" t="inlineStr">
        <is>
          <t>mm</t>
        </is>
      </c>
      <c r="R47" s="290" t="inlineStr">
        <is>
          <t>(Min. Reinfor. wt)</t>
        </is>
      </c>
      <c r="S47" s="290">
        <f>IF(P47&gt;2*P29,"Değer 2*d den büyük!","Değer uygun")</f>
        <v/>
      </c>
    </row>
    <row r="48" ht="15" customHeight="1" s="510">
      <c r="O48" s="290" t="inlineStr">
        <is>
          <t>A3*&gt;=</t>
        </is>
      </c>
      <c r="P48" s="734">
        <f>Q46*R24/R26</f>
        <v/>
      </c>
      <c r="Q48" s="290" t="n"/>
      <c r="R48" s="734" t="inlineStr">
        <is>
          <t>A3 Req.*Sh/Sr</t>
        </is>
      </c>
      <c r="S48" s="290">
        <f>IF(P48&gt;2*P30,"Değer 2*d den büyük!","Değer uygun")</f>
        <v/>
      </c>
    </row>
    <row r="49" ht="15" customHeight="1" s="510">
      <c r="O49" s="290" t="inlineStr">
        <is>
          <t>Lr</t>
        </is>
      </c>
      <c r="P49" s="734" t="n">
        <v>204.6</v>
      </c>
      <c r="Q49" s="290" t="inlineStr">
        <is>
          <t>mm</t>
        </is>
      </c>
      <c r="R49" s="290" t="inlineStr">
        <is>
          <t>Selected Sleeve Lenght</t>
        </is>
      </c>
      <c r="S49" s="805">
        <f>IF(P49&gt;2*P31,"Değer 2*d den büyük!","Değer uygun")</f>
        <v/>
      </c>
    </row>
    <row r="50" ht="16.5" customHeight="1" s="510">
      <c r="O50" s="290" t="inlineStr">
        <is>
          <t>M*</t>
        </is>
      </c>
      <c r="P50" s="734">
        <f>(P48)/(P49-Q25)</f>
        <v/>
      </c>
      <c r="Q50" s="290" t="inlineStr">
        <is>
          <t>mm</t>
        </is>
      </c>
      <c r="R50" s="290" t="inlineStr">
        <is>
          <t>Min. Sleeve Thickness acc. To Sel. Sleev. Lenght</t>
        </is>
      </c>
      <c r="S50" s="805">
        <f>IF(P50&gt;2*P32,"Değer 2*d den büyük!","Değer uygun")</f>
        <v/>
      </c>
    </row>
    <row r="54" ht="16.5" customHeight="1" s="510">
      <c r="O54" s="1046" t="inlineStr">
        <is>
          <t>Design Hoop Stress</t>
        </is>
      </c>
      <c r="Q54">
        <f>75/10*Q24/P32/2</f>
        <v/>
      </c>
      <c r="R54" t="inlineStr">
        <is>
          <t>Nominal Brunch Dia.</t>
        </is>
      </c>
      <c r="S54">
        <f>Q25</f>
        <v/>
      </c>
    </row>
    <row r="55" ht="16.5" customHeight="1" s="510">
      <c r="O55" s="1046" t="inlineStr">
        <is>
          <t>Yield Strenght in the Header</t>
        </is>
      </c>
      <c r="Q55">
        <f>R24</f>
        <v/>
      </c>
      <c r="R55" t="inlineStr">
        <is>
          <t>Nominal Header Dia.</t>
        </is>
      </c>
      <c r="S55">
        <f>Q24</f>
        <v/>
      </c>
    </row>
    <row r="56" ht="16.5" customHeight="1" s="510">
      <c r="O56" s="1046" t="inlineStr">
        <is>
          <t>Ratio</t>
        </is>
      </c>
      <c r="Q56" s="798">
        <f>Q54/Q55</f>
        <v/>
      </c>
      <c r="S56" s="798">
        <f>S54/S55</f>
        <v/>
      </c>
    </row>
  </sheetData>
  <mergeCells count="5">
    <mergeCell ref="O55:P55"/>
    <mergeCell ref="O54:P54"/>
    <mergeCell ref="O27:P27"/>
    <mergeCell ref="O56:P56"/>
    <mergeCell ref="O28:R28"/>
  </mergeCells>
  <conditionalFormatting sqref="P33">
    <cfRule type="cellIs" priority="4" operator="greaterThan" dxfId="1">
      <formula>$P$47</formula>
    </cfRule>
    <cfRule type="cellIs" priority="3" operator="lessThan" dxfId="5">
      <formula>$P$47</formula>
    </cfRule>
  </conditionalFormatting>
  <conditionalFormatting sqref="P45">
    <cfRule type="cellIs" priority="1" operator="lessThanOrEqual" dxfId="1" stopIfTrue="1">
      <formula>$P$31*2</formula>
    </cfRule>
    <cfRule type="cellIs" priority="5" operator="lessThan" dxfId="1">
      <formula>$P$31-2*$P$29</formula>
    </cfRule>
    <cfRule type="cellIs" priority="6" operator="greaterThan" dxfId="0">
      <formula>$P$31-2*$P$29</formula>
    </cfRule>
    <cfRule type="expression" priority="7" dxfId="1">
      <formula>"(p42&lt;$P$30-2*$P$29)"</formula>
    </cfRule>
  </conditionalFormatting>
  <conditionalFormatting sqref="P49">
    <cfRule type="cellIs" priority="2" operator="greaterThan" dxfId="0" stopIfTrue="1">
      <formula>$P$31*2</formula>
    </cfRule>
  </conditionalFormatting>
  <dataValidations count="1">
    <dataValidation sqref="Q27" showDropDown="0" showInputMessage="1" showErrorMessage="1" allowBlank="1" type="list">
      <formula1>$S$15:$S$18</formula1>
    </dataValidation>
  </dataValidation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published="0">
    <outlinePr summaryBelow="1" summaryRight="1"/>
    <pageSetUpPr/>
  </sheetPr>
  <dimension ref="A2:AS103"/>
  <sheetViews>
    <sheetView view="pageBreakPreview" zoomScale="85" zoomScaleNormal="85" zoomScaleSheetLayoutView="85" workbookViewId="0">
      <selection activeCell="B20" sqref="B20:P53"/>
    </sheetView>
  </sheetViews>
  <sheetFormatPr baseColWidth="8" defaultColWidth="8.875" defaultRowHeight="15"/>
  <cols>
    <col width="8.875" customWidth="1" style="510" min="1" max="1"/>
    <col width="6.859375" customWidth="1" style="510" min="2" max="2"/>
    <col width="7.26171875" customWidth="1" style="510" min="3" max="3"/>
    <col width="8.875" customWidth="1" style="510" min="4" max="4"/>
    <col width="11.43359375" bestFit="1" customWidth="1" style="510" min="5" max="5"/>
    <col width="14.125" bestFit="1" customWidth="1" style="510" min="6" max="6"/>
    <col width="10.89453125" customWidth="1" style="510" min="7" max="7"/>
    <col width="14.66015625" bestFit="1" customWidth="1" style="510" min="8" max="8"/>
    <col width="14.390625" bestFit="1" customWidth="1" style="510" min="9" max="9"/>
    <col width="11.56640625" bestFit="1" customWidth="1" style="510" min="10" max="10"/>
    <col width="14.390625" bestFit="1" customWidth="1" style="510" min="11" max="11"/>
    <col width="11.56640625" bestFit="1" customWidth="1" style="510" min="12" max="12"/>
    <col width="13.98828125" customWidth="1" style="510" min="13" max="13"/>
    <col width="11.56640625" bestFit="1" customWidth="1" style="510" min="14" max="14"/>
    <col width="14.390625" bestFit="1" customWidth="1" style="510" min="15" max="15"/>
    <col width="11.56640625" bestFit="1" customWidth="1" style="510" min="16" max="16"/>
    <col width="12.10546875" customWidth="1" style="510" min="17" max="17"/>
    <col width="11.296875" customWidth="1" style="510" min="18" max="18"/>
    <col width="12.9140625" customWidth="1" style="510" min="19" max="19"/>
    <col width="13.046875" customWidth="1" style="510" min="20" max="20"/>
    <col width="8.875" customWidth="1" style="510" min="21" max="21"/>
    <col width="9.14453125" customWidth="1" style="510" min="22" max="22"/>
    <col width="9.28125" customWidth="1" style="510" min="23" max="23"/>
    <col width="9.55078125" customWidth="1" style="510" min="24" max="25"/>
    <col width="10.89453125" customWidth="1" style="510" min="26" max="26"/>
    <col width="11.1640625" customWidth="1" style="510" min="27" max="27"/>
    <col width="8.609375" customWidth="1" style="510" min="28" max="28"/>
    <col width="11.02734375" customWidth="1" style="510" min="29" max="29"/>
    <col width="7.93359375" customWidth="1" style="510" min="30" max="30"/>
    <col width="11.1640625" customWidth="1" style="510" min="31" max="31"/>
    <col width="7.93359375" customWidth="1" style="510" min="32" max="32"/>
    <col width="11.43359375" customWidth="1" style="510" min="33" max="35"/>
    <col width="8.0703125" bestFit="1" customWidth="1" style="510" min="36" max="36"/>
    <col width="9.55078125" bestFit="1" customWidth="1" style="510" min="37" max="37"/>
    <col width="12.64453125" bestFit="1" customWidth="1" style="510" min="38" max="38"/>
    <col width="10.4921875" bestFit="1" customWidth="1" style="510" min="39" max="39"/>
    <col width="9.28125" bestFit="1" customWidth="1" style="510" min="40" max="40"/>
    <col width="10.4921875" bestFit="1" customWidth="1" style="510" min="41" max="41"/>
    <col width="12.64453125" bestFit="1" customWidth="1" style="510" min="42" max="42"/>
    <col width="10.4921875" bestFit="1" customWidth="1" style="510" min="43" max="43"/>
    <col width="12.375" customWidth="1" style="510" min="44" max="44"/>
    <col width="10.4921875" customWidth="1" style="510" min="45" max="45"/>
    <col width="8.875" customWidth="1" style="510" min="46" max="16384"/>
  </cols>
  <sheetData>
    <row r="2">
      <c r="B2" s="119" t="inlineStr">
        <is>
          <t>ERW HFW</t>
        </is>
      </c>
    </row>
    <row r="3">
      <c r="B3" s="119" t="inlineStr">
        <is>
          <t>SAWH</t>
        </is>
      </c>
    </row>
    <row r="4">
      <c r="B4" s="119" t="inlineStr">
        <is>
          <t>SAWL</t>
        </is>
      </c>
    </row>
    <row r="5">
      <c r="B5" s="119" t="inlineStr">
        <is>
          <t>COW</t>
        </is>
      </c>
    </row>
    <row r="6">
      <c r="B6" s="119" t="inlineStr">
        <is>
          <t>SEAMLESS</t>
        </is>
      </c>
    </row>
    <row r="7">
      <c r="B7" s="119" t="n"/>
    </row>
    <row r="8">
      <c r="B8" s="119" t="n"/>
    </row>
    <row r="11">
      <c r="B11">
        <f>VLOOKUP('Et Kalınlığı Hesaplama'!E5,Tablo244[ÇAP mm],6,FALSE)</f>
        <v/>
      </c>
    </row>
    <row r="15" ht="15.75" customHeight="1" s="510" thickBot="1"/>
    <row r="16" ht="15.75" customHeight="1" s="510" thickBot="1">
      <c r="G16" s="1202" t="inlineStr">
        <is>
          <t>Design Pressure 75</t>
        </is>
      </c>
      <c r="H16" s="1156" t="n"/>
      <c r="I16" s="1156" t="n"/>
      <c r="J16" s="1156" t="n"/>
      <c r="K16" s="1156" t="n"/>
      <c r="L16" s="1156" t="n"/>
      <c r="M16" s="1156" t="n"/>
      <c r="N16" s="1157" t="n"/>
      <c r="O16" s="1202" t="inlineStr">
        <is>
          <t>Design Pressure 82,5</t>
        </is>
      </c>
      <c r="P16" s="1157" t="n"/>
      <c r="Z16" s="1048" t="inlineStr">
        <is>
          <t>Ovalite mm</t>
        </is>
      </c>
      <c r="AA16" s="1156" t="n"/>
      <c r="AB16" s="1156" t="n"/>
      <c r="AC16" s="1156" t="n"/>
      <c r="AD16" s="1156" t="n"/>
      <c r="AE16" s="1156" t="n"/>
      <c r="AF16" s="1156" t="n"/>
      <c r="AG16" s="1156" t="n"/>
      <c r="AH16" s="1156" t="n"/>
      <c r="AI16" s="1156" t="n"/>
      <c r="AJ16" s="1202" t="inlineStr">
        <is>
          <t>Minimun Elongation</t>
        </is>
      </c>
      <c r="AK16" s="1156" t="n"/>
      <c r="AL16" s="1156" t="n"/>
      <c r="AM16" s="1156" t="n"/>
      <c r="AN16" s="1156" t="n"/>
      <c r="AO16" s="1156" t="n"/>
      <c r="AP16" s="1156" t="n"/>
      <c r="AQ16" s="1156" t="n"/>
      <c r="AR16" s="1156" t="n"/>
      <c r="AS16" s="1157" t="n"/>
    </row>
    <row r="17" ht="15.75" customHeight="1" s="510" thickBot="1">
      <c r="G17" s="1051" t="inlineStr">
        <is>
          <t xml:space="preserve"> Boru Hattı</t>
        </is>
      </c>
      <c r="H17" s="1183" t="n"/>
      <c r="I17" s="1183" t="n"/>
      <c r="J17" s="1183" t="n"/>
      <c r="K17" s="1183" t="n"/>
      <c r="L17" s="1184" t="n"/>
      <c r="M17" s="1052" t="inlineStr">
        <is>
          <t xml:space="preserve"> İstayon</t>
        </is>
      </c>
      <c r="N17" s="1184" t="n"/>
      <c r="O17" s="1052" t="inlineStr">
        <is>
          <t xml:space="preserve"> İstayon</t>
        </is>
      </c>
      <c r="P17" s="1184" t="n"/>
      <c r="Q17" s="1054" t="inlineStr">
        <is>
          <t>Boru Çap Toleransları mm</t>
        </is>
      </c>
      <c r="R17" s="1159" t="n"/>
      <c r="S17" s="1159" t="n"/>
      <c r="T17" s="1159" t="n"/>
      <c r="U17" s="1056" t="inlineStr">
        <is>
          <t>Boru Hattı</t>
        </is>
      </c>
      <c r="V17" s="1183" t="n"/>
      <c r="W17" s="1183" t="n"/>
      <c r="X17" s="1058" t="inlineStr">
        <is>
          <t xml:space="preserve"> İstayon</t>
        </is>
      </c>
      <c r="Y17" s="1203" t="n"/>
      <c r="Z17" s="1059" t="inlineStr">
        <is>
          <t xml:space="preserve"> Boru Hattı</t>
        </is>
      </c>
      <c r="AA17" s="1159" t="n"/>
      <c r="AB17" s="1159" t="n"/>
      <c r="AC17" s="1159" t="n"/>
      <c r="AD17" s="1159" t="n"/>
      <c r="AE17" s="1181" t="n"/>
      <c r="AF17" s="1061" t="inlineStr">
        <is>
          <t xml:space="preserve"> İstayon</t>
        </is>
      </c>
      <c r="AG17" s="1159" t="n"/>
      <c r="AH17" s="1159" t="n"/>
      <c r="AI17" s="1159" t="n"/>
      <c r="AJ17" s="1062" t="inlineStr">
        <is>
          <t xml:space="preserve"> Boru Hattı</t>
        </is>
      </c>
      <c r="AO17" s="1169" t="n"/>
      <c r="AP17" s="1204" t="inlineStr">
        <is>
          <t xml:space="preserve"> İstayon</t>
        </is>
      </c>
      <c r="AS17" s="169" t="n"/>
    </row>
    <row r="18">
      <c r="G18" s="1067" t="inlineStr">
        <is>
          <t>F=0,72</t>
        </is>
      </c>
      <c r="H18" s="803" t="n"/>
      <c r="I18" s="1068" t="inlineStr">
        <is>
          <t>F=0,60</t>
        </is>
      </c>
      <c r="J18" s="803" t="n"/>
      <c r="K18" s="1068" t="inlineStr">
        <is>
          <t>F=0,50</t>
        </is>
      </c>
      <c r="L18" s="803" t="n"/>
      <c r="M18" s="1068" t="inlineStr">
        <is>
          <t>F=0,50</t>
        </is>
      </c>
      <c r="N18" s="803" t="n"/>
      <c r="O18" s="1068" t="inlineStr">
        <is>
          <t>F=0,50</t>
        </is>
      </c>
      <c r="P18" s="803" t="n"/>
      <c r="Q18" s="176" t="n"/>
      <c r="R18" s="177" t="n"/>
      <c r="S18" s="177" t="n"/>
      <c r="T18" s="178" t="n"/>
      <c r="U18" s="171" t="inlineStr">
        <is>
          <t>F=0,72</t>
        </is>
      </c>
      <c r="V18" s="1072" t="inlineStr">
        <is>
          <t>F=0,6</t>
        </is>
      </c>
      <c r="W18" s="1072" t="inlineStr">
        <is>
          <t>F=0,5</t>
        </is>
      </c>
      <c r="X18" s="1072" t="inlineStr">
        <is>
          <t>F=0,5</t>
        </is>
      </c>
      <c r="Y18" s="172" t="inlineStr">
        <is>
          <t>F=0,5</t>
        </is>
      </c>
      <c r="Z18" s="1071" t="inlineStr">
        <is>
          <t>F=0,72</t>
        </is>
      </c>
      <c r="AA18" s="452" t="n"/>
      <c r="AB18" s="1072" t="inlineStr">
        <is>
          <t>F=0,6</t>
        </is>
      </c>
      <c r="AC18" s="452" t="n"/>
      <c r="AD18" s="1072" t="inlineStr">
        <is>
          <t>F=0,5</t>
        </is>
      </c>
      <c r="AE18" s="452" t="n"/>
      <c r="AF18" s="1072" t="inlineStr">
        <is>
          <t>F=0,5</t>
        </is>
      </c>
      <c r="AG18" s="452" t="n"/>
      <c r="AH18" s="1072" t="inlineStr">
        <is>
          <t>F=0,5</t>
        </is>
      </c>
      <c r="AI18" s="452" t="n"/>
      <c r="AJ18" s="1077" t="inlineStr">
        <is>
          <t>F=0,72</t>
        </is>
      </c>
      <c r="AK18" s="452" t="n"/>
      <c r="AL18" s="1073" t="inlineStr">
        <is>
          <t>F=0,6</t>
        </is>
      </c>
      <c r="AM18" s="452" t="n"/>
      <c r="AN18" s="1073" t="inlineStr">
        <is>
          <t>F=0,5</t>
        </is>
      </c>
      <c r="AO18" s="452" t="n"/>
      <c r="AP18" s="1073" t="inlineStr">
        <is>
          <t>F=0,5</t>
        </is>
      </c>
      <c r="AQ18" s="452" t="n"/>
      <c r="AR18" s="1205" t="inlineStr">
        <is>
          <t>F=0,5 (82,5)</t>
        </is>
      </c>
      <c r="AS18" s="1174" t="n"/>
    </row>
    <row r="19" ht="15.75" customHeight="1" s="510" thickBot="1">
      <c r="B19" t="n">
        <v>1</v>
      </c>
      <c r="C19" t="n">
        <v>2</v>
      </c>
      <c r="D19" t="n">
        <v>3</v>
      </c>
      <c r="E19" t="n">
        <v>4</v>
      </c>
      <c r="F19" t="n">
        <v>5</v>
      </c>
      <c r="G19" t="n">
        <v>6</v>
      </c>
      <c r="H19" t="n">
        <v>7</v>
      </c>
      <c r="I19" t="n">
        <v>8</v>
      </c>
      <c r="J19" t="n">
        <v>9</v>
      </c>
      <c r="K19" t="n">
        <v>10</v>
      </c>
      <c r="L19" t="n">
        <v>11</v>
      </c>
      <c r="M19" t="n">
        <v>12</v>
      </c>
      <c r="N19" t="n">
        <v>13</v>
      </c>
      <c r="O19" t="n">
        <v>14</v>
      </c>
      <c r="P19" t="n">
        <v>15</v>
      </c>
      <c r="Q19" s="6" t="n">
        <v>16</v>
      </c>
      <c r="R19" t="n">
        <v>17</v>
      </c>
      <c r="S19" t="n">
        <v>18</v>
      </c>
      <c r="T19" s="169" t="n">
        <v>19</v>
      </c>
      <c r="U19" s="6" t="n">
        <v>20</v>
      </c>
      <c r="V19" t="n">
        <v>21</v>
      </c>
      <c r="W19" t="n">
        <v>22</v>
      </c>
      <c r="X19" t="n">
        <v>23</v>
      </c>
      <c r="Y19" s="169" t="n">
        <v>24</v>
      </c>
      <c r="Z19" t="n">
        <v>25</v>
      </c>
      <c r="AA19" t="n">
        <v>26</v>
      </c>
      <c r="AB19" t="n">
        <v>27</v>
      </c>
      <c r="AC19" t="n">
        <v>28</v>
      </c>
      <c r="AD19" t="n">
        <v>29</v>
      </c>
      <c r="AE19" t="n">
        <v>30</v>
      </c>
      <c r="AF19" t="n">
        <v>31</v>
      </c>
      <c r="AG19" t="n">
        <v>32</v>
      </c>
      <c r="AH19" t="n">
        <v>33</v>
      </c>
      <c r="AI19" t="n">
        <v>34</v>
      </c>
      <c r="AJ19" t="n">
        <v>35</v>
      </c>
      <c r="AK19" t="n">
        <v>36</v>
      </c>
      <c r="AL19" t="n">
        <v>37</v>
      </c>
      <c r="AM19" t="n">
        <v>38</v>
      </c>
      <c r="AN19" t="n">
        <v>39</v>
      </c>
      <c r="AO19" t="n">
        <v>40</v>
      </c>
      <c r="AP19" t="n">
        <v>41</v>
      </c>
      <c r="AQ19" t="n">
        <v>42</v>
      </c>
      <c r="AR19" t="n">
        <v>43</v>
      </c>
      <c r="AS19" t="n">
        <v>44</v>
      </c>
    </row>
    <row r="20" ht="28.5" customFormat="1" customHeight="1" s="512" thickBot="1">
      <c r="B20" s="24" t="inlineStr">
        <is>
          <t>ÇAP inch</t>
        </is>
      </c>
      <c r="C20" s="25" t="inlineStr">
        <is>
          <t>ÇAP mm</t>
        </is>
      </c>
      <c r="D20" s="25" t="inlineStr">
        <is>
          <t>MALZEME</t>
        </is>
      </c>
      <c r="E20" s="25" t="inlineStr">
        <is>
          <t>SMYS Psi</t>
        </is>
      </c>
      <c r="F20" s="25" t="inlineStr">
        <is>
          <t>Tensile Mpa</t>
        </is>
      </c>
      <c r="G20" s="24" t="inlineStr">
        <is>
          <t xml:space="preserve">Et Kalınlığı </t>
        </is>
      </c>
      <c r="H20" s="25" t="inlineStr">
        <is>
          <t>Max Bas. bar</t>
        </is>
      </c>
      <c r="I20" s="25" t="inlineStr">
        <is>
          <t>Et Kalınlığı 2</t>
        </is>
      </c>
      <c r="J20" s="25" t="inlineStr">
        <is>
          <t>Max Bas. Bar2</t>
        </is>
      </c>
      <c r="K20" s="25" t="inlineStr">
        <is>
          <t>Et Kalınlığı 3</t>
        </is>
      </c>
      <c r="L20" s="25" t="inlineStr">
        <is>
          <t>Max Bas. Bar3</t>
        </is>
      </c>
      <c r="M20" s="25" t="inlineStr">
        <is>
          <t>Et Kalınlığı 4</t>
        </is>
      </c>
      <c r="N20" s="26" t="inlineStr">
        <is>
          <t>Max Bas. Bar4</t>
        </is>
      </c>
      <c r="O20" s="25" t="inlineStr">
        <is>
          <t>Et Kalınlığı 5</t>
        </is>
      </c>
      <c r="P20" s="25" t="inlineStr">
        <is>
          <t>Max Bas. Bar5</t>
        </is>
      </c>
      <c r="Q20" s="27" t="inlineStr">
        <is>
          <t>Boru Ucu MAX</t>
        </is>
      </c>
      <c r="R20" s="28" t="inlineStr">
        <is>
          <t>Boru Ucu Min</t>
        </is>
      </c>
      <c r="S20" s="28" t="inlineStr">
        <is>
          <t>Boru Gövde MAX</t>
        </is>
      </c>
      <c r="T20" s="29" t="inlineStr">
        <is>
          <t>Boru Gövde Min</t>
        </is>
      </c>
      <c r="U20" s="27" t="inlineStr">
        <is>
          <t>D/t</t>
        </is>
      </c>
      <c r="V20" s="28" t="inlineStr">
        <is>
          <t>D/t2</t>
        </is>
      </c>
      <c r="W20" s="28" t="inlineStr">
        <is>
          <t>D/t3</t>
        </is>
      </c>
      <c r="X20" s="28" t="inlineStr">
        <is>
          <t>D/t4</t>
        </is>
      </c>
      <c r="Y20" s="29" t="inlineStr">
        <is>
          <t>D/t5</t>
        </is>
      </c>
      <c r="Z20" s="25" t="inlineStr">
        <is>
          <t>Boru Ucu 1</t>
        </is>
      </c>
      <c r="AA20" s="25" t="inlineStr">
        <is>
          <t>Boru Gövdesi 1</t>
        </is>
      </c>
      <c r="AB20" s="25" t="inlineStr">
        <is>
          <t>Boru Ucu 2</t>
        </is>
      </c>
      <c r="AC20" s="25" t="inlineStr">
        <is>
          <t>Boru Gövdesi 2</t>
        </is>
      </c>
      <c r="AD20" s="25" t="inlineStr">
        <is>
          <t>Boru Ucu 3</t>
        </is>
      </c>
      <c r="AE20" s="25" t="inlineStr">
        <is>
          <t>Boru Gövdesi 3</t>
        </is>
      </c>
      <c r="AF20" s="25" t="inlineStr">
        <is>
          <t>Boru Ucu 4</t>
        </is>
      </c>
      <c r="AG20" s="26" t="inlineStr">
        <is>
          <t>Boru Gövdesi 4</t>
        </is>
      </c>
      <c r="AH20" s="24" t="inlineStr">
        <is>
          <t>Boru Ucu 5</t>
        </is>
      </c>
      <c r="AI20" s="25" t="inlineStr">
        <is>
          <t>Boru Gövdesi 5</t>
        </is>
      </c>
      <c r="AJ20" s="24" t="inlineStr">
        <is>
          <t>Axc mm2</t>
        </is>
      </c>
      <c r="AK20" s="25" t="inlineStr">
        <is>
          <t>Af mm</t>
        </is>
      </c>
      <c r="AL20" s="25" t="inlineStr">
        <is>
          <t>Axc mm22</t>
        </is>
      </c>
      <c r="AM20" s="25" t="inlineStr">
        <is>
          <t>Af mm2</t>
        </is>
      </c>
      <c r="AN20" s="25" t="inlineStr">
        <is>
          <t>Axc mm23</t>
        </is>
      </c>
      <c r="AO20" s="25" t="inlineStr">
        <is>
          <t>Af mm3</t>
        </is>
      </c>
      <c r="AP20" s="25" t="inlineStr">
        <is>
          <t>Axc mm24</t>
        </is>
      </c>
      <c r="AQ20" s="26" t="inlineStr">
        <is>
          <t>Af mm4</t>
        </is>
      </c>
      <c r="AR20" s="25" t="inlineStr">
        <is>
          <t>Axc mm25</t>
        </is>
      </c>
      <c r="AS20" s="26" t="inlineStr">
        <is>
          <t>Af mm5</t>
        </is>
      </c>
    </row>
    <row r="21" ht="15.75" customHeight="1" s="510" thickBot="1">
      <c r="B21" s="39" t="inlineStr">
        <is>
          <t xml:space="preserve">½" </t>
        </is>
      </c>
      <c r="C21" s="40" t="n">
        <v>21.3</v>
      </c>
      <c r="D21" s="40" t="inlineStr">
        <is>
          <t>GRADE B</t>
        </is>
      </c>
      <c r="E21" s="41" t="n">
        <v>35500</v>
      </c>
      <c r="F21" s="42" t="n">
        <v>415</v>
      </c>
      <c r="G21" s="49" t="n"/>
      <c r="H21" s="59" t="n"/>
      <c r="I21" s="514" t="n"/>
      <c r="J21" s="514" t="n"/>
      <c r="K21" s="514" t="n"/>
      <c r="L21" s="59" t="n"/>
      <c r="M21" s="514" t="n">
        <v>3.7</v>
      </c>
      <c r="N21" s="52">
        <f>2*Tablo244[[#This Row],[SMYS Psi]]*Tablo244[[#This Row],[Et Kalınlığı 4]]/Tablo244[[#This Row],[ÇAP mm]]/14.50377</f>
        <v/>
      </c>
      <c r="O21" s="59" t="n">
        <v>3.7</v>
      </c>
      <c r="P21" s="59">
        <f>2*Tablo244[[#This Row],[SMYS Psi]]*Tablo244[[#This Row],[Et Kalınlığı 5]]/Tablo244[[#This Row],[ÇAP mm]]/14.50377</f>
        <v/>
      </c>
      <c r="Q21" s="17">
        <f>Tablo244[[#This Row],[ÇAP mm]]+0.4</f>
        <v/>
      </c>
      <c r="R21" s="1100">
        <f>Tablo244[[#This Row],[ÇAP mm]]-0.8</f>
        <v/>
      </c>
      <c r="S21" s="1100">
        <f>Tablo244[[#This Row],[ÇAP mm]]+0.4</f>
        <v/>
      </c>
      <c r="T21" s="18">
        <f>Tablo244[[#This Row],[ÇAP mm]]-0.8</f>
        <v/>
      </c>
      <c r="U21" s="173" t="n"/>
      <c r="V21" s="60" t="n"/>
      <c r="W21" s="60" t="n"/>
      <c r="X21" s="61">
        <f>Tablo244[[#This Row],[ÇAP mm]]/Tablo244[[#This Row],[Et Kalınlığı 4]]</f>
        <v/>
      </c>
      <c r="Y21" s="174">
        <f>Tablo244[[#This Row],[ÇAP mm]]/Tablo244[[#This Row],[Et Kalınlığı 5]]</f>
        <v/>
      </c>
      <c r="AF21" s="520">
        <f>0.9/2</f>
        <v/>
      </c>
      <c r="AG21" s="64">
        <f>1.2</f>
        <v/>
      </c>
      <c r="AH21" s="520">
        <f>0.9/2</f>
        <v/>
      </c>
      <c r="AI21" s="520" t="n">
        <v>1.2</v>
      </c>
      <c r="AJ21" s="11" t="n"/>
      <c r="AK21" s="5" t="n"/>
      <c r="AP21" s="5">
        <f>IF(40*Tablo244[[#This Row],[Et Kalınlığı 4]]&lt;485,Tablo244[[#This Row],[Et Kalınlığı 4]]*40,485)</f>
        <v/>
      </c>
      <c r="AQ21" s="12">
        <f>1940*POWER(ROUND(Tablo151[[#This Row],[Axc mm24]],-1),0.2)/POWER(Tablo244[[#This Row],[Tensile Mpa]],0.9)</f>
        <v/>
      </c>
      <c r="AR21" s="5">
        <f>IF(40*Tablo244[[#This Row],[Et Kalınlığı 5]]&lt;485,Tablo244[[#This Row],[Et Kalınlığı 4]]*40,485)</f>
        <v/>
      </c>
      <c r="AS21" s="64">
        <f>1940*POWER(ROUND(Tablo151[[#This Row],[Axc mm25]],-1),0.2)/POWER(Tablo244[[#This Row],[Tensile Mpa]],0.9)</f>
        <v/>
      </c>
    </row>
    <row r="22" ht="15.75" customHeight="1" s="510" thickBot="1">
      <c r="B22" s="43" t="inlineStr">
        <is>
          <t>¾"</t>
        </is>
      </c>
      <c r="C22" s="1100" t="n">
        <v>26.7</v>
      </c>
      <c r="D22" s="40" t="inlineStr">
        <is>
          <t>GRADE B</t>
        </is>
      </c>
      <c r="E22" s="44" t="n">
        <v>35500</v>
      </c>
      <c r="F22" s="45" t="n">
        <v>415</v>
      </c>
      <c r="G22" s="49" t="n"/>
      <c r="H22" s="59" t="n"/>
      <c r="I22" s="514" t="n"/>
      <c r="J22" s="514" t="n"/>
      <c r="K22" s="514" t="n"/>
      <c r="L22" s="59" t="n"/>
      <c r="M22" s="514" t="n">
        <v>3.9</v>
      </c>
      <c r="N22" s="52">
        <f>2*Tablo244[[#This Row],[SMYS Psi]]*Tablo244[[#This Row],[Et Kalınlığı 4]]/Tablo244[[#This Row],[ÇAP mm]]/14.50377</f>
        <v/>
      </c>
      <c r="O22" s="59" t="n">
        <v>3.9</v>
      </c>
      <c r="P22" s="59">
        <f>2*Tablo244[[#This Row],[SMYS Psi]]*Tablo244[[#This Row],[Et Kalınlığı 5]]/Tablo244[[#This Row],[ÇAP mm]]/14.50377</f>
        <v/>
      </c>
      <c r="Q22" s="17">
        <f>Tablo244[[#This Row],[ÇAP mm]]+0.4</f>
        <v/>
      </c>
      <c r="R22" s="1100">
        <f>Tablo244[[#This Row],[ÇAP mm]]-0.8</f>
        <v/>
      </c>
      <c r="S22" s="1100">
        <f>Tablo244[[#This Row],[ÇAP mm]]+0.4</f>
        <v/>
      </c>
      <c r="T22" s="18">
        <f>Tablo244[[#This Row],[ÇAP mm]]-0.8</f>
        <v/>
      </c>
      <c r="U22" s="173" t="n"/>
      <c r="V22" s="60" t="n"/>
      <c r="W22" s="60" t="n"/>
      <c r="X22" s="61">
        <f>Tablo244[[#This Row],[ÇAP mm]]/Tablo244[[#This Row],[Et Kalınlığı 4]]</f>
        <v/>
      </c>
      <c r="Y22" s="174">
        <f>Tablo244[[#This Row],[ÇAP mm]]/Tablo244[[#This Row],[Et Kalınlığı 5]]</f>
        <v/>
      </c>
      <c r="AF22" s="520">
        <f>0.9/2</f>
        <v/>
      </c>
      <c r="AG22" s="64">
        <f>1.2</f>
        <v/>
      </c>
      <c r="AH22" s="520">
        <f>0.9/2</f>
        <v/>
      </c>
      <c r="AI22" s="520" t="n">
        <v>1.2</v>
      </c>
      <c r="AJ22" s="11" t="n"/>
      <c r="AK22" s="5" t="n"/>
      <c r="AP22" s="5">
        <f>IF(40*Tablo244[[#This Row],[Et Kalınlığı 4]]&lt;485,Tablo244[[#This Row],[Et Kalınlığı 4]]*40,485)</f>
        <v/>
      </c>
      <c r="AQ22" s="12">
        <f>1940*POWER(ROUND(Tablo151[[#This Row],[Axc mm24]],-1),0.2)/POWER(Tablo244[[#This Row],[Tensile Mpa]],0.9)</f>
        <v/>
      </c>
      <c r="AR22" s="5">
        <f>IF(40*Tablo244[[#This Row],[Et Kalınlığı 5]]&lt;485,Tablo244[[#This Row],[Et Kalınlığı 4]]*40,485)</f>
        <v/>
      </c>
      <c r="AS22" s="64">
        <f>1940*POWER(ROUND(Tablo151[[#This Row],[Axc mm25]],-1),0.2)/POWER(Tablo244[[#This Row],[Tensile Mpa]],0.9)</f>
        <v/>
      </c>
    </row>
    <row r="23" ht="15.75" customHeight="1" s="510" thickBot="1">
      <c r="B23" s="43" t="inlineStr">
        <is>
          <t xml:space="preserve">1" </t>
        </is>
      </c>
      <c r="C23" s="1100" t="n">
        <v>33.4</v>
      </c>
      <c r="D23" s="40" t="inlineStr">
        <is>
          <t>GRADE B</t>
        </is>
      </c>
      <c r="E23" s="44" t="n">
        <v>35500</v>
      </c>
      <c r="F23" s="45" t="n">
        <v>415</v>
      </c>
      <c r="G23" s="49" t="n"/>
      <c r="H23" s="59" t="n"/>
      <c r="I23" s="514" t="n"/>
      <c r="J23" s="514" t="n"/>
      <c r="K23" s="514" t="n"/>
      <c r="L23" s="59" t="n"/>
      <c r="M23" s="514" t="n">
        <v>4.6</v>
      </c>
      <c r="N23" s="52">
        <f>2*Tablo244[[#This Row],[SMYS Psi]]*Tablo244[[#This Row],[Et Kalınlığı 4]]/Tablo244[[#This Row],[ÇAP mm]]/14.50377</f>
        <v/>
      </c>
      <c r="O23" s="59" t="n">
        <v>4.6</v>
      </c>
      <c r="P23" s="59">
        <f>2*Tablo244[[#This Row],[SMYS Psi]]*Tablo244[[#This Row],[Et Kalınlığı 5]]/Tablo244[[#This Row],[ÇAP mm]]/14.50377</f>
        <v/>
      </c>
      <c r="Q23" s="17">
        <f>Tablo244[[#This Row],[ÇAP mm]]+0.4</f>
        <v/>
      </c>
      <c r="R23" s="1100">
        <f>Tablo244[[#This Row],[ÇAP mm]]-0.8</f>
        <v/>
      </c>
      <c r="S23" s="1100">
        <f>Tablo244[[#This Row],[ÇAP mm]]+0.4</f>
        <v/>
      </c>
      <c r="T23" s="18">
        <f>Tablo244[[#This Row],[ÇAP mm]]-0.8</f>
        <v/>
      </c>
      <c r="U23" s="173" t="n"/>
      <c r="V23" s="60" t="n"/>
      <c r="W23" s="60" t="n"/>
      <c r="X23" s="61">
        <f>Tablo244[[#This Row],[ÇAP mm]]/Tablo244[[#This Row],[Et Kalınlığı 4]]</f>
        <v/>
      </c>
      <c r="Y23" s="174">
        <f>Tablo244[[#This Row],[ÇAP mm]]/Tablo244[[#This Row],[Et Kalınlığı 5]]</f>
        <v/>
      </c>
      <c r="AF23" s="520">
        <f>0.9/2</f>
        <v/>
      </c>
      <c r="AG23" s="64">
        <f>1.2</f>
        <v/>
      </c>
      <c r="AH23" s="520">
        <f>0.9/2</f>
        <v/>
      </c>
      <c r="AI23" s="520" t="n">
        <v>1.2</v>
      </c>
      <c r="AJ23" s="11" t="n"/>
      <c r="AK23" s="5" t="n"/>
      <c r="AP23" s="5">
        <f>IF(40*Tablo244[[#This Row],[Et Kalınlığı 4]]&lt;485,Tablo244[[#This Row],[Et Kalınlığı 4]]*40,485)</f>
        <v/>
      </c>
      <c r="AQ23" s="12">
        <f>1940*POWER(ROUND(Tablo151[[#This Row],[Axc mm24]],-1),0.2)/POWER(Tablo244[[#This Row],[Tensile Mpa]],0.9)</f>
        <v/>
      </c>
      <c r="AR23" s="5">
        <f>IF(40*Tablo244[[#This Row],[Et Kalınlığı 5]]&lt;485,Tablo244[[#This Row],[Et Kalınlığı 4]]*40,485)</f>
        <v/>
      </c>
      <c r="AS23" s="64">
        <f>1940*POWER(ROUND(Tablo151[[#This Row],[Axc mm25]],-1),0.2)/POWER(Tablo244[[#This Row],[Tensile Mpa]],0.9)</f>
        <v/>
      </c>
    </row>
    <row r="24" ht="15.75" customHeight="1" s="510" thickBot="1">
      <c r="B24" s="43" t="inlineStr">
        <is>
          <t>1¼"</t>
        </is>
      </c>
      <c r="C24" s="1100" t="n">
        <v>42.2</v>
      </c>
      <c r="D24" s="40" t="inlineStr">
        <is>
          <t>GRADE B</t>
        </is>
      </c>
      <c r="E24" s="44" t="n">
        <v>35500</v>
      </c>
      <c r="F24" s="45" t="n">
        <v>415</v>
      </c>
      <c r="G24" s="49" t="n"/>
      <c r="H24" s="59" t="n"/>
      <c r="I24" s="514" t="n"/>
      <c r="J24" s="514" t="n"/>
      <c r="K24" s="514" t="n"/>
      <c r="L24" s="59" t="n"/>
      <c r="M24" s="514" t="n">
        <v>4.9</v>
      </c>
      <c r="N24" s="52">
        <f>2*Tablo244[[#This Row],[SMYS Psi]]*Tablo244[[#This Row],[Et Kalınlığı 4]]/Tablo244[[#This Row],[ÇAP mm]]/14.50377</f>
        <v/>
      </c>
      <c r="O24" s="59" t="n">
        <v>4.9</v>
      </c>
      <c r="P24" s="59">
        <f>2*Tablo244[[#This Row],[SMYS Psi]]*Tablo244[[#This Row],[Et Kalınlığı 5]]/Tablo244[[#This Row],[ÇAP mm]]/14.50377</f>
        <v/>
      </c>
      <c r="Q24" s="17">
        <f>Tablo244[[#This Row],[ÇAP mm]]+0.4</f>
        <v/>
      </c>
      <c r="R24" s="1100">
        <f>Tablo244[[#This Row],[ÇAP mm]]-0.8</f>
        <v/>
      </c>
      <c r="S24" s="1100">
        <f>Tablo244[[#This Row],[ÇAP mm]]+0.4</f>
        <v/>
      </c>
      <c r="T24" s="18">
        <f>Tablo244[[#This Row],[ÇAP mm]]-0.8</f>
        <v/>
      </c>
      <c r="U24" s="173" t="n"/>
      <c r="V24" s="60" t="n"/>
      <c r="W24" s="60" t="n"/>
      <c r="X24" s="61">
        <f>Tablo244[[#This Row],[ÇAP mm]]/Tablo244[[#This Row],[Et Kalınlığı 4]]</f>
        <v/>
      </c>
      <c r="Y24" s="174">
        <f>Tablo244[[#This Row],[ÇAP mm]]/Tablo244[[#This Row],[Et Kalınlığı 5]]</f>
        <v/>
      </c>
      <c r="AF24" s="520">
        <f>0.9/2</f>
        <v/>
      </c>
      <c r="AG24" s="64">
        <f>1.2</f>
        <v/>
      </c>
      <c r="AH24" s="520">
        <f>0.9/2</f>
        <v/>
      </c>
      <c r="AI24" s="520" t="n">
        <v>1.2</v>
      </c>
      <c r="AJ24" s="11" t="n"/>
      <c r="AK24" s="5" t="n"/>
      <c r="AP24" s="5">
        <f>IF(40*Tablo244[[#This Row],[Et Kalınlığı 4]]&lt;485,Tablo244[[#This Row],[Et Kalınlığı 4]]*40,485)</f>
        <v/>
      </c>
      <c r="AQ24" s="12">
        <f>1940*POWER(ROUND(Tablo151[[#This Row],[Axc mm24]],-1),0.2)/POWER(Tablo244[[#This Row],[Tensile Mpa]],0.9)</f>
        <v/>
      </c>
      <c r="AR24" s="5">
        <f>IF(40*Tablo244[[#This Row],[Et Kalınlığı 5]]&lt;485,Tablo244[[#This Row],[Et Kalınlığı 4]]*40,485)</f>
        <v/>
      </c>
      <c r="AS24" s="64">
        <f>1940*POWER(ROUND(Tablo151[[#This Row],[Axc mm25]],-1),0.2)/POWER(Tablo244[[#This Row],[Tensile Mpa]],0.9)</f>
        <v/>
      </c>
    </row>
    <row r="25" ht="15.75" customHeight="1" s="510" thickBot="1">
      <c r="B25" s="43" t="inlineStr">
        <is>
          <t xml:space="preserve">1½" </t>
        </is>
      </c>
      <c r="C25" s="1100" t="n">
        <v>48.3</v>
      </c>
      <c r="D25" s="40" t="inlineStr">
        <is>
          <t>GRADE B</t>
        </is>
      </c>
      <c r="E25" s="44" t="n">
        <v>35500</v>
      </c>
      <c r="F25" s="45" t="n">
        <v>415</v>
      </c>
      <c r="G25" s="49" t="n"/>
      <c r="H25" s="59" t="n"/>
      <c r="I25" s="514" t="n"/>
      <c r="J25" s="514" t="n"/>
      <c r="K25" s="514" t="n"/>
      <c r="L25" s="59" t="n"/>
      <c r="M25" s="514" t="n">
        <v>5.1</v>
      </c>
      <c r="N25" s="52">
        <f>2*Tablo244[[#This Row],[SMYS Psi]]*Tablo244[[#This Row],[Et Kalınlığı 4]]/Tablo244[[#This Row],[ÇAP mm]]/14.50377</f>
        <v/>
      </c>
      <c r="O25" s="59" t="n">
        <v>5.1</v>
      </c>
      <c r="P25" s="59">
        <f>2*Tablo244[[#This Row],[SMYS Psi]]*Tablo244[[#This Row],[Et Kalınlığı 5]]/Tablo244[[#This Row],[ÇAP mm]]/14.50377</f>
        <v/>
      </c>
      <c r="Q25" s="17">
        <f>Tablo244[[#This Row],[ÇAP mm]]+0.4</f>
        <v/>
      </c>
      <c r="R25" s="1100">
        <f>Tablo244[[#This Row],[ÇAP mm]]-0.8</f>
        <v/>
      </c>
      <c r="S25" s="1100">
        <f>Tablo244[[#This Row],[ÇAP mm]]+0.4</f>
        <v/>
      </c>
      <c r="T25" s="18">
        <f>Tablo244[[#This Row],[ÇAP mm]]-0.8</f>
        <v/>
      </c>
      <c r="U25" s="173" t="n"/>
      <c r="V25" s="60" t="n"/>
      <c r="W25" s="60" t="n"/>
      <c r="X25" s="61">
        <f>Tablo244[[#This Row],[ÇAP mm]]/Tablo244[[#This Row],[Et Kalınlığı 4]]</f>
        <v/>
      </c>
      <c r="Y25" s="174">
        <f>Tablo244[[#This Row],[ÇAP mm]]/Tablo244[[#This Row],[Et Kalınlığı 5]]</f>
        <v/>
      </c>
      <c r="AF25" s="520">
        <f>0.9/2</f>
        <v/>
      </c>
      <c r="AG25" s="64">
        <f>1.2</f>
        <v/>
      </c>
      <c r="AH25" s="520">
        <f>0.9/2</f>
        <v/>
      </c>
      <c r="AI25" s="520" t="n">
        <v>1.2</v>
      </c>
      <c r="AJ25" s="11" t="n"/>
      <c r="AK25" s="5" t="n"/>
      <c r="AP25" s="5">
        <f>IF(40*Tablo244[[#This Row],[Et Kalınlığı 4]]&lt;485,Tablo244[[#This Row],[Et Kalınlığı 4]]*40,485)</f>
        <v/>
      </c>
      <c r="AQ25" s="12">
        <f>1940*POWER(ROUND(Tablo151[[#This Row],[Axc mm24]],-1),0.2)/POWER(Tablo244[[#This Row],[Tensile Mpa]],0.9)</f>
        <v/>
      </c>
      <c r="AR25" s="5">
        <f>IF(40*Tablo244[[#This Row],[Et Kalınlığı 5]]&lt;485,Tablo244[[#This Row],[Et Kalınlığı 4]]*40,485)</f>
        <v/>
      </c>
      <c r="AS25" s="64">
        <f>1940*POWER(ROUND(Tablo151[[#This Row],[Axc mm25]],-1),0.2)/POWER(Tablo244[[#This Row],[Tensile Mpa]],0.9)</f>
        <v/>
      </c>
    </row>
    <row r="26" ht="15.75" customHeight="1" s="510" thickBot="1">
      <c r="A26" s="290" t="n"/>
      <c r="B26" s="43" t="inlineStr">
        <is>
          <t xml:space="preserve">2" </t>
        </is>
      </c>
      <c r="C26" s="1100" t="n">
        <v>60.3</v>
      </c>
      <c r="D26" s="40" t="inlineStr">
        <is>
          <t>GRADE B</t>
        </is>
      </c>
      <c r="E26" s="44" t="n">
        <v>35500</v>
      </c>
      <c r="F26" s="45" t="n">
        <v>415</v>
      </c>
      <c r="G26" s="49" t="n"/>
      <c r="H26" s="59" t="n"/>
      <c r="I26" s="514" t="n"/>
      <c r="J26" s="514" t="n"/>
      <c r="K26" s="514" t="n"/>
      <c r="L26" s="59" t="n"/>
      <c r="M26" s="514" t="n">
        <v>5.5</v>
      </c>
      <c r="N26" s="52">
        <f>2*Tablo244[[#This Row],[SMYS Psi]]*Tablo244[[#This Row],[Et Kalınlığı 4]]/Tablo244[[#This Row],[ÇAP mm]]/14.50377</f>
        <v/>
      </c>
      <c r="O26" s="59" t="n">
        <v>5.5</v>
      </c>
      <c r="P26" s="59">
        <f>2*Tablo244[[#This Row],[SMYS Psi]]*Tablo244[[#This Row],[Et Kalınlığı 5]]/Tablo244[[#This Row],[ÇAP mm]]/14.50377</f>
        <v/>
      </c>
      <c r="Q26" s="17">
        <f>Tablo244[[#This Row],[ÇAP mm]]+1.6</f>
        <v/>
      </c>
      <c r="R26" s="1100">
        <f>Tablo244[[#This Row],[ÇAP mm]]-0.4</f>
        <v/>
      </c>
      <c r="S26" s="3">
        <f>Tablo244[[#This Row],[ÇAP mm]]*1.0075</f>
        <v/>
      </c>
      <c r="T26" s="19">
        <f>Tablo244[[#This Row],[ÇAP mm]]*0.9925</f>
        <v/>
      </c>
      <c r="U26" s="173" t="n"/>
      <c r="V26" s="60" t="n"/>
      <c r="W26" s="60" t="n"/>
      <c r="X26" s="61">
        <f>Tablo244[[#This Row],[ÇAP mm]]/Tablo244[[#This Row],[Et Kalınlığı 4]]</f>
        <v/>
      </c>
      <c r="Y26" s="174">
        <f>Tablo244[[#This Row],[ÇAP mm]]/Tablo244[[#This Row],[Et Kalınlığı 5]]</f>
        <v/>
      </c>
      <c r="Z26" s="520" t="n"/>
      <c r="AA26" s="520" t="n"/>
      <c r="AF26" s="520">
        <f>IF(Tablo244[[#This Row],[ÇAP mm]]/Tablo244[[#This Row],[Et Kalınlığı 4]]&lt;75,Tablo244[[#This Row],[ÇAP mm]]*0.015/2,"Anlaşmaya bağlıdır.")</f>
        <v/>
      </c>
      <c r="AG26" s="64">
        <f>IF(Tablo244[[#This Row],[ÇAP mm]]/Tablo244[[#This Row],[Et Kalınlığı 4]]&lt;75,Tablo244[[#This Row],[ÇAP mm]]*0.02,"Anlaşmaya bağlıdır.")</f>
        <v/>
      </c>
      <c r="AH26" s="520">
        <f>IF(Tablo244[[#This Row],[ÇAP mm]]/Tablo244[[#This Row],[Et Kalınlığı 4]]&lt;75,Tablo244[[#This Row],[ÇAP mm]]*0.015/2,"Anlaşmaya bağlıdır.")</f>
        <v/>
      </c>
      <c r="AI26" s="520">
        <f>IF(Tablo244[[#This Row],[ÇAP mm]]/Tablo244[[#This Row],[Et Kalınlığı 5]]&lt;75,Tablo244[[#This Row],[ÇAP mm]]*0.02,"Anlaşmaya bağlıdır.")</f>
        <v/>
      </c>
      <c r="AJ26" s="11" t="n"/>
      <c r="AK26" s="5" t="n"/>
      <c r="AP26" s="5">
        <f>IF(40*Tablo244[[#This Row],[Et Kalınlığı 4]]&lt;485,Tablo244[[#This Row],[Et Kalınlığı 4]]*40,485)</f>
        <v/>
      </c>
      <c r="AQ26" s="12">
        <f>1940*POWER(ROUND(Tablo151[[#This Row],[Axc mm24]],-1),0.2)/POWER(Tablo244[[#This Row],[Tensile Mpa]],0.9)</f>
        <v/>
      </c>
      <c r="AR26" s="5">
        <f>IF(40*Tablo244[[#This Row],[Et Kalınlığı 5]]&lt;485,Tablo244[[#This Row],[Et Kalınlığı 4]]*40,485)</f>
        <v/>
      </c>
      <c r="AS26" s="64">
        <f>1940*POWER(ROUND(Tablo151[[#This Row],[Axc mm25]],-1),0.2)/POWER(Tablo244[[#This Row],[Tensile Mpa]],0.9)</f>
        <v/>
      </c>
    </row>
    <row r="27" ht="15.75" customHeight="1" s="510" thickBot="1">
      <c r="B27" s="43" t="inlineStr">
        <is>
          <t xml:space="preserve">2½" </t>
        </is>
      </c>
      <c r="C27" s="1100" t="n">
        <v>73</v>
      </c>
      <c r="D27" s="40" t="inlineStr">
        <is>
          <t>GRADE B</t>
        </is>
      </c>
      <c r="E27" s="44" t="n">
        <v>35500</v>
      </c>
      <c r="F27" s="45" t="n">
        <v>415</v>
      </c>
      <c r="G27" s="49" t="n"/>
      <c r="H27" s="59" t="n"/>
      <c r="I27" s="514" t="n"/>
      <c r="J27" s="514" t="n"/>
      <c r="K27" s="514" t="n"/>
      <c r="L27" s="59" t="n"/>
      <c r="M27" s="514" t="n">
        <v>5.2</v>
      </c>
      <c r="N27" s="52">
        <f>2*Tablo244[[#This Row],[SMYS Psi]]*Tablo244[[#This Row],[Et Kalınlığı 4]]/Tablo244[[#This Row],[ÇAP mm]]/14.50377</f>
        <v/>
      </c>
      <c r="O27" s="59" t="n">
        <v>5.2</v>
      </c>
      <c r="P27" s="59">
        <f>2*Tablo244[[#This Row],[SMYS Psi]]*Tablo244[[#This Row],[Et Kalınlığı 5]]/Tablo244[[#This Row],[ÇAP mm]]/14.50377</f>
        <v/>
      </c>
      <c r="Q27" s="17">
        <f>Tablo244[[#This Row],[ÇAP mm]]+1.6</f>
        <v/>
      </c>
      <c r="R27" s="1100">
        <f>Tablo244[[#This Row],[ÇAP mm]]-0.4</f>
        <v/>
      </c>
      <c r="S27" s="3">
        <f>Tablo244[[#This Row],[ÇAP mm]]*1.0075</f>
        <v/>
      </c>
      <c r="T27" s="19">
        <f>Tablo244[[#This Row],[ÇAP mm]]*0.9925</f>
        <v/>
      </c>
      <c r="U27" s="173" t="n"/>
      <c r="V27" s="60" t="n"/>
      <c r="W27" s="60" t="n"/>
      <c r="X27" s="61">
        <f>Tablo244[[#This Row],[ÇAP mm]]/Tablo244[[#This Row],[Et Kalınlığı 4]]</f>
        <v/>
      </c>
      <c r="Y27" s="174">
        <f>Tablo244[[#This Row],[ÇAP mm]]/Tablo244[[#This Row],[Et Kalınlığı 5]]</f>
        <v/>
      </c>
      <c r="Z27" s="520" t="n"/>
      <c r="AA27" s="520" t="n"/>
      <c r="AF27" s="520">
        <f>IF(Tablo244[[#This Row],[ÇAP mm]]/Tablo244[[#This Row],[Et Kalınlığı 4]]&lt;75,Tablo244[[#This Row],[ÇAP mm]]*0.015/2,"Anlaşmaya bağlıdır.")</f>
        <v/>
      </c>
      <c r="AG27" s="64">
        <f>IF(Tablo244[[#This Row],[ÇAP mm]]/Tablo244[[#This Row],[Et Kalınlığı 4]]&lt;75,Tablo244[[#This Row],[ÇAP mm]]*0.02,"Anlaşmaya bağlıdır.")</f>
        <v/>
      </c>
      <c r="AH27" s="520">
        <f>IF(Tablo244[[#This Row],[ÇAP mm]]/Tablo244[[#This Row],[Et Kalınlığı 4]]&lt;75,Tablo244[[#This Row],[ÇAP mm]]*0.015/2,"Anlaşmaya bağlıdır.")</f>
        <v/>
      </c>
      <c r="AI27" s="520">
        <f>IF(Tablo244[[#This Row],[ÇAP mm]]/Tablo244[[#This Row],[Et Kalınlığı 5]]&lt;75,Tablo244[[#This Row],[ÇAP mm]]*0.02,"Anlaşmaya bağlıdır.")</f>
        <v/>
      </c>
      <c r="AJ27" s="11" t="n"/>
      <c r="AK27" s="5" t="n"/>
      <c r="AP27" s="5">
        <f>IF(40*Tablo244[[#This Row],[Et Kalınlığı 4]]&lt;485,Tablo244[[#This Row],[Et Kalınlığı 4]]*40,485)</f>
        <v/>
      </c>
      <c r="AQ27" s="12">
        <f>1940*POWER(ROUND(Tablo151[[#This Row],[Axc mm24]],-1),0.2)/POWER(Tablo244[[#This Row],[Tensile Mpa]],0.9)</f>
        <v/>
      </c>
      <c r="AR27" s="5">
        <f>IF(40*Tablo244[[#This Row],[Et Kalınlığı 5]]&lt;485,Tablo244[[#This Row],[Et Kalınlığı 4]]*40,485)</f>
        <v/>
      </c>
      <c r="AS27" s="64">
        <f>1940*POWER(ROUND(Tablo151[[#This Row],[Axc mm25]],-1),0.2)/POWER(Tablo244[[#This Row],[Tensile Mpa]],0.9)</f>
        <v/>
      </c>
    </row>
    <row r="28" ht="15.75" customHeight="1" s="510" thickBot="1">
      <c r="B28" s="43" t="inlineStr">
        <is>
          <t>3"</t>
        </is>
      </c>
      <c r="C28" s="1100" t="n">
        <v>88.90000000000001</v>
      </c>
      <c r="D28" s="40" t="inlineStr">
        <is>
          <t>GRADE B</t>
        </is>
      </c>
      <c r="E28" s="44" t="n">
        <v>35500</v>
      </c>
      <c r="F28" s="45" t="n">
        <v>415</v>
      </c>
      <c r="G28" s="49" t="n"/>
      <c r="H28" s="59" t="n"/>
      <c r="I28" s="514" t="n"/>
      <c r="J28" s="514" t="n"/>
      <c r="K28" s="514" t="n"/>
      <c r="L28" s="59" t="n"/>
      <c r="M28" s="514" t="n">
        <v>5.5</v>
      </c>
      <c r="N28" s="52">
        <f>2*Tablo244[[#This Row],[SMYS Psi]]*Tablo244[[#This Row],[Et Kalınlığı 4]]/Tablo244[[#This Row],[ÇAP mm]]/14.50377</f>
        <v/>
      </c>
      <c r="O28" s="59" t="n">
        <v>5.5</v>
      </c>
      <c r="P28" s="59">
        <f>2*Tablo244[[#This Row],[SMYS Psi]]*Tablo244[[#This Row],[Et Kalınlığı 5]]/Tablo244[[#This Row],[ÇAP mm]]/14.50377</f>
        <v/>
      </c>
      <c r="Q28" s="17">
        <f>Tablo244[[#This Row],[ÇAP mm]]+1.6</f>
        <v/>
      </c>
      <c r="R28" s="1100">
        <f>Tablo244[[#This Row],[ÇAP mm]]-0.4</f>
        <v/>
      </c>
      <c r="S28" s="3">
        <f>Tablo244[[#This Row],[ÇAP mm]]*1.0075</f>
        <v/>
      </c>
      <c r="T28" s="19">
        <f>Tablo244[[#This Row],[ÇAP mm]]*0.9925</f>
        <v/>
      </c>
      <c r="U28" s="173" t="n"/>
      <c r="V28" s="60" t="n"/>
      <c r="W28" s="60" t="n"/>
      <c r="X28" s="61">
        <f>Tablo244[[#This Row],[ÇAP mm]]/Tablo244[[#This Row],[Et Kalınlığı 4]]</f>
        <v/>
      </c>
      <c r="Y28" s="174">
        <f>Tablo244[[#This Row],[ÇAP mm]]/Tablo244[[#This Row],[Et Kalınlığı 5]]</f>
        <v/>
      </c>
      <c r="Z28" s="520" t="n"/>
      <c r="AA28" s="520" t="n"/>
      <c r="AF28" s="520">
        <f>IF(Tablo244[[#This Row],[ÇAP mm]]/Tablo244[[#This Row],[Et Kalınlığı 4]]&lt;75,Tablo244[[#This Row],[ÇAP mm]]*0.015/2,"Anlaşmaya bağlıdır.")</f>
        <v/>
      </c>
      <c r="AG28" s="64">
        <f>IF(Tablo244[[#This Row],[ÇAP mm]]/Tablo244[[#This Row],[Et Kalınlığı 4]]&lt;75,Tablo244[[#This Row],[ÇAP mm]]*0.02,"Anlaşmaya bağlıdır.")</f>
        <v/>
      </c>
      <c r="AH28" s="520">
        <f>IF(Tablo244[[#This Row],[ÇAP mm]]/Tablo244[[#This Row],[Et Kalınlığı 4]]&lt;75,Tablo244[[#This Row],[ÇAP mm]]*0.015/2,"Anlaşmaya bağlıdır.")</f>
        <v/>
      </c>
      <c r="AI28" s="520">
        <f>IF(Tablo244[[#This Row],[ÇAP mm]]/Tablo244[[#This Row],[Et Kalınlığı 5]]&lt;75,Tablo244[[#This Row],[ÇAP mm]]*0.02,"Anlaşmaya bağlıdır.")</f>
        <v/>
      </c>
      <c r="AJ28" s="11" t="n"/>
      <c r="AK28" s="5" t="n"/>
      <c r="AP28" s="5">
        <f>IF(40*Tablo244[[#This Row],[Et Kalınlığı 4]]&lt;485,Tablo244[[#This Row],[Et Kalınlığı 4]]*40,485)</f>
        <v/>
      </c>
      <c r="AQ28" s="12">
        <f>1940*POWER(ROUND(Tablo151[[#This Row],[Axc mm24]],-1),0.2)/POWER(Tablo244[[#This Row],[Tensile Mpa]],0.9)</f>
        <v/>
      </c>
      <c r="AR28" s="5">
        <f>IF(40*Tablo244[[#This Row],[Et Kalınlığı 5]]&lt;485,Tablo244[[#This Row],[Et Kalınlığı 4]]*40,485)</f>
        <v/>
      </c>
      <c r="AS28" s="64">
        <f>1940*POWER(ROUND(Tablo151[[#This Row],[Axc mm25]],-1),0.2)/POWER(Tablo244[[#This Row],[Tensile Mpa]],0.9)</f>
        <v/>
      </c>
    </row>
    <row r="29" ht="15.75" customHeight="1" s="510" thickBot="1">
      <c r="B29" s="43" t="inlineStr">
        <is>
          <t>4"</t>
        </is>
      </c>
      <c r="C29" s="1100" t="n">
        <v>114.3</v>
      </c>
      <c r="D29" s="40" t="inlineStr">
        <is>
          <t>GRADE B</t>
        </is>
      </c>
      <c r="E29" s="44" t="n">
        <v>35500</v>
      </c>
      <c r="F29" s="45" t="n">
        <v>415</v>
      </c>
      <c r="G29" s="49" t="n"/>
      <c r="H29" s="59" t="n"/>
      <c r="I29" s="514" t="n"/>
      <c r="J29" s="514" t="n"/>
      <c r="K29" s="514" t="n"/>
      <c r="L29" s="59" t="n"/>
      <c r="M29" s="514" t="n">
        <v>6</v>
      </c>
      <c r="N29" s="52">
        <f>2*Tablo244[[#This Row],[SMYS Psi]]*Tablo244[[#This Row],[Et Kalınlığı 4]]/Tablo244[[#This Row],[ÇAP mm]]/14.50377</f>
        <v/>
      </c>
      <c r="O29" s="59" t="n">
        <v>6</v>
      </c>
      <c r="P29" s="59">
        <f>2*Tablo244[[#This Row],[SMYS Psi]]*Tablo244[[#This Row],[Et Kalınlığı 5]]/Tablo244[[#This Row],[ÇAP mm]]/14.50377</f>
        <v/>
      </c>
      <c r="Q29" s="17">
        <f>Tablo244[[#This Row],[ÇAP mm]]+1.6</f>
        <v/>
      </c>
      <c r="R29" s="1100">
        <f>Tablo244[[#This Row],[ÇAP mm]]-0.4</f>
        <v/>
      </c>
      <c r="S29" s="3">
        <f>Tablo244[[#This Row],[ÇAP mm]]*1.0075</f>
        <v/>
      </c>
      <c r="T29" s="19">
        <f>Tablo244[[#This Row],[ÇAP mm]]*0.9925</f>
        <v/>
      </c>
      <c r="U29" s="173" t="n"/>
      <c r="V29" s="60" t="n"/>
      <c r="W29" s="60" t="n"/>
      <c r="X29" s="61">
        <f>Tablo244[[#This Row],[ÇAP mm]]/Tablo244[[#This Row],[Et Kalınlığı 4]]</f>
        <v/>
      </c>
      <c r="Y29" s="174">
        <f>Tablo244[[#This Row],[ÇAP mm]]/Tablo244[[#This Row],[Et Kalınlığı 5]]</f>
        <v/>
      </c>
      <c r="Z29" s="520" t="n"/>
      <c r="AA29" s="520" t="n"/>
      <c r="AF29" s="520">
        <f>IF(Tablo244[[#This Row],[ÇAP mm]]/Tablo244[[#This Row],[Et Kalınlığı 4]]&lt;75,Tablo244[[#This Row],[ÇAP mm]]*0.015/2,"Anlaşmaya bağlıdır.")</f>
        <v/>
      </c>
      <c r="AG29" s="64">
        <f>IF(Tablo244[[#This Row],[ÇAP mm]]/Tablo244[[#This Row],[Et Kalınlığı 4]]&lt;75,Tablo244[[#This Row],[ÇAP mm]]*0.02,"Anlaşmaya bağlıdır.")</f>
        <v/>
      </c>
      <c r="AH29" s="520">
        <f>IF(Tablo244[[#This Row],[ÇAP mm]]/Tablo244[[#This Row],[Et Kalınlığı 4]]&lt;75,Tablo244[[#This Row],[ÇAP mm]]*0.015/2,"Anlaşmaya bağlıdır.")</f>
        <v/>
      </c>
      <c r="AI29" s="520">
        <f>IF(Tablo244[[#This Row],[ÇAP mm]]/Tablo244[[#This Row],[Et Kalınlığı 5]]&lt;75,Tablo244[[#This Row],[ÇAP mm]]*0.02,"Anlaşmaya bağlıdır.")</f>
        <v/>
      </c>
      <c r="AJ29" s="11" t="n"/>
      <c r="AK29" s="5" t="n"/>
      <c r="AP29" s="5">
        <f>IF(40*Tablo244[[#This Row],[Et Kalınlığı 4]]&lt;485,Tablo244[[#This Row],[Et Kalınlığı 4]]*40,485)</f>
        <v/>
      </c>
      <c r="AQ29" s="12">
        <f>1940*POWER(ROUND(Tablo151[[#This Row],[Axc mm24]],-1),0.2)/POWER(Tablo244[[#This Row],[Tensile Mpa]],0.9)</f>
        <v/>
      </c>
      <c r="AR29" s="5">
        <f>IF(40*Tablo244[[#This Row],[Et Kalınlığı 5]]&lt;485,Tablo244[[#This Row],[Et Kalınlığı 4]]*40,485)</f>
        <v/>
      </c>
      <c r="AS29" s="64">
        <f>1940*POWER(ROUND(Tablo151[[#This Row],[Axc mm25]],-1),0.2)/POWER(Tablo244[[#This Row],[Tensile Mpa]],0.9)</f>
        <v/>
      </c>
    </row>
    <row r="30">
      <c r="B30" s="43" t="inlineStr">
        <is>
          <t>5"</t>
        </is>
      </c>
      <c r="C30" s="1100" t="n">
        <v>141.3</v>
      </c>
      <c r="D30" s="40" t="inlineStr">
        <is>
          <t>GRADE B</t>
        </is>
      </c>
      <c r="E30" s="44" t="n">
        <v>35500</v>
      </c>
      <c r="F30" s="45" t="n">
        <v>415</v>
      </c>
      <c r="G30" s="49" t="n"/>
      <c r="H30" s="59" t="n"/>
      <c r="I30" s="514" t="n"/>
      <c r="J30" s="514" t="n"/>
      <c r="K30" s="514" t="n"/>
      <c r="L30" s="59" t="n"/>
      <c r="M30" s="514" t="n">
        <v>6.6</v>
      </c>
      <c r="N30" s="52">
        <f>2*Tablo244[[#This Row],[SMYS Psi]]*Tablo244[[#This Row],[Et Kalınlığı 4]]/Tablo244[[#This Row],[ÇAP mm]]/14.50377</f>
        <v/>
      </c>
      <c r="O30" s="59" t="n">
        <v>7.1</v>
      </c>
      <c r="P30" s="59">
        <f>2*Tablo244[[#This Row],[SMYS Psi]]*Tablo244[[#This Row],[Et Kalınlığı 5]]/Tablo244[[#This Row],[ÇAP mm]]/14.50377</f>
        <v/>
      </c>
      <c r="Q30" s="17">
        <f>Tablo244[[#This Row],[ÇAP mm]]+1.6</f>
        <v/>
      </c>
      <c r="R30" s="1100">
        <f>Tablo244[[#This Row],[ÇAP mm]]-0.4</f>
        <v/>
      </c>
      <c r="S30" s="3">
        <f>Tablo244[[#This Row],[ÇAP mm]]*1.0075</f>
        <v/>
      </c>
      <c r="T30" s="19">
        <f>Tablo244[[#This Row],[ÇAP mm]]*0.9925</f>
        <v/>
      </c>
      <c r="U30" s="173" t="n"/>
      <c r="V30" s="60" t="n"/>
      <c r="W30" s="60" t="n"/>
      <c r="X30" s="61">
        <f>Tablo244[[#This Row],[ÇAP mm]]/Tablo244[[#This Row],[Et Kalınlığı 4]]</f>
        <v/>
      </c>
      <c r="Y30" s="174">
        <f>Tablo244[[#This Row],[ÇAP mm]]/Tablo244[[#This Row],[Et Kalınlığı 5]]</f>
        <v/>
      </c>
      <c r="Z30" s="520" t="n"/>
      <c r="AA30" s="520" t="n"/>
      <c r="AF30" s="520">
        <f>IF(Tablo244[[#This Row],[ÇAP mm]]/Tablo244[[#This Row],[Et Kalınlığı 4]]&lt;75,Tablo244[[#This Row],[ÇAP mm]]*0.015/2,"Anlaşmaya bağlıdır.")</f>
        <v/>
      </c>
      <c r="AG30" s="64">
        <f>IF(Tablo244[[#This Row],[ÇAP mm]]/Tablo244[[#This Row],[Et Kalınlığı 4]]&lt;75,Tablo244[[#This Row],[ÇAP mm]]*0.02,"Anlaşmaya bağlıdır.")</f>
        <v/>
      </c>
      <c r="AH30" s="520">
        <f>IF(Tablo244[[#This Row],[ÇAP mm]]/Tablo244[[#This Row],[Et Kalınlığı 5]]&lt;75,Tablo244[[#This Row],[ÇAP mm]]*0.015/2,"Anlaşmaya bağlıdır.")</f>
        <v/>
      </c>
      <c r="AI30" s="520">
        <f>IF(Tablo244[[#This Row],[ÇAP mm]]/Tablo244[[#This Row],[Et Kalınlığı 5]]&lt;75,Tablo244[[#This Row],[ÇAP mm]]*0.02,"Anlaşmaya bağlıdır.")</f>
        <v/>
      </c>
      <c r="AJ30" s="11" t="n"/>
      <c r="AK30" s="5" t="n"/>
      <c r="AP30" s="5">
        <f>IF(40*Tablo244[[#This Row],[Et Kalınlığı 4]]&lt;485,Tablo244[[#This Row],[Et Kalınlığı 4]]*40,485)</f>
        <v/>
      </c>
      <c r="AQ30" s="12">
        <f>1940*POWER(ROUND(Tablo151[[#This Row],[Axc mm24]],-1),0.2)/POWER(Tablo244[[#This Row],[Tensile Mpa]],0.9)</f>
        <v/>
      </c>
      <c r="AR30" s="5">
        <f>IF(40*Tablo244[[#This Row],[Et Kalınlığı 5]]&lt;485,Tablo244[[#This Row],[Et Kalınlığı 4]]*40,485)</f>
        <v/>
      </c>
      <c r="AS30" s="64">
        <f>1940*POWER(ROUND(Tablo151[[#This Row],[Axc mm25]],-1),0.2)/POWER(Tablo244[[#This Row],[Tensile Mpa]],0.9)</f>
        <v/>
      </c>
    </row>
    <row r="31">
      <c r="B31" s="43" t="inlineStr">
        <is>
          <t>6"</t>
        </is>
      </c>
      <c r="C31" s="1100" t="n">
        <v>168.3</v>
      </c>
      <c r="D31" s="1100" t="inlineStr">
        <is>
          <t>X42</t>
        </is>
      </c>
      <c r="E31" s="44" t="n">
        <v>42100</v>
      </c>
      <c r="F31" s="45" t="n">
        <v>415</v>
      </c>
      <c r="G31" s="49" t="n">
        <v>5.2</v>
      </c>
      <c r="H31" s="59">
        <f>2*Tablo244[[#This Row],[SMYS Psi]]*Tablo244[[#This Row],[Et Kalınlığı ]]/Tablo244[[#This Row],[ÇAP mm]]/14.50377</f>
        <v/>
      </c>
      <c r="I31" s="514" t="n">
        <v>5.2</v>
      </c>
      <c r="J31" s="59">
        <f>2*Tablo244[[#This Row],[SMYS Psi]]*Tablo244[[#This Row],[Et Kalınlığı 2]]/Tablo244[[#This Row],[ÇAP mm]]/14.50377</f>
        <v/>
      </c>
      <c r="K31" s="514" t="n">
        <v>5.2</v>
      </c>
      <c r="L31" s="59">
        <f>2*Tablo244[[#This Row],[SMYS Psi]]*Tablo244[[#This Row],[Et Kalınlığı 3]]/Tablo244[[#This Row],[ÇAP mm]]/14.50377</f>
        <v/>
      </c>
      <c r="M31" s="514" t="n">
        <v>6.4</v>
      </c>
      <c r="N31" s="52">
        <f>2*Tablo244[[#This Row],[SMYS Psi]]*Tablo244[[#This Row],[Et Kalınlığı 4]]/Tablo244[[#This Row],[ÇAP mm]]/14.50377</f>
        <v/>
      </c>
      <c r="O31" s="59" t="n">
        <v>6.4</v>
      </c>
      <c r="P31" s="59">
        <f>2*Tablo244[[#This Row],[SMYS Psi]]*Tablo244[[#This Row],[Et Kalınlığı 5]]/Tablo244[[#This Row],[ÇAP mm]]/14.50377</f>
        <v/>
      </c>
      <c r="Q31" s="17">
        <f>IF(Tablo244[[#This Row],[ÇAP mm]]*0.005-1.6&lt;0,Tablo244[[#This Row],[ÇAP mm]]*1.005,Tablo244[[#This Row],[ÇAP mm]]+1.6)</f>
        <v/>
      </c>
      <c r="R31" s="3">
        <f>IF(Tablo244[[#This Row],[ÇAP mm]]*0.005-1.6&lt;0,Tablo244[[#This Row],[ÇAP mm]]*0.995,Tablo244[[#This Row],[ÇAP mm]]-1.6)</f>
        <v/>
      </c>
      <c r="S31" s="3">
        <f>IF(Tablo244[[#This Row],[ÇAP mm]]*0.0075-3.2&lt;0,Tablo244[[#This Row],[ÇAP mm]]*1.0075,Tablo244[[#This Row],[ÇAP mm]]+3.2)</f>
        <v/>
      </c>
      <c r="T31" s="19">
        <f>IF(Tablo244[[#This Row],[ÇAP mm]]*0.005-3.2&lt;0,Tablo244[[#This Row],[ÇAP mm]]*0.9925,Tablo244[[#This Row],[ÇAP mm]]-3.2)</f>
        <v/>
      </c>
      <c r="U31" s="173">
        <f>Tablo244[[#This Row],[ÇAP mm]]/Tablo244[[#This Row],[Et Kalınlığı ]]</f>
        <v/>
      </c>
      <c r="V31" s="60">
        <f>Tablo244[[#This Row],[ÇAP mm]]/Tablo244[[#This Row],[Et Kalınlığı 2]]</f>
        <v/>
      </c>
      <c r="W31" s="60">
        <f>Tablo244[[#This Row],[ÇAP mm]]/Tablo244[[#This Row],[Et Kalınlığı 3]]</f>
        <v/>
      </c>
      <c r="X31" s="61">
        <f>Tablo244[[#This Row],[ÇAP mm]]/Tablo244[[#This Row],[Et Kalınlığı 4]]</f>
        <v/>
      </c>
      <c r="Y31" s="174">
        <f>Tablo244[[#This Row],[ÇAP mm]]/Tablo244[[#This Row],[Et Kalınlığı 5]]</f>
        <v/>
      </c>
      <c r="Z31" s="520">
        <f>IF(Tablo244[[#This Row],[ÇAP mm]]/Tablo244[[#This Row],[Et Kalınlığı ]]&lt;75,Tablo244[[#This Row],[ÇAP mm]]*0.015/2,"Anlaşmaya bağlıdır.")</f>
        <v/>
      </c>
      <c r="AA31" s="520">
        <f>IF(Tablo244[[#This Row],[ÇAP mm]]/Tablo244[[#This Row],[Et Kalınlığı ]]&lt;75,Tablo244[[#This Row],[ÇAP mm]]*0.02,"Anlaşmaya bağlıdır.")</f>
        <v/>
      </c>
      <c r="AB31" s="520">
        <f>IF(Tablo244[[#This Row],[ÇAP mm]]/Tablo244[[#This Row],[Et Kalınlığı ]]&lt;75,Tablo244[[#This Row],[ÇAP mm]]*0.015/2,"Anlaşmaya bağlıdır.")</f>
        <v/>
      </c>
      <c r="AC31" s="520">
        <f>IF(Tablo244[[#This Row],[ÇAP mm]]/Tablo244[[#This Row],[Et Kalınlığı 2]]&lt;75,Tablo244[[#This Row],[ÇAP mm]]*0.02,"Anlaşmaya bağlıdır.")</f>
        <v/>
      </c>
      <c r="AD31" s="520">
        <f>IF(Tablo244[[#This Row],[ÇAP mm]]/Tablo244[[#This Row],[Et Kalınlığı ]]&lt;75,Tablo244[[#This Row],[ÇAP mm]]*0.015/2,"Anlaşmaya bağlıdır.")</f>
        <v/>
      </c>
      <c r="AE31" s="520">
        <f>IF(Tablo244[[#This Row],[ÇAP mm]]/Tablo244[[#This Row],[Et Kalınlığı 3]]&lt;75,Tablo244[[#This Row],[ÇAP mm]]*0.02,"Anlaşmaya bağlıdır.")</f>
        <v/>
      </c>
      <c r="AF31" s="520">
        <f>IF(Tablo244[[#This Row],[ÇAP mm]]/Tablo244[[#This Row],[Et Kalınlığı 4]]&lt;75,Tablo244[[#This Row],[ÇAP mm]]*0.015/2,"Anlaşmaya bağlıdır.")</f>
        <v/>
      </c>
      <c r="AG31" s="64">
        <f>IF(Tablo244[[#This Row],[ÇAP mm]]/Tablo244[[#This Row],[Et Kalınlığı 4]]&lt;75,Tablo244[[#This Row],[ÇAP mm]]*0.02,"Anlaşmaya bağlıdır.")</f>
        <v/>
      </c>
      <c r="AH31" s="520">
        <f>IF(Tablo244[[#This Row],[ÇAP mm]]/Tablo244[[#This Row],[Et Kalınlığı 5]]&lt;75,Tablo244[[#This Row],[ÇAP mm]]*0.015/2,"Anlaşmaya bağlıdır.")</f>
        <v/>
      </c>
      <c r="AI31" s="520">
        <f>IF(Tablo244[[#This Row],[ÇAP mm]]/Tablo244[[#This Row],[Et Kalınlığı 5]]&lt;75,Tablo244[[#This Row],[ÇAP mm]]*0.02,"Anlaşmaya bağlıdır.")</f>
        <v/>
      </c>
      <c r="AJ31" s="11">
        <f>IF(40*Tablo244[[#This Row],[Et Kalınlığı ]]&lt;485,Tablo244[[#This Row],[Et Kalınlığı ]]*40,485)</f>
        <v/>
      </c>
      <c r="AK31" s="5">
        <f>1940*POWER(ROUND(AJ31,-1),0.2)/POWER(Tablo244[[#This Row],[Tensile Mpa]],0.9)</f>
        <v/>
      </c>
      <c r="AL31" s="5">
        <f>IF(40*Tablo244[[#This Row],[Et Kalınlığı 2]]&lt;485,Tablo244[[#This Row],[Et Kalınlığı ]]*40,485)</f>
        <v/>
      </c>
      <c r="AM31" s="5">
        <f>1940*POWER(ROUND(Tablo151[[#This Row],[Axc mm22]],-1),0.2)/POWER(Tablo244[[#This Row],[Tensile Mpa]],0.9)</f>
        <v/>
      </c>
      <c r="AN31" s="5">
        <f>IF(40*Tablo244[[#This Row],[Et Kalınlığı 3]]&lt;485,Tablo244[[#This Row],[Et Kalınlığı ]]*40,485)</f>
        <v/>
      </c>
      <c r="AO31" s="5">
        <f>1940*POWER(ROUND(Tablo151[[#This Row],[Axc mm23]],-1),0.2)/POWER(Tablo244[[#This Row],[Tensile Mpa]],0.9)</f>
        <v/>
      </c>
      <c r="AP31" s="5">
        <f>IF(40*Tablo244[[#This Row],[Et Kalınlığı 4]]&lt;485,Tablo244[[#This Row],[Et Kalınlığı 4]]*40,485)</f>
        <v/>
      </c>
      <c r="AQ31" s="12">
        <f>1940*POWER(ROUND(Tablo151[[#This Row],[Axc mm24]],-1),0.2)/POWER(Tablo244[[#This Row],[Tensile Mpa]],0.9)</f>
        <v/>
      </c>
      <c r="AR31" s="5">
        <f>IF(40*Tablo244[[#This Row],[Et Kalınlığı 5]]&lt;485,Tablo244[[#This Row],[Et Kalınlığı 4]]*40,485)</f>
        <v/>
      </c>
      <c r="AS31" s="64">
        <f>1940*POWER(ROUND(Tablo151[[#This Row],[Axc mm25]],-1),0.2)/POWER(Tablo244[[#This Row],[Tensile Mpa]],0.9)</f>
        <v/>
      </c>
    </row>
    <row r="32">
      <c r="B32" s="43" t="inlineStr">
        <is>
          <t>8"</t>
        </is>
      </c>
      <c r="C32" s="1100" t="n">
        <v>219.1</v>
      </c>
      <c r="D32" s="1100" t="inlineStr">
        <is>
          <t>X42</t>
        </is>
      </c>
      <c r="E32" s="44" t="n">
        <v>42100</v>
      </c>
      <c r="F32" s="45" t="n">
        <v>415</v>
      </c>
      <c r="G32" s="49" t="n">
        <v>5.2</v>
      </c>
      <c r="H32" s="59">
        <f>2*Tablo244[[#This Row],[SMYS Psi]]*Tablo244[[#This Row],[Et Kalınlığı ]]/Tablo244[[#This Row],[ÇAP mm]]/14.50377</f>
        <v/>
      </c>
      <c r="I32" s="514" t="n">
        <v>5.2</v>
      </c>
      <c r="J32" s="59">
        <f>2*Tablo244[[#This Row],[SMYS Psi]]*Tablo244[[#This Row],[Et Kalınlığı 2]]/Tablo244[[#This Row],[ÇAP mm]]/14.50377</f>
        <v/>
      </c>
      <c r="K32" s="514" t="n">
        <v>6.4</v>
      </c>
      <c r="L32" s="59">
        <f>2*Tablo244[[#This Row],[SMYS Psi]]*Tablo244[[#This Row],[Et Kalınlığı 3]]/Tablo244[[#This Row],[ÇAP mm]]/14.50377</f>
        <v/>
      </c>
      <c r="M32" s="514" t="n">
        <v>7.9</v>
      </c>
      <c r="N32" s="52">
        <f>2*Tablo244[[#This Row],[SMYS Psi]]*Tablo244[[#This Row],[Et Kalınlığı 4]]/Tablo244[[#This Row],[ÇAP mm]]/14.50377</f>
        <v/>
      </c>
      <c r="O32" s="59" t="n">
        <v>7.9</v>
      </c>
      <c r="P32" s="59">
        <f>2*Tablo244[[#This Row],[SMYS Psi]]*Tablo244[[#This Row],[Et Kalınlığı 5]]/Tablo244[[#This Row],[ÇAP mm]]/14.50377</f>
        <v/>
      </c>
      <c r="Q32" s="17">
        <f>IF(Tablo244[[#This Row],[ÇAP mm]]*0.005-1.6&lt;0,Tablo244[[#This Row],[ÇAP mm]]*1.005,Tablo244[[#This Row],[ÇAP mm]]+1.6)</f>
        <v/>
      </c>
      <c r="R32" s="3">
        <f>IF(Tablo244[[#This Row],[ÇAP mm]]*0.005-1.6&lt;0,Tablo244[[#This Row],[ÇAP mm]]*0.995,Tablo244[[#This Row],[ÇAP mm]]-1.6)</f>
        <v/>
      </c>
      <c r="S32" s="3">
        <f>IF(Tablo244[[#This Row],[ÇAP mm]]*0.0075-3.2&lt;0,Tablo244[[#This Row],[ÇAP mm]]*1.0075,Tablo244[[#This Row],[ÇAP mm]]+3.2)</f>
        <v/>
      </c>
      <c r="T32" s="19">
        <f>IF(Tablo244[[#This Row],[ÇAP mm]]*0.005-3.2&lt;0,Tablo244[[#This Row],[ÇAP mm]]*0.9925,Tablo244[[#This Row],[ÇAP mm]]-3.2)</f>
        <v/>
      </c>
      <c r="U32" s="173">
        <f>Tablo244[[#This Row],[ÇAP mm]]/Tablo244[[#This Row],[Et Kalınlığı ]]</f>
        <v/>
      </c>
      <c r="V32" s="60">
        <f>Tablo244[[#This Row],[ÇAP mm]]/Tablo244[[#This Row],[Et Kalınlığı 2]]</f>
        <v/>
      </c>
      <c r="W32" s="60">
        <f>Tablo244[[#This Row],[ÇAP mm]]/Tablo244[[#This Row],[Et Kalınlığı 3]]</f>
        <v/>
      </c>
      <c r="X32" s="61">
        <f>Tablo244[[#This Row],[ÇAP mm]]/Tablo244[[#This Row],[Et Kalınlığı 4]]</f>
        <v/>
      </c>
      <c r="Y32" s="174">
        <f>Tablo244[[#This Row],[ÇAP mm]]/Tablo244[[#This Row],[Et Kalınlığı 5]]</f>
        <v/>
      </c>
      <c r="Z32" s="520">
        <f>Tablo244[[#This Row],[ÇAP mm]]*0.015/2</f>
        <v/>
      </c>
      <c r="AA32" s="520">
        <f>Tablo244[[#This Row],[ÇAP mm]]*0.02</f>
        <v/>
      </c>
      <c r="AB32" s="520">
        <f>Tablo244[[#This Row],[ÇAP mm]]*0.015/2</f>
        <v/>
      </c>
      <c r="AC32" s="520">
        <f>Tablo244[[#This Row],[ÇAP mm]]*0.02</f>
        <v/>
      </c>
      <c r="AD32" s="520">
        <f>Tablo244[[#This Row],[ÇAP mm]]*0.015/2</f>
        <v/>
      </c>
      <c r="AE32" s="520">
        <f>Tablo244[[#This Row],[ÇAP mm]]*0.02</f>
        <v/>
      </c>
      <c r="AF32" s="520">
        <f>IF(Tablo244[[#This Row],[ÇAP mm]]/Tablo244[[#This Row],[Et Kalınlığı 4]]&lt;75,Tablo244[[#This Row],[ÇAP mm]]*0.015/2,"Anlaşmaya bağlıdır.")</f>
        <v/>
      </c>
      <c r="AG32" s="64">
        <f>Tablo244[[#This Row],[ÇAP mm]]*0.02</f>
        <v/>
      </c>
      <c r="AH32" s="520">
        <f>IF(Tablo244[[#This Row],[ÇAP mm]]/Tablo244[[#This Row],[Et Kalınlığı 5]]&lt;75,Tablo244[[#This Row],[ÇAP mm]]*0.015/2,"Anlaşmaya bağlıdır.")</f>
        <v/>
      </c>
      <c r="AI32" s="520">
        <f>Tablo244[[#This Row],[ÇAP mm]]*0.02</f>
        <v/>
      </c>
      <c r="AJ32" s="11">
        <f>IF(40*Tablo244[[#This Row],[Et Kalınlığı ]]&lt;485,Tablo244[[#This Row],[Et Kalınlığı ]]*40,485)</f>
        <v/>
      </c>
      <c r="AK32" s="5">
        <f>1940*POWER(ROUND(AJ32,-1),0.2)/POWER(Tablo244[[#This Row],[Tensile Mpa]],0.9)</f>
        <v/>
      </c>
      <c r="AL32" s="5">
        <f>IF(40*Tablo244[[#This Row],[Et Kalınlığı 2]]&lt;485,Tablo244[[#This Row],[Et Kalınlığı ]]*40,485)</f>
        <v/>
      </c>
      <c r="AM32" s="5">
        <f>1940*POWER(ROUND(Tablo151[[#This Row],[Axc mm22]],-1),0.2)/POWER(Tablo244[[#This Row],[Tensile Mpa]],0.9)</f>
        <v/>
      </c>
      <c r="AN32" s="5">
        <f>IF(40*Tablo244[[#This Row],[Et Kalınlığı 3]]&lt;485,Tablo244[[#This Row],[Et Kalınlığı ]]*40,485)</f>
        <v/>
      </c>
      <c r="AO32" s="5">
        <f>1940*POWER(ROUND(Tablo151[[#This Row],[Axc mm23]],-1),0.2)/POWER(Tablo244[[#This Row],[Tensile Mpa]],0.9)</f>
        <v/>
      </c>
      <c r="AP32" s="5">
        <f>IF(40*Tablo244[[#This Row],[Et Kalınlığı 4]]&lt;485,Tablo244[[#This Row],[Et Kalınlığı 4]]*40,485)</f>
        <v/>
      </c>
      <c r="AQ32" s="12">
        <f>1940*POWER(ROUND(Tablo151[[#This Row],[Axc mm24]],-1),0.2)/POWER(Tablo244[[#This Row],[Tensile Mpa]],0.9)</f>
        <v/>
      </c>
      <c r="AR32" s="5">
        <f>IF(40*Tablo244[[#This Row],[Et Kalınlığı 5]]&lt;485,Tablo244[[#This Row],[Et Kalınlığı 4]]*40,485)</f>
        <v/>
      </c>
      <c r="AS32" s="64">
        <f>1940*POWER(ROUND(Tablo151[[#This Row],[Axc mm25]],-1),0.2)/POWER(Tablo244[[#This Row],[Tensile Mpa]],0.9)</f>
        <v/>
      </c>
    </row>
    <row r="33">
      <c r="B33" s="43" t="inlineStr">
        <is>
          <t>10"</t>
        </is>
      </c>
      <c r="C33" s="1100" t="n">
        <v>273.1</v>
      </c>
      <c r="D33" s="1100" t="inlineStr">
        <is>
          <t>X46</t>
        </is>
      </c>
      <c r="E33" s="44" t="n">
        <v>46400</v>
      </c>
      <c r="F33" s="45" t="n">
        <v>435</v>
      </c>
      <c r="G33" s="49" t="n">
        <v>5.2</v>
      </c>
      <c r="H33" s="59">
        <f>2*Tablo244[[#This Row],[SMYS Psi]]*Tablo244[[#This Row],[Et Kalınlığı ]]/Tablo244[[#This Row],[ÇAP mm]]/14.50377</f>
        <v/>
      </c>
      <c r="I33" s="514" t="n">
        <v>5.6</v>
      </c>
      <c r="J33" s="59">
        <f>2*Tablo244[[#This Row],[SMYS Psi]]*Tablo244[[#This Row],[Et Kalınlığı 2]]/Tablo244[[#This Row],[ÇAP mm]]/14.50377</f>
        <v/>
      </c>
      <c r="K33" s="514" t="n">
        <v>7.1</v>
      </c>
      <c r="L33" s="59">
        <f>2*Tablo244[[#This Row],[SMYS Psi]]*Tablo244[[#This Row],[Et Kalınlığı 3]]/Tablo244[[#This Row],[ÇAP mm]]/14.50377</f>
        <v/>
      </c>
      <c r="M33" s="514" t="n">
        <v>8.699999999999999</v>
      </c>
      <c r="N33" s="52">
        <f>2*Tablo244[[#This Row],[SMYS Psi]]*Tablo244[[#This Row],[Et Kalınlığı 4]]/Tablo244[[#This Row],[ÇAP mm]]/14.50377</f>
        <v/>
      </c>
      <c r="O33" s="59" t="n">
        <v>8.699999999999999</v>
      </c>
      <c r="P33" s="59">
        <f>2*Tablo244[[#This Row],[SMYS Psi]]*Tablo244[[#This Row],[Et Kalınlığı 5]]/Tablo244[[#This Row],[ÇAP mm]]/14.50377</f>
        <v/>
      </c>
      <c r="Q33" s="17">
        <f>IF(Tablo244[[#This Row],[ÇAP mm]]*0.005-1.6&lt;0,Tablo244[[#This Row],[ÇAP mm]]*1.005,Tablo244[[#This Row],[ÇAP mm]]+1.6)</f>
        <v/>
      </c>
      <c r="R33" s="3">
        <f>IF(Tablo244[[#This Row],[ÇAP mm]]*0.005-1.6&lt;0,Tablo244[[#This Row],[ÇAP mm]]*0.995,Tablo244[[#This Row],[ÇAP mm]]-1.6)</f>
        <v/>
      </c>
      <c r="S33" s="3">
        <f>IF(Tablo244[[#This Row],[ÇAP mm]]*0.0075-3.2&lt;0,Tablo244[[#This Row],[ÇAP mm]]*1.0075,Tablo244[[#This Row],[ÇAP mm]]+3.2)</f>
        <v/>
      </c>
      <c r="T33" s="19">
        <f>IF(Tablo244[[#This Row],[ÇAP mm]]*0.005-3.2&lt;0,Tablo244[[#This Row],[ÇAP mm]]*0.9925,Tablo244[[#This Row],[ÇAP mm]]-3.2)</f>
        <v/>
      </c>
      <c r="U33" s="173">
        <f>Tablo244[[#This Row],[ÇAP mm]]/Tablo244[[#This Row],[Et Kalınlığı ]]</f>
        <v/>
      </c>
      <c r="V33" s="60">
        <f>Tablo244[[#This Row],[ÇAP mm]]/Tablo244[[#This Row],[Et Kalınlığı 2]]</f>
        <v/>
      </c>
      <c r="W33" s="60">
        <f>Tablo244[[#This Row],[ÇAP mm]]/Tablo244[[#This Row],[Et Kalınlığı 3]]</f>
        <v/>
      </c>
      <c r="X33" s="61">
        <f>Tablo244[[#This Row],[ÇAP mm]]/Tablo244[[#This Row],[Et Kalınlığı 4]]</f>
        <v/>
      </c>
      <c r="Y33" s="174">
        <f>Tablo244[[#This Row],[ÇAP mm]]/Tablo244[[#This Row],[Et Kalınlığı 5]]</f>
        <v/>
      </c>
      <c r="Z33" s="520">
        <f>Tablo244[[#This Row],[ÇAP mm]]*0.015/2</f>
        <v/>
      </c>
      <c r="AA33" s="520">
        <f>Tablo244[[#This Row],[ÇAP mm]]*0.02</f>
        <v/>
      </c>
      <c r="AB33" s="520">
        <f>Tablo244[[#This Row],[ÇAP mm]]*0.015/2</f>
        <v/>
      </c>
      <c r="AC33" s="520">
        <f>Tablo244[[#This Row],[ÇAP mm]]*0.02</f>
        <v/>
      </c>
      <c r="AD33" s="520">
        <f>Tablo244[[#This Row],[ÇAP mm]]*0.015/2</f>
        <v/>
      </c>
      <c r="AE33" s="520">
        <f>Tablo244[[#This Row],[ÇAP mm]]*0.02</f>
        <v/>
      </c>
      <c r="AF33" s="520">
        <f>IF(Tablo244[[#This Row],[ÇAP mm]]/Tablo244[[#This Row],[Et Kalınlığı 4]]&lt;75,Tablo244[[#This Row],[ÇAP mm]]*0.015/2,"Anlaşmaya bağlıdır.")</f>
        <v/>
      </c>
      <c r="AG33" s="64">
        <f>Tablo244[[#This Row],[ÇAP mm]]*0.02</f>
        <v/>
      </c>
      <c r="AH33" s="520">
        <f>IF(Tablo244[[#This Row],[ÇAP mm]]/Tablo244[[#This Row],[Et Kalınlığı 5]]&lt;75,Tablo244[[#This Row],[ÇAP mm]]*0.015/2,"Anlaşmaya bağlıdır.")</f>
        <v/>
      </c>
      <c r="AI33" s="520">
        <f>Tablo244[[#This Row],[ÇAP mm]]*0.02</f>
        <v/>
      </c>
      <c r="AJ33" s="11">
        <f>IF(40*Tablo244[[#This Row],[Et Kalınlığı ]]&lt;485,Tablo244[[#This Row],[Et Kalınlığı ]]*40,485)</f>
        <v/>
      </c>
      <c r="AK33" s="5">
        <f>1940*POWER(ROUND(AJ33,-1),0.2)/POWER(Tablo244[[#This Row],[Tensile Mpa]],0.9)</f>
        <v/>
      </c>
      <c r="AL33" s="5">
        <f>IF(40*Tablo244[[#This Row],[Et Kalınlığı 2]]&lt;485,Tablo244[[#This Row],[Et Kalınlığı ]]*40,485)</f>
        <v/>
      </c>
      <c r="AM33" s="5">
        <f>1940*POWER(ROUND(Tablo151[[#This Row],[Axc mm22]],-1),0.2)/POWER(Tablo244[[#This Row],[Tensile Mpa]],0.9)</f>
        <v/>
      </c>
      <c r="AN33" s="5">
        <f>IF(40*Tablo244[[#This Row],[Et Kalınlığı 3]]&lt;485,Tablo244[[#This Row],[Et Kalınlığı ]]*40,485)</f>
        <v/>
      </c>
      <c r="AO33" s="5">
        <f>1940*POWER(ROUND(Tablo151[[#This Row],[Axc mm23]],-1),0.2)/POWER(Tablo244[[#This Row],[Tensile Mpa]],0.9)</f>
        <v/>
      </c>
      <c r="AP33" s="5">
        <f>IF(40*Tablo244[[#This Row],[Et Kalınlığı 4]]&lt;485,Tablo244[[#This Row],[Et Kalınlığı 4]]*40,485)</f>
        <v/>
      </c>
      <c r="AQ33" s="12">
        <f>1940*POWER(ROUND(Tablo151[[#This Row],[Axc mm24]],-1),0.2)/POWER(Tablo244[[#This Row],[Tensile Mpa]],0.9)</f>
        <v/>
      </c>
      <c r="AR33" s="5">
        <f>IF(40*Tablo244[[#This Row],[Et Kalınlığı 5]]&lt;485,Tablo244[[#This Row],[Et Kalınlığı 4]]*40,485)</f>
        <v/>
      </c>
      <c r="AS33" s="64">
        <f>1940*POWER(ROUND(Tablo151[[#This Row],[Axc mm25]],-1),0.2)/POWER(Tablo244[[#This Row],[Tensile Mpa]],0.9)</f>
        <v/>
      </c>
    </row>
    <row r="34">
      <c r="B34" s="43" t="inlineStr">
        <is>
          <t>12"</t>
        </is>
      </c>
      <c r="C34" s="1100" t="n">
        <v>323.9</v>
      </c>
      <c r="D34" s="1100" t="inlineStr">
        <is>
          <t>X52</t>
        </is>
      </c>
      <c r="E34" s="44" t="n">
        <v>52200</v>
      </c>
      <c r="F34" s="45" t="n">
        <v>460</v>
      </c>
      <c r="G34" s="49" t="n">
        <v>5.2</v>
      </c>
      <c r="H34" s="59">
        <f>2*Tablo244[[#This Row],[SMYS Psi]]*Tablo244[[#This Row],[Et Kalınlığı ]]/Tablo244[[#This Row],[ÇAP mm]]/14.50377</f>
        <v/>
      </c>
      <c r="I34" s="514" t="n">
        <v>6.4</v>
      </c>
      <c r="J34" s="59">
        <f>2*Tablo244[[#This Row],[SMYS Psi]]*Tablo244[[#This Row],[Et Kalınlığı 2]]/Tablo244[[#This Row],[ÇAP mm]]/14.50377</f>
        <v/>
      </c>
      <c r="K34" s="514" t="n">
        <v>7.1</v>
      </c>
      <c r="L34" s="59">
        <f>2*Tablo244[[#This Row],[SMYS Psi]]*Tablo244[[#This Row],[Et Kalınlığı 3]]/Tablo244[[#This Row],[ÇAP mm]]/14.50377</f>
        <v/>
      </c>
      <c r="M34" s="514" t="n">
        <v>8.4</v>
      </c>
      <c r="N34" s="52">
        <f>2*Tablo244[[#This Row],[SMYS Psi]]*Tablo244[[#This Row],[Et Kalınlığı 4]]/Tablo244[[#This Row],[ÇAP mm]]/14.50377</f>
        <v/>
      </c>
      <c r="O34" s="59" t="n">
        <v>9.5</v>
      </c>
      <c r="P34" s="59">
        <f>2*Tablo244[[#This Row],[SMYS Psi]]*Tablo244[[#This Row],[Et Kalınlığı 5]]/Tablo244[[#This Row],[ÇAP mm]]/14.50377</f>
        <v/>
      </c>
      <c r="Q34" s="17">
        <f>IF(Tablo244[[#This Row],[ÇAP mm]]*0.005-1.6&lt;0,Tablo244[[#This Row],[ÇAP mm]]*1.005,Tablo244[[#This Row],[ÇAP mm]]+1.6)</f>
        <v/>
      </c>
      <c r="R34" s="3">
        <f>IF(Tablo244[[#This Row],[ÇAP mm]]*0.005-1.6&lt;0,Tablo244[[#This Row],[ÇAP mm]]*0.995,Tablo244[[#This Row],[ÇAP mm]]-1.6)</f>
        <v/>
      </c>
      <c r="S34" s="3">
        <f>IF(Tablo244[[#This Row],[ÇAP mm]]*0.0075-3.2&lt;0,Tablo244[[#This Row],[ÇAP mm]]*1.0075,Tablo244[[#This Row],[ÇAP mm]]+3.2)</f>
        <v/>
      </c>
      <c r="T34" s="19">
        <f>IF(Tablo244[[#This Row],[ÇAP mm]]*0.005-3.2&lt;0,Tablo244[[#This Row],[ÇAP mm]]*0.9925,Tablo244[[#This Row],[ÇAP mm]]-3.2)</f>
        <v/>
      </c>
      <c r="U34" s="173">
        <f>Tablo244[[#This Row],[ÇAP mm]]/Tablo244[[#This Row],[Et Kalınlığı ]]</f>
        <v/>
      </c>
      <c r="V34" s="60">
        <f>Tablo244[[#This Row],[ÇAP mm]]/Tablo244[[#This Row],[Et Kalınlığı 2]]</f>
        <v/>
      </c>
      <c r="W34" s="60">
        <f>Tablo244[[#This Row],[ÇAP mm]]/Tablo244[[#This Row],[Et Kalınlığı 3]]</f>
        <v/>
      </c>
      <c r="X34" s="61">
        <f>Tablo244[[#This Row],[ÇAP mm]]/Tablo244[[#This Row],[Et Kalınlığı 4]]</f>
        <v/>
      </c>
      <c r="Y34" s="174">
        <f>Tablo244[[#This Row],[ÇAP mm]]/Tablo244[[#This Row],[Et Kalınlığı 5]]</f>
        <v/>
      </c>
      <c r="Z34" s="520">
        <f>Tablo244[[#This Row],[ÇAP mm]]*0.015/2</f>
        <v/>
      </c>
      <c r="AA34" s="520">
        <f>Tablo244[[#This Row],[ÇAP mm]]*0.02</f>
        <v/>
      </c>
      <c r="AB34" s="520">
        <f>Tablo244[[#This Row],[ÇAP mm]]*0.015/2</f>
        <v/>
      </c>
      <c r="AC34" s="520">
        <f>Tablo244[[#This Row],[ÇAP mm]]*0.02</f>
        <v/>
      </c>
      <c r="AD34" s="520">
        <f>Tablo244[[#This Row],[ÇAP mm]]*0.015/2</f>
        <v/>
      </c>
      <c r="AE34" s="520">
        <f>Tablo244[[#This Row],[ÇAP mm]]*0.02</f>
        <v/>
      </c>
      <c r="AF34" s="520">
        <f>IF(Tablo244[[#This Row],[ÇAP mm]]/Tablo244[[#This Row],[Et Kalınlığı 4]]&lt;75,Tablo244[[#This Row],[ÇAP mm]]*0.015/2,"Anlaşmaya bağlıdır.")</f>
        <v/>
      </c>
      <c r="AG34" s="64">
        <f>Tablo244[[#This Row],[ÇAP mm]]*0.02</f>
        <v/>
      </c>
      <c r="AH34" s="520">
        <f>IF(Tablo244[[#This Row],[ÇAP mm]]/Tablo244[[#This Row],[Et Kalınlığı 5]]&lt;75,Tablo244[[#This Row],[ÇAP mm]]*0.015/2,"Anlaşmaya bağlıdır.")</f>
        <v/>
      </c>
      <c r="AI34" s="520">
        <f>Tablo244[[#This Row],[ÇAP mm]]*0.02</f>
        <v/>
      </c>
      <c r="AJ34" s="11">
        <f>IF(40*Tablo244[[#This Row],[Et Kalınlığı ]]&lt;485,Tablo244[[#This Row],[Et Kalınlığı ]]*40,485)</f>
        <v/>
      </c>
      <c r="AK34" s="5">
        <f>1940*POWER(ROUND(AJ34,-1),0.2)/POWER(Tablo244[[#This Row],[Tensile Mpa]],0.9)</f>
        <v/>
      </c>
      <c r="AL34" s="5">
        <f>IF(40*Tablo244[[#This Row],[Et Kalınlığı 2]]&lt;485,Tablo244[[#This Row],[Et Kalınlığı ]]*40,485)</f>
        <v/>
      </c>
      <c r="AM34" s="5">
        <f>1940*POWER(ROUND(Tablo151[[#This Row],[Axc mm22]],-1),0.2)/POWER(Tablo244[[#This Row],[Tensile Mpa]],0.9)</f>
        <v/>
      </c>
      <c r="AN34" s="5">
        <f>IF(40*Tablo244[[#This Row],[Et Kalınlığı 3]]&lt;485,Tablo244[[#This Row],[Et Kalınlığı ]]*40,485)</f>
        <v/>
      </c>
      <c r="AO34" s="5">
        <f>1940*POWER(ROUND(Tablo151[[#This Row],[Axc mm23]],-1),0.2)/POWER(Tablo244[[#This Row],[Tensile Mpa]],0.9)</f>
        <v/>
      </c>
      <c r="AP34" s="5">
        <f>IF(40*Tablo244[[#This Row],[Et Kalınlığı 4]]&lt;485,Tablo244[[#This Row],[Et Kalınlığı 4]]*40,485)</f>
        <v/>
      </c>
      <c r="AQ34" s="12">
        <f>1940*POWER(ROUND(Tablo151[[#This Row],[Axc mm24]],-1),0.2)/POWER(Tablo244[[#This Row],[Tensile Mpa]],0.9)</f>
        <v/>
      </c>
      <c r="AR34" s="5">
        <f>IF(40*Tablo244[[#This Row],[Et Kalınlığı 5]]&lt;485,Tablo244[[#This Row],[Et Kalınlığı 4]]*40,485)</f>
        <v/>
      </c>
      <c r="AS34" s="64">
        <f>1940*POWER(ROUND(Tablo151[[#This Row],[Axc mm25]],-1),0.2)/POWER(Tablo244[[#This Row],[Tensile Mpa]],0.9)</f>
        <v/>
      </c>
    </row>
    <row r="35">
      <c r="B35" s="43" t="inlineStr">
        <is>
          <t>14"</t>
        </is>
      </c>
      <c r="C35" s="1100" t="n">
        <v>355.6</v>
      </c>
      <c r="D35" s="1100" t="inlineStr">
        <is>
          <t>X52</t>
        </is>
      </c>
      <c r="E35" s="44" t="n">
        <v>52200</v>
      </c>
      <c r="F35" s="45" t="n">
        <v>460</v>
      </c>
      <c r="G35" s="49" t="n">
        <v>5.2</v>
      </c>
      <c r="H35" s="59">
        <f>2*Tablo244[[#This Row],[SMYS Psi]]*Tablo244[[#This Row],[Et Kalınlığı ]]/Tablo244[[#This Row],[ÇAP mm]]/14.50377</f>
        <v/>
      </c>
      <c r="I35" s="514" t="n">
        <v>6.4</v>
      </c>
      <c r="J35" s="59">
        <f>2*Tablo244[[#This Row],[SMYS Psi]]*Tablo244[[#This Row],[Et Kalınlığı 2]]/Tablo244[[#This Row],[ÇAP mm]]/14.50377</f>
        <v/>
      </c>
      <c r="K35" s="514" t="n">
        <v>7.9</v>
      </c>
      <c r="L35" s="59">
        <f>2*Tablo244[[#This Row],[SMYS Psi]]*Tablo244[[#This Row],[Et Kalınlığı 3]]/Tablo244[[#This Row],[ÇAP mm]]/14.50377</f>
        <v/>
      </c>
      <c r="M35" s="514" t="n">
        <v>9.5</v>
      </c>
      <c r="N35" s="52">
        <f>2*Tablo244[[#This Row],[SMYS Psi]]*Tablo244[[#This Row],[Et Kalınlığı 4]]/Tablo244[[#This Row],[ÇAP mm]]/14.50377</f>
        <v/>
      </c>
      <c r="O35" s="59" t="n">
        <v>10.3</v>
      </c>
      <c r="P35" s="59">
        <f>2*Tablo244[[#This Row],[SMYS Psi]]*Tablo244[[#This Row],[Et Kalınlığı 5]]/Tablo244[[#This Row],[ÇAP mm]]/14.50377</f>
        <v/>
      </c>
      <c r="Q35" s="17">
        <f>IF(Tablo244[[#This Row],[ÇAP mm]]*0.005-1.6&lt;0,Tablo244[[#This Row],[ÇAP mm]]*1.005,Tablo244[[#This Row],[ÇAP mm]]+1.6)</f>
        <v/>
      </c>
      <c r="R35" s="3">
        <f>IF(Tablo244[[#This Row],[ÇAP mm]]*0.005-1.6&lt;0,Tablo244[[#This Row],[ÇAP mm]]*0.995,Tablo244[[#This Row],[ÇAP mm]]-1.6)</f>
        <v/>
      </c>
      <c r="S35" s="3">
        <f>IF(Tablo244[[#This Row],[ÇAP mm]]*0.0075-3.2&lt;0,Tablo244[[#This Row],[ÇAP mm]]*1.0075,Tablo244[[#This Row],[ÇAP mm]]+3.2)</f>
        <v/>
      </c>
      <c r="T35" s="19">
        <f>IF(Tablo244[[#This Row],[ÇAP mm]]*0.005-3.2&lt;0,Tablo244[[#This Row],[ÇAP mm]]*0.9925,Tablo244[[#This Row],[ÇAP mm]]-3.2)</f>
        <v/>
      </c>
      <c r="U35" s="173">
        <f>Tablo244[[#This Row],[ÇAP mm]]/Tablo244[[#This Row],[Et Kalınlığı ]]</f>
        <v/>
      </c>
      <c r="V35" s="60">
        <f>Tablo244[[#This Row],[ÇAP mm]]/Tablo244[[#This Row],[Et Kalınlığı 2]]</f>
        <v/>
      </c>
      <c r="W35" s="60">
        <f>Tablo244[[#This Row],[ÇAP mm]]/Tablo244[[#This Row],[Et Kalınlığı 3]]</f>
        <v/>
      </c>
      <c r="X35" s="61">
        <f>Tablo244[[#This Row],[ÇAP mm]]/Tablo244[[#This Row],[Et Kalınlığı 4]]</f>
        <v/>
      </c>
      <c r="Y35" s="174">
        <f>Tablo244[[#This Row],[ÇAP mm]]/Tablo244[[#This Row],[Et Kalınlığı 5]]</f>
        <v/>
      </c>
      <c r="Z35" s="520">
        <f>Tablo244[[#This Row],[ÇAP mm]]*0.015/2</f>
        <v/>
      </c>
      <c r="AA35" s="520">
        <f>Tablo244[[#This Row],[ÇAP mm]]*0.02</f>
        <v/>
      </c>
      <c r="AB35" s="520">
        <f>Tablo244[[#This Row],[ÇAP mm]]*0.015/2</f>
        <v/>
      </c>
      <c r="AC35" s="520">
        <f>Tablo244[[#This Row],[ÇAP mm]]*0.02</f>
        <v/>
      </c>
      <c r="AD35" s="520">
        <f>Tablo244[[#This Row],[ÇAP mm]]*0.015/2</f>
        <v/>
      </c>
      <c r="AE35" s="520">
        <f>Tablo244[[#This Row],[ÇAP mm]]*0.02</f>
        <v/>
      </c>
      <c r="AF35" s="520">
        <f>IF(Tablo244[[#This Row],[ÇAP mm]]/Tablo244[[#This Row],[Et Kalınlığı 4]]&lt;75,Tablo244[[#This Row],[ÇAP mm]]*0.015/2,"Anlaşmaya bağlıdır.")</f>
        <v/>
      </c>
      <c r="AG35" s="64">
        <f>Tablo244[[#This Row],[ÇAP mm]]*0.02</f>
        <v/>
      </c>
      <c r="AH35" s="520">
        <f>IF(Tablo244[[#This Row],[ÇAP mm]]/Tablo244[[#This Row],[Et Kalınlığı 5]]&lt;75,Tablo244[[#This Row],[ÇAP mm]]*0.015/2,"Anlaşmaya bağlıdır.")</f>
        <v/>
      </c>
      <c r="AI35" s="520">
        <f>Tablo244[[#This Row],[ÇAP mm]]*0.02</f>
        <v/>
      </c>
      <c r="AJ35" s="11">
        <f>IF(40*Tablo244[[#This Row],[Et Kalınlığı ]]&lt;485,Tablo244[[#This Row],[Et Kalınlığı ]]*40,485)</f>
        <v/>
      </c>
      <c r="AK35" s="5">
        <f>1940*POWER(ROUND(AJ35,-1),0.2)/POWER(Tablo244[[#This Row],[Tensile Mpa]],0.9)</f>
        <v/>
      </c>
      <c r="AL35" s="5">
        <f>IF(40*Tablo244[[#This Row],[Et Kalınlığı 2]]&lt;485,Tablo244[[#This Row],[Et Kalınlığı ]]*40,485)</f>
        <v/>
      </c>
      <c r="AM35" s="5">
        <f>1940*POWER(ROUND(Tablo151[[#This Row],[Axc mm22]],-1),0.2)/POWER(Tablo244[[#This Row],[Tensile Mpa]],0.9)</f>
        <v/>
      </c>
      <c r="AN35" s="5">
        <f>IF(40*Tablo244[[#This Row],[Et Kalınlığı 3]]&lt;485,Tablo244[[#This Row],[Et Kalınlığı ]]*40,485)</f>
        <v/>
      </c>
      <c r="AO35" s="5">
        <f>1940*POWER(ROUND(Tablo151[[#This Row],[Axc mm23]],-1),0.2)/POWER(Tablo244[[#This Row],[Tensile Mpa]],0.9)</f>
        <v/>
      </c>
      <c r="AP35" s="5">
        <f>IF(40*Tablo244[[#This Row],[Et Kalınlığı 4]]&lt;485,Tablo244[[#This Row],[Et Kalınlığı 4]]*40,485)</f>
        <v/>
      </c>
      <c r="AQ35" s="12">
        <f>1940*POWER(ROUND(Tablo151[[#This Row],[Axc mm24]],-1),0.2)/POWER(Tablo244[[#This Row],[Tensile Mpa]],0.9)</f>
        <v/>
      </c>
      <c r="AR35" s="5">
        <f>IF(40*Tablo244[[#This Row],[Et Kalınlığı 5]]&lt;485,Tablo244[[#This Row],[Et Kalınlığı 4]]*40,485)</f>
        <v/>
      </c>
      <c r="AS35" s="64">
        <f>1940*POWER(ROUND(Tablo151[[#This Row],[Axc mm25]],-1),0.2)/POWER(Tablo244[[#This Row],[Tensile Mpa]],0.9)</f>
        <v/>
      </c>
    </row>
    <row r="36">
      <c r="B36" s="43" t="inlineStr">
        <is>
          <t>16"</t>
        </is>
      </c>
      <c r="C36" s="1100" t="n">
        <v>406.4</v>
      </c>
      <c r="D36" s="1100" t="inlineStr">
        <is>
          <t>X60</t>
        </is>
      </c>
      <c r="E36" s="44" t="n">
        <v>60200</v>
      </c>
      <c r="F36" s="45" t="n">
        <v>520</v>
      </c>
      <c r="G36" s="49" t="n">
        <v>5.2</v>
      </c>
      <c r="H36" s="59">
        <f>2*Tablo244[[#This Row],[SMYS Psi]]*Tablo244[[#This Row],[Et Kalınlığı ]]/Tablo244[[#This Row],[ÇAP mm]]/14.50377</f>
        <v/>
      </c>
      <c r="I36" s="514" t="n">
        <v>6.4</v>
      </c>
      <c r="J36" s="59">
        <f>2*Tablo244[[#This Row],[SMYS Psi]]*Tablo244[[#This Row],[Et Kalınlığı 2]]/Tablo244[[#This Row],[ÇAP mm]]/14.50377</f>
        <v/>
      </c>
      <c r="K36" s="514" t="n">
        <v>7.9</v>
      </c>
      <c r="L36" s="59">
        <f>2*Tablo244[[#This Row],[SMYS Psi]]*Tablo244[[#This Row],[Et Kalınlığı 3]]/Tablo244[[#This Row],[ÇAP mm]]/14.50377</f>
        <v/>
      </c>
      <c r="M36" s="514" t="n">
        <v>9.5</v>
      </c>
      <c r="N36" s="52">
        <f>2*Tablo244[[#This Row],[SMYS Psi]]*Tablo244[[#This Row],[Et Kalınlığı 4]]/Tablo244[[#This Row],[ÇAP mm]]/14.50377</f>
        <v/>
      </c>
      <c r="O36" s="59" t="n">
        <v>10.3</v>
      </c>
      <c r="P36" s="59">
        <f>2*Tablo244[[#This Row],[SMYS Psi]]*Tablo244[[#This Row],[Et Kalınlığı 5]]/Tablo244[[#This Row],[ÇAP mm]]/14.50377</f>
        <v/>
      </c>
      <c r="Q36" s="17">
        <f>IF(Tablo244[[#This Row],[ÇAP mm]]*0.005-1.6&lt;0,Tablo244[[#This Row],[ÇAP mm]]*1.005,Tablo244[[#This Row],[ÇAP mm]]+1.6)</f>
        <v/>
      </c>
      <c r="R36" s="3">
        <f>IF(Tablo244[[#This Row],[ÇAP mm]]*0.005-1.6&lt;0,Tablo244[[#This Row],[ÇAP mm]]*0.995,Tablo244[[#This Row],[ÇAP mm]]-1.6)</f>
        <v/>
      </c>
      <c r="S36" s="3">
        <f>IF(Tablo244[[#This Row],[ÇAP mm]]*0.0075-3.2&lt;0,Tablo244[[#This Row],[ÇAP mm]]*1.0075,Tablo244[[#This Row],[ÇAP mm]]+3.2)</f>
        <v/>
      </c>
      <c r="T36" s="19">
        <f>IF(Tablo244[[#This Row],[ÇAP mm]]*0.005-3.2&lt;0,Tablo244[[#This Row],[ÇAP mm]]*0.9925,Tablo244[[#This Row],[ÇAP mm]]-3.2)</f>
        <v/>
      </c>
      <c r="U36" s="173">
        <f>Tablo244[[#This Row],[ÇAP mm]]/Tablo244[[#This Row],[Et Kalınlığı ]]</f>
        <v/>
      </c>
      <c r="V36" s="60">
        <f>Tablo244[[#This Row],[ÇAP mm]]/Tablo244[[#This Row],[Et Kalınlığı 2]]</f>
        <v/>
      </c>
      <c r="W36" s="60">
        <f>Tablo244[[#This Row],[ÇAP mm]]/Tablo244[[#This Row],[Et Kalınlığı 3]]</f>
        <v/>
      </c>
      <c r="X36" s="61">
        <f>Tablo244[[#This Row],[ÇAP mm]]/Tablo244[[#This Row],[Et Kalınlığı 4]]</f>
        <v/>
      </c>
      <c r="Y36" s="174">
        <f>Tablo244[[#This Row],[ÇAP mm]]/Tablo244[[#This Row],[Et Kalınlığı 5]]</f>
        <v/>
      </c>
      <c r="Z36" s="520">
        <f>Tablo244[[#This Row],[ÇAP mm]]*0.015/2</f>
        <v/>
      </c>
      <c r="AA36" s="520">
        <f>Tablo244[[#This Row],[ÇAP mm]]*0.02</f>
        <v/>
      </c>
      <c r="AB36" s="520">
        <f>Tablo244[[#This Row],[ÇAP mm]]*0.015/2</f>
        <v/>
      </c>
      <c r="AC36" s="520">
        <f>Tablo244[[#This Row],[ÇAP mm]]*0.02</f>
        <v/>
      </c>
      <c r="AD36" s="520">
        <f>Tablo244[[#This Row],[ÇAP mm]]*0.015/2</f>
        <v/>
      </c>
      <c r="AE36" s="520">
        <f>Tablo244[[#This Row],[ÇAP mm]]*0.02</f>
        <v/>
      </c>
      <c r="AF36" s="520">
        <f>IF(Tablo244[[#This Row],[ÇAP mm]]/Tablo244[[#This Row],[Et Kalınlığı 4]]&lt;75,Tablo244[[#This Row],[ÇAP mm]]*0.015/2,"Anlaşmaya bağlıdır.")</f>
        <v/>
      </c>
      <c r="AG36" s="64">
        <f>Tablo244[[#This Row],[ÇAP mm]]*0.02</f>
        <v/>
      </c>
      <c r="AH36" s="520">
        <f>IF(Tablo244[[#This Row],[ÇAP mm]]/Tablo244[[#This Row],[Et Kalınlığı 5]]&lt;75,Tablo244[[#This Row],[ÇAP mm]]*0.015/2,"Anlaşmaya bağlıdır.")</f>
        <v/>
      </c>
      <c r="AI36" s="520">
        <f>Tablo244[[#This Row],[ÇAP mm]]*0.02</f>
        <v/>
      </c>
      <c r="AJ36" s="11">
        <f>IF(40*Tablo244[[#This Row],[Et Kalınlığı ]]&lt;485,Tablo244[[#This Row],[Et Kalınlığı ]]*40,485)</f>
        <v/>
      </c>
      <c r="AK36" s="5">
        <f>1940*POWER(ROUND(AJ36,-1),0.2)/POWER(Tablo244[[#This Row],[Tensile Mpa]],0.9)</f>
        <v/>
      </c>
      <c r="AL36" s="5">
        <f>IF(40*Tablo244[[#This Row],[Et Kalınlığı 2]]&lt;485,Tablo244[[#This Row],[Et Kalınlığı ]]*40,485)</f>
        <v/>
      </c>
      <c r="AM36" s="5">
        <f>1940*POWER(ROUND(Tablo151[[#This Row],[Axc mm22]],-1),0.2)/POWER(Tablo244[[#This Row],[Tensile Mpa]],0.9)</f>
        <v/>
      </c>
      <c r="AN36" s="5">
        <f>IF(40*Tablo244[[#This Row],[Et Kalınlığı 3]]&lt;485,Tablo244[[#This Row],[Et Kalınlığı ]]*40,485)</f>
        <v/>
      </c>
      <c r="AO36" s="5">
        <f>1940*POWER(ROUND(Tablo151[[#This Row],[Axc mm23]],-1),0.2)/POWER(Tablo244[[#This Row],[Tensile Mpa]],0.9)</f>
        <v/>
      </c>
      <c r="AP36" s="5">
        <f>IF(40*Tablo244[[#This Row],[Et Kalınlığı 4]]&lt;485,Tablo244[[#This Row],[Et Kalınlığı 4]]*40,485)</f>
        <v/>
      </c>
      <c r="AQ36" s="12">
        <f>1940*POWER(ROUND(Tablo151[[#This Row],[Axc mm24]],-1),0.2)/POWER(Tablo244[[#This Row],[Tensile Mpa]],0.9)</f>
        <v/>
      </c>
      <c r="AR36" s="5">
        <f>IF(40*Tablo244[[#This Row],[Et Kalınlığı 5]]&lt;485,Tablo244[[#This Row],[Et Kalınlığı 4]]*40,485)</f>
        <v/>
      </c>
      <c r="AS36" s="64">
        <f>1940*POWER(ROUND(Tablo151[[#This Row],[Axc mm25]],-1),0.2)/POWER(Tablo244[[#This Row],[Tensile Mpa]],0.9)</f>
        <v/>
      </c>
    </row>
    <row r="37">
      <c r="B37" s="43" t="inlineStr">
        <is>
          <t>18"</t>
        </is>
      </c>
      <c r="C37" s="1100" t="n">
        <v>457</v>
      </c>
      <c r="D37" s="1100" t="inlineStr">
        <is>
          <t>X65</t>
        </is>
      </c>
      <c r="E37" s="44" t="n">
        <v>65300</v>
      </c>
      <c r="F37" s="45" t="n">
        <v>535</v>
      </c>
      <c r="G37" s="49" t="n">
        <v>5.6</v>
      </c>
      <c r="H37" s="59">
        <f>2*Tablo244[[#This Row],[SMYS Psi]]*Tablo244[[#This Row],[Et Kalınlığı ]]/Tablo244[[#This Row],[ÇAP mm]]/14.50377</f>
        <v/>
      </c>
      <c r="I37" s="514" t="n">
        <v>6.4</v>
      </c>
      <c r="J37" s="59">
        <f>2*Tablo244[[#This Row],[SMYS Psi]]*Tablo244[[#This Row],[Et Kalınlığı 2]]/Tablo244[[#This Row],[ÇAP mm]]/14.50377</f>
        <v/>
      </c>
      <c r="K37" s="514" t="n">
        <v>7.9</v>
      </c>
      <c r="L37" s="59">
        <f>2*Tablo244[[#This Row],[SMYS Psi]]*Tablo244[[#This Row],[Et Kalınlığı 3]]/Tablo244[[#This Row],[ÇAP mm]]/14.50377</f>
        <v/>
      </c>
      <c r="M37" s="514" t="n">
        <v>9.5</v>
      </c>
      <c r="N37" s="52">
        <f>2*Tablo244[[#This Row],[SMYS Psi]]*Tablo244[[#This Row],[Et Kalınlığı 4]]/Tablo244[[#This Row],[ÇAP mm]]/14.50377</f>
        <v/>
      </c>
      <c r="O37" s="59" t="n">
        <v>10.3</v>
      </c>
      <c r="P37" s="59">
        <f>2*Tablo244[[#This Row],[SMYS Psi]]*Tablo244[[#This Row],[Et Kalınlığı 5]]/Tablo244[[#This Row],[ÇAP mm]]/14.50377</f>
        <v/>
      </c>
      <c r="Q37" s="17">
        <f>IF(Tablo244[[#This Row],[ÇAP mm]]*0.005-1.6&lt;0,Tablo244[[#This Row],[ÇAP mm]]*1.005,Tablo244[[#This Row],[ÇAP mm]]+1.6)</f>
        <v/>
      </c>
      <c r="R37" s="3">
        <f>IF(Tablo244[[#This Row],[ÇAP mm]]*0.005-1.6&lt;0,Tablo244[[#This Row],[ÇAP mm]]*0.995,Tablo244[[#This Row],[ÇAP mm]]-1.6)</f>
        <v/>
      </c>
      <c r="S37" s="3">
        <f>IF(Tablo244[[#This Row],[ÇAP mm]]*0.0075-3.2&lt;0,Tablo244[[#This Row],[ÇAP mm]]*1.0075,Tablo244[[#This Row],[ÇAP mm]]+3.2)</f>
        <v/>
      </c>
      <c r="T37" s="19">
        <f>IF(Tablo244[[#This Row],[ÇAP mm]]*0.005-3.2&lt;0,Tablo244[[#This Row],[ÇAP mm]]*0.9925,Tablo244[[#This Row],[ÇAP mm]]-3.2)</f>
        <v/>
      </c>
      <c r="U37" s="173">
        <f>Tablo244[[#This Row],[ÇAP mm]]/Tablo244[[#This Row],[Et Kalınlığı ]]</f>
        <v/>
      </c>
      <c r="V37" s="60">
        <f>Tablo244[[#This Row],[ÇAP mm]]/Tablo244[[#This Row],[Et Kalınlığı 2]]</f>
        <v/>
      </c>
      <c r="W37" s="60">
        <f>Tablo244[[#This Row],[ÇAP mm]]/Tablo244[[#This Row],[Et Kalınlığı 3]]</f>
        <v/>
      </c>
      <c r="X37" s="61">
        <f>Tablo244[[#This Row],[ÇAP mm]]/Tablo244[[#This Row],[Et Kalınlığı 4]]</f>
        <v/>
      </c>
      <c r="Y37" s="174">
        <f>Tablo244[[#This Row],[ÇAP mm]]/Tablo244[[#This Row],[Et Kalınlığı 5]]</f>
        <v/>
      </c>
      <c r="Z37" s="520">
        <f>Tablo244[[#This Row],[ÇAP mm]]*0.015/2</f>
        <v/>
      </c>
      <c r="AA37" s="520">
        <f>Tablo244[[#This Row],[ÇAP mm]]*0.02</f>
        <v/>
      </c>
      <c r="AB37" s="520">
        <f>Tablo244[[#This Row],[ÇAP mm]]*0.015/2</f>
        <v/>
      </c>
      <c r="AC37" s="520">
        <f>Tablo244[[#This Row],[ÇAP mm]]*0.02</f>
        <v/>
      </c>
      <c r="AD37" s="520">
        <f>Tablo244[[#This Row],[ÇAP mm]]*0.015/2</f>
        <v/>
      </c>
      <c r="AE37" s="520">
        <f>Tablo244[[#This Row],[ÇAP mm]]*0.02</f>
        <v/>
      </c>
      <c r="AF37" s="520">
        <f>IF(Tablo244[[#This Row],[ÇAP mm]]/Tablo244[[#This Row],[Et Kalınlığı 4]]&lt;75,Tablo244[[#This Row],[ÇAP mm]]*0.015/2,"Anlaşmaya bağlıdır.")</f>
        <v/>
      </c>
      <c r="AG37" s="64">
        <f>Tablo244[[#This Row],[ÇAP mm]]*0.02</f>
        <v/>
      </c>
      <c r="AH37" s="520">
        <f>IF(Tablo244[[#This Row],[ÇAP mm]]/Tablo244[[#This Row],[Et Kalınlığı 5]]&lt;75,Tablo244[[#This Row],[ÇAP mm]]*0.015/2,"Anlaşmaya bağlıdır.")</f>
        <v/>
      </c>
      <c r="AI37" s="520">
        <f>Tablo244[[#This Row],[ÇAP mm]]*0.02</f>
        <v/>
      </c>
      <c r="AJ37" s="11">
        <f>IF(40*Tablo244[[#This Row],[Et Kalınlığı ]]&lt;485,Tablo244[[#This Row],[Et Kalınlığı ]]*40,485)</f>
        <v/>
      </c>
      <c r="AK37" s="5">
        <f>1940*POWER(ROUND(AJ37,-1),0.2)/POWER(Tablo244[[#This Row],[Tensile Mpa]],0.9)</f>
        <v/>
      </c>
      <c r="AL37" s="5">
        <f>IF(40*Tablo244[[#This Row],[Et Kalınlığı 2]]&lt;485,Tablo244[[#This Row],[Et Kalınlığı ]]*40,485)</f>
        <v/>
      </c>
      <c r="AM37" s="5">
        <f>1940*POWER(ROUND(Tablo151[[#This Row],[Axc mm22]],-1),0.2)/POWER(Tablo244[[#This Row],[Tensile Mpa]],0.9)</f>
        <v/>
      </c>
      <c r="AN37" s="5">
        <f>IF(40*Tablo244[[#This Row],[Et Kalınlığı 3]]&lt;485,Tablo244[[#This Row],[Et Kalınlığı ]]*40,485)</f>
        <v/>
      </c>
      <c r="AO37" s="5">
        <f>1940*POWER(ROUND(Tablo151[[#This Row],[Axc mm23]],-1),0.2)/POWER(Tablo244[[#This Row],[Tensile Mpa]],0.9)</f>
        <v/>
      </c>
      <c r="AP37" s="5">
        <f>IF(40*Tablo244[[#This Row],[Et Kalınlığı 4]]&lt;485,Tablo244[[#This Row],[Et Kalınlığı 4]]*40,485)</f>
        <v/>
      </c>
      <c r="AQ37" s="12">
        <f>1940*POWER(ROUND(Tablo151[[#This Row],[Axc mm24]],-1),0.2)/POWER(Tablo244[[#This Row],[Tensile Mpa]],0.9)</f>
        <v/>
      </c>
      <c r="AR37" s="5">
        <f>IF(40*Tablo244[[#This Row],[Et Kalınlığı 5]]&lt;485,Tablo244[[#This Row],[Et Kalınlığı 4]]*40,485)</f>
        <v/>
      </c>
      <c r="AS37" s="64">
        <f>1940*POWER(ROUND(Tablo151[[#This Row],[Axc mm25]],-1),0.2)/POWER(Tablo244[[#This Row],[Tensile Mpa]],0.9)</f>
        <v/>
      </c>
    </row>
    <row r="38">
      <c r="B38" s="43" t="inlineStr">
        <is>
          <t>20"</t>
        </is>
      </c>
      <c r="C38" s="1100" t="n">
        <v>508</v>
      </c>
      <c r="D38" s="1100" t="inlineStr">
        <is>
          <t>X65</t>
        </is>
      </c>
      <c r="E38" s="44" t="n">
        <v>65300</v>
      </c>
      <c r="F38" s="45" t="n">
        <v>535</v>
      </c>
      <c r="G38" s="49" t="n">
        <v>6.4</v>
      </c>
      <c r="H38" s="59">
        <f>2*Tablo244[[#This Row],[SMYS Psi]]*Tablo244[[#This Row],[Et Kalınlığı ]]/Tablo244[[#This Row],[ÇAP mm]]/14.50377</f>
        <v/>
      </c>
      <c r="I38" s="514" t="n">
        <v>7.1</v>
      </c>
      <c r="J38" s="59">
        <f>2*Tablo244[[#This Row],[SMYS Psi]]*Tablo244[[#This Row],[Et Kalınlığı 2]]/Tablo244[[#This Row],[ÇAP mm]]/14.50377</f>
        <v/>
      </c>
      <c r="K38" s="514" t="n">
        <v>8.699999999999999</v>
      </c>
      <c r="L38" s="59">
        <f>2*Tablo244[[#This Row],[SMYS Psi]]*Tablo244[[#This Row],[Et Kalınlığı 3]]/Tablo244[[#This Row],[ÇAP mm]]/14.50377</f>
        <v/>
      </c>
      <c r="M38" s="514" t="n">
        <v>10.3</v>
      </c>
      <c r="N38" s="52">
        <f>2*Tablo244[[#This Row],[SMYS Psi]]*Tablo244[[#This Row],[Et Kalınlığı 4]]/Tablo244[[#This Row],[ÇAP mm]]/14.50377</f>
        <v/>
      </c>
      <c r="O38" s="59" t="n">
        <v>11.1</v>
      </c>
      <c r="P38" s="59">
        <f>2*Tablo244[[#This Row],[SMYS Psi]]*Tablo244[[#This Row],[Et Kalınlığı 5]]/Tablo244[[#This Row],[ÇAP mm]]/14.50377</f>
        <v/>
      </c>
      <c r="Q38" s="17">
        <f>IF(Tablo244[[#This Row],[ÇAP mm]]*0.005-1.6&lt;0,Tablo244[[#This Row],[ÇAP mm]]*1.005,Tablo244[[#This Row],[ÇAP mm]]+1.6)</f>
        <v/>
      </c>
      <c r="R38" s="3">
        <f>IF(Tablo244[[#This Row],[ÇAP mm]]*0.005-1.6&lt;0,Tablo244[[#This Row],[ÇAP mm]]*0.995,Tablo244[[#This Row],[ÇAP mm]]-1.6)</f>
        <v/>
      </c>
      <c r="S38" s="3">
        <f>IF(Tablo244[[#This Row],[ÇAP mm]]*0.0075-3.2&lt;0,Tablo244[[#This Row],[ÇAP mm]]*1.0075,Tablo244[[#This Row],[ÇAP mm]]+3.2)</f>
        <v/>
      </c>
      <c r="T38" s="19">
        <f>IF(Tablo244[[#This Row],[ÇAP mm]]*0.005-3.2&lt;0,Tablo244[[#This Row],[ÇAP mm]]*0.9925,Tablo244[[#This Row],[ÇAP mm]]-3.2)</f>
        <v/>
      </c>
      <c r="U38" s="173">
        <f>Tablo244[[#This Row],[ÇAP mm]]/Tablo244[[#This Row],[Et Kalınlığı ]]</f>
        <v/>
      </c>
      <c r="V38" s="60">
        <f>Tablo244[[#This Row],[ÇAP mm]]/Tablo244[[#This Row],[Et Kalınlığı 2]]</f>
        <v/>
      </c>
      <c r="W38" s="60">
        <f>Tablo244[[#This Row],[ÇAP mm]]/Tablo244[[#This Row],[Et Kalınlığı 3]]</f>
        <v/>
      </c>
      <c r="X38" s="61">
        <f>Tablo244[[#This Row],[ÇAP mm]]/Tablo244[[#This Row],[Et Kalınlığı 4]]</f>
        <v/>
      </c>
      <c r="Y38" s="174">
        <f>Tablo244[[#This Row],[ÇAP mm]]/Tablo244[[#This Row],[Et Kalınlığı 5]]</f>
        <v/>
      </c>
      <c r="Z38" s="520">
        <f>Tablo244[[#This Row],[ÇAP mm]]*0.015/2</f>
        <v/>
      </c>
      <c r="AA38" s="520">
        <f>Tablo244[[#This Row],[ÇAP mm]]*0.02</f>
        <v/>
      </c>
      <c r="AB38" s="520">
        <f>Tablo244[[#This Row],[ÇAP mm]]*0.015/2</f>
        <v/>
      </c>
      <c r="AC38" s="520">
        <f>Tablo244[[#This Row],[ÇAP mm]]*0.02</f>
        <v/>
      </c>
      <c r="AD38" s="520">
        <f>Tablo244[[#This Row],[ÇAP mm]]*0.015/2</f>
        <v/>
      </c>
      <c r="AE38" s="520">
        <f>Tablo244[[#This Row],[ÇAP mm]]*0.02</f>
        <v/>
      </c>
      <c r="AF38" s="520">
        <f>IF(Tablo244[[#This Row],[ÇAP mm]]/Tablo244[[#This Row],[Et Kalınlığı 4]]&lt;75,Tablo244[[#This Row],[ÇAP mm]]*0.015/2,"Anlaşmaya bağlıdır.")</f>
        <v/>
      </c>
      <c r="AG38" s="64">
        <f>Tablo244[[#This Row],[ÇAP mm]]*0.02</f>
        <v/>
      </c>
      <c r="AH38" s="520">
        <f>IF(Tablo244[[#This Row],[ÇAP mm]]/Tablo244[[#This Row],[Et Kalınlığı 5]]&lt;75,Tablo244[[#This Row],[ÇAP mm]]*0.015/2,"Anlaşmaya bağlıdır.")</f>
        <v/>
      </c>
      <c r="AI38" s="520">
        <f>Tablo244[[#This Row],[ÇAP mm]]*0.02</f>
        <v/>
      </c>
      <c r="AJ38" s="11">
        <f>IF(40*Tablo244[[#This Row],[Et Kalınlığı ]]&lt;485,Tablo244[[#This Row],[Et Kalınlığı ]]*40,485)</f>
        <v/>
      </c>
      <c r="AK38" s="5">
        <f>1940*POWER(ROUND(AJ38,-1),0.2)/POWER(Tablo244[[#This Row],[Tensile Mpa]],0.9)</f>
        <v/>
      </c>
      <c r="AL38" s="5">
        <f>IF(40*Tablo244[[#This Row],[Et Kalınlığı 2]]&lt;485,Tablo244[[#This Row],[Et Kalınlığı ]]*40,485)</f>
        <v/>
      </c>
      <c r="AM38" s="5">
        <f>1940*POWER(ROUND(Tablo151[[#This Row],[Axc mm22]],-1),0.2)/POWER(Tablo244[[#This Row],[Tensile Mpa]],0.9)</f>
        <v/>
      </c>
      <c r="AN38" s="5">
        <f>IF(40*Tablo244[[#This Row],[Et Kalınlığı 3]]&lt;485,Tablo244[[#This Row],[Et Kalınlığı ]]*40,485)</f>
        <v/>
      </c>
      <c r="AO38" s="5">
        <f>1940*POWER(ROUND(Tablo151[[#This Row],[Axc mm23]],-1),0.2)/POWER(Tablo244[[#This Row],[Tensile Mpa]],0.9)</f>
        <v/>
      </c>
      <c r="AP38" s="5">
        <f>IF(40*Tablo244[[#This Row],[Et Kalınlığı 4]]&lt;485,Tablo244[[#This Row],[Et Kalınlığı 4]]*40,485)</f>
        <v/>
      </c>
      <c r="AQ38" s="12">
        <f>1940*POWER(ROUND(Tablo151[[#This Row],[Axc mm24]],-1),0.2)/POWER(Tablo244[[#This Row],[Tensile Mpa]],0.9)</f>
        <v/>
      </c>
      <c r="AR38" s="5">
        <f>IF(40*Tablo244[[#This Row],[Et Kalınlığı 5]]&lt;485,Tablo244[[#This Row],[Et Kalınlığı 4]]*40,485)</f>
        <v/>
      </c>
      <c r="AS38" s="64">
        <f>1940*POWER(ROUND(Tablo151[[#This Row],[Axc mm25]],-1),0.2)/POWER(Tablo244[[#This Row],[Tensile Mpa]],0.9)</f>
        <v/>
      </c>
    </row>
    <row r="39">
      <c r="B39" s="43" t="inlineStr">
        <is>
          <t>22"</t>
        </is>
      </c>
      <c r="C39" s="1100" t="n">
        <v>559</v>
      </c>
      <c r="D39" s="1100" t="inlineStr">
        <is>
          <t>X65</t>
        </is>
      </c>
      <c r="E39" s="44" t="n">
        <v>65300</v>
      </c>
      <c r="F39" s="45" t="n">
        <v>535</v>
      </c>
      <c r="G39" s="49" t="n">
        <v>7.1</v>
      </c>
      <c r="H39" s="59">
        <f>2*Tablo244[[#This Row],[SMYS Psi]]*Tablo244[[#This Row],[Et Kalınlığı ]]/Tablo244[[#This Row],[ÇAP mm]]/14.50377</f>
        <v/>
      </c>
      <c r="I39" s="514" t="n">
        <v>7.9</v>
      </c>
      <c r="J39" s="59">
        <f>2*Tablo244[[#This Row],[SMYS Psi]]*Tablo244[[#This Row],[Et Kalınlığı 2]]/Tablo244[[#This Row],[ÇAP mm]]/14.50377</f>
        <v/>
      </c>
      <c r="K39" s="514" t="n">
        <v>9.5</v>
      </c>
      <c r="L39" s="59">
        <f>2*Tablo244[[#This Row],[SMYS Psi]]*Tablo244[[#This Row],[Et Kalınlığı 3]]/Tablo244[[#This Row],[ÇAP mm]]/14.50377</f>
        <v/>
      </c>
      <c r="M39" s="514" t="n">
        <v>11.1</v>
      </c>
      <c r="N39" s="52">
        <f>2*Tablo244[[#This Row],[SMYS Psi]]*Tablo244[[#This Row],[Et Kalınlığı 4]]/Tablo244[[#This Row],[ÇAP mm]]/14.50377</f>
        <v/>
      </c>
      <c r="O39" s="59" t="n">
        <v>11.9</v>
      </c>
      <c r="P39" s="59">
        <f>2*Tablo244[[#This Row],[SMYS Psi]]*Tablo244[[#This Row],[Et Kalınlığı 5]]/Tablo244[[#This Row],[ÇAP mm]]/14.50377</f>
        <v/>
      </c>
      <c r="Q39" s="17">
        <f>IF(Tablo244[[#This Row],[ÇAP mm]]*0.005-1.6&lt;0,Tablo244[[#This Row],[ÇAP mm]]*1.005,Tablo244[[#This Row],[ÇAP mm]]+1.6)</f>
        <v/>
      </c>
      <c r="R39" s="3">
        <f>IF(Tablo244[[#This Row],[ÇAP mm]]*0.005-1.6&lt;0,Tablo244[[#This Row],[ÇAP mm]]*0.995,Tablo244[[#This Row],[ÇAP mm]]-1.6)</f>
        <v/>
      </c>
      <c r="S39" s="3">
        <f>IF(Tablo244[[#This Row],[ÇAP mm]]*0.0075-3.2&lt;0,Tablo244[[#This Row],[ÇAP mm]]*1.0075,Tablo244[[#This Row],[ÇAP mm]]+3.2)</f>
        <v/>
      </c>
      <c r="T39" s="19">
        <f>IF(Tablo244[[#This Row],[ÇAP mm]]*0.005-3.2&lt;0,Tablo244[[#This Row],[ÇAP mm]]*0.9925,Tablo244[[#This Row],[ÇAP mm]]-3.2)</f>
        <v/>
      </c>
      <c r="U39" s="173">
        <f>Tablo244[[#This Row],[ÇAP mm]]/Tablo244[[#This Row],[Et Kalınlığı ]]</f>
        <v/>
      </c>
      <c r="V39" s="60">
        <f>Tablo244[[#This Row],[ÇAP mm]]/Tablo244[[#This Row],[Et Kalınlığı 2]]</f>
        <v/>
      </c>
      <c r="W39" s="60">
        <f>Tablo244[[#This Row],[ÇAP mm]]/Tablo244[[#This Row],[Et Kalınlığı 3]]</f>
        <v/>
      </c>
      <c r="X39" s="61">
        <f>Tablo244[[#This Row],[ÇAP mm]]/Tablo244[[#This Row],[Et Kalınlığı 4]]</f>
        <v/>
      </c>
      <c r="Y39" s="174">
        <f>Tablo244[[#This Row],[ÇAP mm]]/Tablo244[[#This Row],[Et Kalınlığı 5]]</f>
        <v/>
      </c>
      <c r="Z39" s="520">
        <f>Tablo244[[#This Row],[ÇAP mm]]*0.015/2</f>
        <v/>
      </c>
      <c r="AA39" s="520">
        <f>Tablo244[[#This Row],[ÇAP mm]]*0.02</f>
        <v/>
      </c>
      <c r="AB39" s="520">
        <f>Tablo244[[#This Row],[ÇAP mm]]*0.015/2</f>
        <v/>
      </c>
      <c r="AC39" s="520">
        <f>Tablo244[[#This Row],[ÇAP mm]]*0.02</f>
        <v/>
      </c>
      <c r="AD39" s="520">
        <f>Tablo244[[#This Row],[ÇAP mm]]*0.015/2</f>
        <v/>
      </c>
      <c r="AE39" s="520">
        <f>Tablo244[[#This Row],[ÇAP mm]]*0.02</f>
        <v/>
      </c>
      <c r="AF39" s="520">
        <f>IF(Tablo244[[#This Row],[ÇAP mm]]/Tablo244[[#This Row],[Et Kalınlığı 4]]&lt;75,Tablo244[[#This Row],[ÇAP mm]]*0.015/2,"Anlaşmaya bağlıdır.")</f>
        <v/>
      </c>
      <c r="AG39" s="64">
        <f>Tablo244[[#This Row],[ÇAP mm]]*0.02</f>
        <v/>
      </c>
      <c r="AH39" s="520">
        <f>IF(Tablo244[[#This Row],[ÇAP mm]]/Tablo244[[#This Row],[Et Kalınlığı 5]]&lt;75,Tablo244[[#This Row],[ÇAP mm]]*0.015/2,"Anlaşmaya bağlıdır.")</f>
        <v/>
      </c>
      <c r="AI39" s="520">
        <f>Tablo244[[#This Row],[ÇAP mm]]*0.02</f>
        <v/>
      </c>
      <c r="AJ39" s="11">
        <f>IF(40*Tablo244[[#This Row],[Et Kalınlığı ]]&lt;485,Tablo244[[#This Row],[Et Kalınlığı ]]*40,485)</f>
        <v/>
      </c>
      <c r="AK39" s="5">
        <f>1940*POWER(ROUND(AJ39,-1),0.2)/POWER(Tablo244[[#This Row],[Tensile Mpa]],0.9)</f>
        <v/>
      </c>
      <c r="AL39" s="5">
        <f>IF(40*Tablo244[[#This Row],[Et Kalınlığı 2]]&lt;485,Tablo244[[#This Row],[Et Kalınlığı ]]*40,485)</f>
        <v/>
      </c>
      <c r="AM39" s="5">
        <f>1940*POWER(ROUND(Tablo151[[#This Row],[Axc mm22]],-1),0.2)/POWER(Tablo244[[#This Row],[Tensile Mpa]],0.9)</f>
        <v/>
      </c>
      <c r="AN39" s="5">
        <f>IF(40*Tablo244[[#This Row],[Et Kalınlığı 3]]&lt;485,Tablo244[[#This Row],[Et Kalınlığı ]]*40,485)</f>
        <v/>
      </c>
      <c r="AO39" s="5">
        <f>1940*POWER(ROUND(Tablo151[[#This Row],[Axc mm23]],-1),0.2)/POWER(Tablo244[[#This Row],[Tensile Mpa]],0.9)</f>
        <v/>
      </c>
      <c r="AP39" s="5">
        <f>IF(40*Tablo244[[#This Row],[Et Kalınlığı 4]]&lt;485,Tablo244[[#This Row],[Et Kalınlığı 4]]*40,485)</f>
        <v/>
      </c>
      <c r="AQ39" s="12">
        <f>1940*POWER(ROUND(Tablo151[[#This Row],[Axc mm24]],-1),0.2)/POWER(Tablo244[[#This Row],[Tensile Mpa]],0.9)</f>
        <v/>
      </c>
      <c r="AR39" s="5">
        <f>IF(40*Tablo244[[#This Row],[Et Kalınlığı 5]]&lt;485,Tablo244[[#This Row],[Et Kalınlığı 4]]*40,485)</f>
        <v/>
      </c>
      <c r="AS39" s="64">
        <f>1940*POWER(ROUND(Tablo151[[#This Row],[Axc mm25]],-1),0.2)/POWER(Tablo244[[#This Row],[Tensile Mpa]],0.9)</f>
        <v/>
      </c>
    </row>
    <row r="40">
      <c r="B40" s="43" t="inlineStr">
        <is>
          <t>24"</t>
        </is>
      </c>
      <c r="C40" s="1100" t="n">
        <v>610</v>
      </c>
      <c r="D40" s="1100" t="inlineStr">
        <is>
          <t>X65</t>
        </is>
      </c>
      <c r="E40" s="44" t="n">
        <v>65300</v>
      </c>
      <c r="F40" s="45" t="n">
        <v>535</v>
      </c>
      <c r="G40" s="49" t="n">
        <v>7.1</v>
      </c>
      <c r="H40" s="59">
        <f>2*Tablo244[[#This Row],[SMYS Psi]]*Tablo244[[#This Row],[Et Kalınlığı ]]/Tablo244[[#This Row],[ÇAP mm]]/14.50377</f>
        <v/>
      </c>
      <c r="I40" s="514" t="n">
        <v>8.699999999999999</v>
      </c>
      <c r="J40" s="59">
        <f>2*Tablo244[[#This Row],[SMYS Psi]]*Tablo244[[#This Row],[Et Kalınlığı 2]]/Tablo244[[#This Row],[ÇAP mm]]/14.50377</f>
        <v/>
      </c>
      <c r="K40" s="514" t="n">
        <v>10.3</v>
      </c>
      <c r="L40" s="59">
        <f>2*Tablo244[[#This Row],[SMYS Psi]]*Tablo244[[#This Row],[Et Kalınlığı 3]]/Tablo244[[#This Row],[ÇAP mm]]/14.50377</f>
        <v/>
      </c>
      <c r="M40" s="514" t="n">
        <v>11.9</v>
      </c>
      <c r="N40" s="52">
        <f>2*Tablo244[[#This Row],[SMYS Psi]]*Tablo244[[#This Row],[Et Kalınlığı 4]]/Tablo244[[#This Row],[ÇAP mm]]/14.50377</f>
        <v/>
      </c>
      <c r="O40" s="59" t="n">
        <v>12.7</v>
      </c>
      <c r="P40" s="59">
        <f>2*Tablo244[[#This Row],[SMYS Psi]]*Tablo244[[#This Row],[Et Kalınlığı 5]]/Tablo244[[#This Row],[ÇAP mm]]/14.50377</f>
        <v/>
      </c>
      <c r="Q40" s="17">
        <f>IF(Tablo244[[#This Row],[ÇAP mm]]*0.005-1.6&lt;0,Tablo244[[#This Row],[ÇAP mm]]*1.005,Tablo244[[#This Row],[ÇAP mm]]+1.6)</f>
        <v/>
      </c>
      <c r="R40" s="3">
        <f>IF(Tablo244[[#This Row],[ÇAP mm]]*0.005-1.6&lt;0,Tablo244[[#This Row],[ÇAP mm]]*0.995,Tablo244[[#This Row],[ÇAP mm]]-1.6)</f>
        <v/>
      </c>
      <c r="S40" s="3">
        <f>IF(Tablo244[[#This Row],[ÇAP mm]]*0.0075-3.2&lt;0,Tablo244[[#This Row],[ÇAP mm]]*1.0075,Tablo244[[#This Row],[ÇAP mm]]+3.2)</f>
        <v/>
      </c>
      <c r="T40" s="19">
        <f>IF(Tablo244[[#This Row],[ÇAP mm]]*0.005-3.2&lt;0,Tablo244[[#This Row],[ÇAP mm]]*0.9925,Tablo244[[#This Row],[ÇAP mm]]-3.2)</f>
        <v/>
      </c>
      <c r="U40" s="173">
        <f>Tablo244[[#This Row],[ÇAP mm]]/Tablo244[[#This Row],[Et Kalınlığı ]]</f>
        <v/>
      </c>
      <c r="V40" s="60">
        <f>Tablo244[[#This Row],[ÇAP mm]]/Tablo244[[#This Row],[Et Kalınlığı 2]]</f>
        <v/>
      </c>
      <c r="W40" s="60">
        <f>Tablo244[[#This Row],[ÇAP mm]]/Tablo244[[#This Row],[Et Kalınlığı 3]]</f>
        <v/>
      </c>
      <c r="X40" s="61">
        <f>Tablo244[[#This Row],[ÇAP mm]]/Tablo244[[#This Row],[Et Kalınlığı 4]]</f>
        <v/>
      </c>
      <c r="Y40" s="174">
        <f>Tablo244[[#This Row],[ÇAP mm]]/Tablo244[[#This Row],[Et Kalınlığı 5]]</f>
        <v/>
      </c>
      <c r="Z40" s="520">
        <f>Tablo244[[#This Row],[ÇAP mm]]*0.015/2</f>
        <v/>
      </c>
      <c r="AA40" s="520">
        <f>Tablo244[[#This Row],[ÇAP mm]]*0.02</f>
        <v/>
      </c>
      <c r="AB40" s="520">
        <f>Tablo244[[#This Row],[ÇAP mm]]*0.015/2</f>
        <v/>
      </c>
      <c r="AC40" s="520">
        <f>Tablo244[[#This Row],[ÇAP mm]]*0.02</f>
        <v/>
      </c>
      <c r="AD40" s="520">
        <f>Tablo244[[#This Row],[ÇAP mm]]*0.015/2</f>
        <v/>
      </c>
      <c r="AE40" s="520">
        <f>Tablo244[[#This Row],[ÇAP mm]]*0.02</f>
        <v/>
      </c>
      <c r="AF40" s="520">
        <f>IF(Tablo244[[#This Row],[ÇAP mm]]/Tablo244[[#This Row],[Et Kalınlığı 4]]&lt;75,Tablo244[[#This Row],[ÇAP mm]]*0.015/2,"Anlaşmaya bağlıdır.")</f>
        <v/>
      </c>
      <c r="AG40" s="64">
        <f>Tablo244[[#This Row],[ÇAP mm]]*0.02</f>
        <v/>
      </c>
      <c r="AH40" s="520">
        <f>IF(Tablo244[[#This Row],[ÇAP mm]]/Tablo244[[#This Row],[Et Kalınlığı 4]]&lt;75,Tablo244[[#This Row],[ÇAP mm]]*0.015/2,"Anlaşmaya bağlıdır.")</f>
        <v/>
      </c>
      <c r="AI40" s="520">
        <f>Tablo244[[#This Row],[ÇAP mm]]*0.02</f>
        <v/>
      </c>
      <c r="AJ40" s="11">
        <f>IF(40*Tablo244[[#This Row],[Et Kalınlığı ]]&lt;485,Tablo244[[#This Row],[Et Kalınlığı ]]*40,485)</f>
        <v/>
      </c>
      <c r="AK40" s="5">
        <f>1940*POWER(ROUND(AJ40,-1),0.2)/POWER(Tablo244[[#This Row],[Tensile Mpa]],0.9)</f>
        <v/>
      </c>
      <c r="AL40" s="5">
        <f>IF(40*Tablo244[[#This Row],[Et Kalınlığı 2]]&lt;485,Tablo244[[#This Row],[Et Kalınlığı ]]*40,485)</f>
        <v/>
      </c>
      <c r="AM40" s="5">
        <f>1940*POWER(ROUND(Tablo151[[#This Row],[Axc mm22]],-1),0.2)/POWER(Tablo244[[#This Row],[Tensile Mpa]],0.9)</f>
        <v/>
      </c>
      <c r="AN40" s="5">
        <f>IF(40*Tablo244[[#This Row],[Et Kalınlığı 3]]&lt;485,Tablo244[[#This Row],[Et Kalınlığı ]]*40,485)</f>
        <v/>
      </c>
      <c r="AO40" s="5">
        <f>1940*POWER(ROUND(Tablo151[[#This Row],[Axc mm23]],-1),0.2)/POWER(Tablo244[[#This Row],[Tensile Mpa]],0.9)</f>
        <v/>
      </c>
      <c r="AP40" s="5">
        <f>IF(40*Tablo244[[#This Row],[Et Kalınlığı 4]]&lt;485,Tablo244[[#This Row],[Et Kalınlığı 4]]*40,485)</f>
        <v/>
      </c>
      <c r="AQ40" s="12">
        <f>1940*POWER(ROUND(Tablo151[[#This Row],[Axc mm24]],-1),0.2)/POWER(Tablo244[[#This Row],[Tensile Mpa]],0.9)</f>
        <v/>
      </c>
      <c r="AR40" s="5">
        <f>IF(40*Tablo244[[#This Row],[Et Kalınlığı 5]]&lt;485,Tablo244[[#This Row],[Et Kalınlığı 4]]*40,485)</f>
        <v/>
      </c>
      <c r="AS40" s="64">
        <f>1940*POWER(ROUND(Tablo151[[#This Row],[Axc mm25]],-1),0.2)/POWER(Tablo244[[#This Row],[Tensile Mpa]],0.9)</f>
        <v/>
      </c>
    </row>
    <row r="41">
      <c r="B41" s="43" t="inlineStr">
        <is>
          <t>30"</t>
        </is>
      </c>
      <c r="C41" s="1100" t="n">
        <v>762</v>
      </c>
      <c r="D41" s="1100" t="inlineStr">
        <is>
          <t>X65</t>
        </is>
      </c>
      <c r="E41" s="44" t="n">
        <v>65300</v>
      </c>
      <c r="F41" s="45" t="n">
        <v>535</v>
      </c>
      <c r="G41" s="49" t="n">
        <v>9.5</v>
      </c>
      <c r="H41" s="59">
        <f>2*Tablo244[[#This Row],[SMYS Psi]]*Tablo244[[#This Row],[Et Kalınlığı ]]/Tablo244[[#This Row],[ÇAP mm]]/14.50377</f>
        <v/>
      </c>
      <c r="I41" s="514" t="n">
        <v>11.1</v>
      </c>
      <c r="J41" s="59">
        <f>2*Tablo244[[#This Row],[SMYS Psi]]*Tablo244[[#This Row],[Et Kalınlığı 2]]/Tablo244[[#This Row],[ÇAP mm]]/14.50377</f>
        <v/>
      </c>
      <c r="K41" s="514" t="n">
        <v>12.7</v>
      </c>
      <c r="L41" s="59">
        <f>2*Tablo244[[#This Row],[SMYS Psi]]*Tablo244[[#This Row],[Et Kalınlığı 3]]/Tablo244[[#This Row],[ÇAP mm]]/14.50377</f>
        <v/>
      </c>
      <c r="M41" s="514" t="n">
        <v>14.3</v>
      </c>
      <c r="N41" s="52">
        <f>2*Tablo244[[#This Row],[SMYS Psi]]*Tablo244[[#This Row],[Et Kalınlığı 4]]/Tablo244[[#This Row],[ÇAP mm]]/14.50377</f>
        <v/>
      </c>
      <c r="O41" s="59" t="n">
        <v>15.9</v>
      </c>
      <c r="P41" s="59">
        <f>2*Tablo244[[#This Row],[SMYS Psi]]*Tablo244[[#This Row],[Et Kalınlığı 5]]/Tablo244[[#This Row],[ÇAP mm]]/14.50377</f>
        <v/>
      </c>
      <c r="Q41" s="17">
        <f>Tablo244[[#This Row],[ÇAP mm]]+1.6</f>
        <v/>
      </c>
      <c r="R41" s="3">
        <f>Tablo244[[#This Row],[ÇAP mm]]-1.6</f>
        <v/>
      </c>
      <c r="S41" s="3">
        <f>IF(Tablo244[[#This Row],[ÇAP mm]]*0.005-4&lt;0,Tablo244[[#This Row],[ÇAP mm]]*1.005,Tablo244[[#This Row],[ÇAP mm]]+4)</f>
        <v/>
      </c>
      <c r="T41" s="19">
        <f>IF(Tablo244[[#This Row],[ÇAP mm]]*0.005-4&lt;0,Tablo244[[#This Row],[ÇAP mm]]*0.995,Tablo244[[#This Row],[ÇAP mm]]+4)</f>
        <v/>
      </c>
      <c r="U41" s="173">
        <f>Tablo244[[#This Row],[ÇAP mm]]/Tablo244[[#This Row],[Et Kalınlığı ]]</f>
        <v/>
      </c>
      <c r="V41" s="60">
        <f>Tablo244[[#This Row],[ÇAP mm]]/Tablo244[[#This Row],[Et Kalınlığı 2]]</f>
        <v/>
      </c>
      <c r="W41" s="60">
        <f>Tablo244[[#This Row],[ÇAP mm]]/Tablo244[[#This Row],[Et Kalınlığı 3]]</f>
        <v/>
      </c>
      <c r="X41" s="61">
        <f>Tablo244[[#This Row],[ÇAP mm]]/Tablo244[[#This Row],[Et Kalınlığı 4]]</f>
        <v/>
      </c>
      <c r="Y41" s="174">
        <f>Tablo244[[#This Row],[ÇAP mm]]/Tablo244[[#This Row],[Et Kalınlığı 5]]</f>
        <v/>
      </c>
      <c r="Z41">
        <f>IF(Tablo244[[#This Row],[ÇAP mm]]/Tablo244[[#This Row],[Et Kalınlığı ]]&lt;75,Tablo244[[#This Row],[ÇAP mm]]*0.01/2,"Anlaşmaya bağlıdır.")</f>
        <v/>
      </c>
      <c r="AA41">
        <f>IF(Tablo244[[#This Row],[ÇAP mm]]/Tablo244[[#This Row],[Et Kalınlığı ]]&lt;75,Tablo244[[#This Row],[ÇAP mm]]*0.015,"Anlaşmaya bağlıdır.")</f>
        <v/>
      </c>
      <c r="AB41" s="520">
        <f>IF(Tablo244[[#This Row],[ÇAP mm]]/Tablo244[[#This Row],[Et Kalınlığı 2]]&lt;75,Tablo244[[#This Row],[ÇAP mm]]*0.01/2,"Anlaşmaya bağlıdır.")</f>
        <v/>
      </c>
      <c r="AC41" s="520">
        <f>IF(Tablo244[[#This Row],[ÇAP mm]]/Tablo244[[#This Row],[Et Kalınlığı 2]]&lt;75,Tablo244[[#This Row],[ÇAP mm]]*0.015,"Anlaşmaya bağlıdır.")</f>
        <v/>
      </c>
      <c r="AD41" s="520">
        <f>IF(Tablo244[[#This Row],[ÇAP mm]]/Tablo244[[#This Row],[Et Kalınlığı 3]]&lt;75,Tablo244[[#This Row],[ÇAP mm]]*0.01/2,"Anlaşmaya bağlıdır.")</f>
        <v/>
      </c>
      <c r="AE41" s="520">
        <f>IF(Tablo244[[#This Row],[ÇAP mm]]/Tablo244[[#This Row],[Et Kalınlığı 3]]&lt;75,Tablo244[[#This Row],[ÇAP mm]]*0.015,"Anlaşmaya bağlıdır.")</f>
        <v/>
      </c>
      <c r="AF41" s="520">
        <f>IF(Tablo244[[#This Row],[ÇAP mm]]/Tablo244[[#This Row],[Et Kalınlığı 4]]&lt;75,Tablo244[[#This Row],[ÇAP mm]]*0.015/2,"Anlaşmaya bağlıdır.")</f>
        <v/>
      </c>
      <c r="AG41" s="64">
        <f>IF(Tablo244[[#This Row],[ÇAP mm]]/Tablo244[[#This Row],[Et Kalınlığı 4]]&lt;75,Tablo244[[#This Row],[ÇAP mm]]*0.015,"Anlaşmaya bağlıdır.")</f>
        <v/>
      </c>
      <c r="AH41" s="520">
        <f>IF(Tablo244[[#This Row],[ÇAP mm]]/Tablo244[[#This Row],[Et Kalınlığı 4]]&lt;75,Tablo244[[#This Row],[ÇAP mm]]*0.015/2,"Anlaşmaya bağlıdır.")</f>
        <v/>
      </c>
      <c r="AI41" s="520">
        <f>IF(Tablo244[[#This Row],[ÇAP mm]]/Tablo244[[#This Row],[Et Kalınlığı 5]]&lt;75,Tablo244[[#This Row],[ÇAP mm]]*0.015,"Anlaşmaya bağlıdır.")</f>
        <v/>
      </c>
      <c r="AJ41" s="11">
        <f>IF(40*Tablo244[[#This Row],[Et Kalınlığı ]]&lt;485,Tablo244[[#This Row],[Et Kalınlığı ]]*40,485)</f>
        <v/>
      </c>
      <c r="AK41" s="5">
        <f>1940*POWER(ROUND(AJ41,-1),0.2)/POWER(Tablo244[[#This Row],[Tensile Mpa]],0.9)</f>
        <v/>
      </c>
      <c r="AL41" s="5">
        <f>IF(40*Tablo244[[#This Row],[Et Kalınlığı 2]]&lt;485,Tablo244[[#This Row],[Et Kalınlığı ]]*40,485)</f>
        <v/>
      </c>
      <c r="AM41" s="5">
        <f>1940*POWER(ROUND(Tablo151[[#This Row],[Axc mm22]],-1),0.2)/POWER(Tablo244[[#This Row],[Tensile Mpa]],0.9)</f>
        <v/>
      </c>
      <c r="AN41" s="5">
        <f>IF(40*Tablo244[[#This Row],[Et Kalınlığı 3]]&lt;485,Tablo244[[#This Row],[Et Kalınlığı ]]*40,485)</f>
        <v/>
      </c>
      <c r="AO41" s="5">
        <f>1940*POWER(ROUND(Tablo151[[#This Row],[Axc mm23]],-1),0.2)/POWER(Tablo244[[#This Row],[Tensile Mpa]],0.9)</f>
        <v/>
      </c>
      <c r="AP41" s="5">
        <f>IF(40*Tablo244[[#This Row],[Et Kalınlığı 4]]&lt;485,Tablo244[[#This Row],[Et Kalınlığı 4]]*40,485)</f>
        <v/>
      </c>
      <c r="AQ41" s="12">
        <f>1940*POWER(ROUND(Tablo151[[#This Row],[Axc mm24]],-1),0.2)/POWER(Tablo244[[#This Row],[Tensile Mpa]],0.9)</f>
        <v/>
      </c>
      <c r="AR41" s="5">
        <f>IF(40*Tablo244[[#This Row],[Et Kalınlığı 5]]&lt;485,Tablo244[[#This Row],[Et Kalınlığı 4]]*40,485)</f>
        <v/>
      </c>
      <c r="AS41" s="64">
        <f>1940*POWER(ROUND(Tablo151[[#This Row],[Axc mm25]],-1),0.2)/POWER(Tablo244[[#This Row],[Tensile Mpa]],0.9)</f>
        <v/>
      </c>
    </row>
    <row r="42">
      <c r="B42" s="43" t="inlineStr">
        <is>
          <t>32"</t>
        </is>
      </c>
      <c r="C42" s="1100" t="n">
        <v>813</v>
      </c>
      <c r="D42" s="1100" t="inlineStr">
        <is>
          <t>X65</t>
        </is>
      </c>
      <c r="E42" s="44" t="n">
        <v>65300</v>
      </c>
      <c r="F42" s="45" t="n">
        <v>535</v>
      </c>
      <c r="G42" s="49" t="n">
        <v>9.5</v>
      </c>
      <c r="H42" s="59">
        <f>2*Tablo244[[#This Row],[SMYS Psi]]*Tablo244[[#This Row],[Et Kalınlığı ]]/Tablo244[[#This Row],[ÇAP mm]]/14.50377</f>
        <v/>
      </c>
      <c r="I42" s="514" t="n">
        <v>11.9</v>
      </c>
      <c r="J42" s="59">
        <f>2*Tablo244[[#This Row],[SMYS Psi]]*Tablo244[[#This Row],[Et Kalınlığı 2]]/Tablo244[[#This Row],[ÇAP mm]]/14.50377</f>
        <v/>
      </c>
      <c r="K42" s="514" t="n">
        <v>14.3</v>
      </c>
      <c r="L42" s="59">
        <f>2*Tablo244[[#This Row],[SMYS Psi]]*Tablo244[[#This Row],[Et Kalınlığı 3]]/Tablo244[[#This Row],[ÇAP mm]]/14.50377</f>
        <v/>
      </c>
      <c r="M42" s="514" t="n">
        <v>15.9</v>
      </c>
      <c r="N42" s="52">
        <f>2*Tablo244[[#This Row],[SMYS Psi]]*Tablo244[[#This Row],[Et Kalınlığı 4]]/Tablo244[[#This Row],[ÇAP mm]]/14.50377</f>
        <v/>
      </c>
      <c r="O42" s="59" t="n">
        <v>17.5</v>
      </c>
      <c r="P42" s="59">
        <f>2*Tablo244[[#This Row],[SMYS Psi]]*Tablo244[[#This Row],[Et Kalınlığı 5]]/Tablo244[[#This Row],[ÇAP mm]]/14.50377</f>
        <v/>
      </c>
      <c r="Q42" s="17">
        <f>Tablo244[[#This Row],[ÇAP mm]]+1.6</f>
        <v/>
      </c>
      <c r="R42" s="3">
        <f>Tablo244[[#This Row],[ÇAP mm]]-1.6</f>
        <v/>
      </c>
      <c r="S42" s="1100">
        <f>IF(Tablo244[[#This Row],[ÇAP mm]]*0.005-4&lt;0,Tablo244[[#This Row],[ÇAP mm]]*1.005,Tablo244[[#This Row],[ÇAP mm]]+4)</f>
        <v/>
      </c>
      <c r="T42" s="18">
        <f>IF(Tablo244[[#This Row],[ÇAP mm]]*0.005-4&lt;0,Tablo244[[#This Row],[ÇAP mm]]*0.995,Tablo244[[#This Row],[ÇAP mm]]-4)</f>
        <v/>
      </c>
      <c r="U42" s="173">
        <f>Tablo244[[#This Row],[ÇAP mm]]/Tablo244[[#This Row],[Et Kalınlığı ]]</f>
        <v/>
      </c>
      <c r="V42" s="60">
        <f>Tablo244[[#This Row],[ÇAP mm]]/Tablo244[[#This Row],[Et Kalınlığı 2]]</f>
        <v/>
      </c>
      <c r="W42" s="60">
        <f>Tablo244[[#This Row],[ÇAP mm]]/Tablo244[[#This Row],[Et Kalınlığı 3]]</f>
        <v/>
      </c>
      <c r="X42" s="61">
        <f>Tablo244[[#This Row],[ÇAP mm]]/Tablo244[[#This Row],[Et Kalınlığı 4]]</f>
        <v/>
      </c>
      <c r="Y42" s="174">
        <f>Tablo244[[#This Row],[ÇAP mm]]/Tablo244[[#This Row],[Et Kalınlığı 5]]</f>
        <v/>
      </c>
      <c r="Z42">
        <f>IF(Tablo244[[#This Row],[ÇAP mm]]/Tablo244[[#This Row],[Et Kalınlığı ]]&lt;75,Tablo244[[#This Row],[ÇAP mm]]*0.01/2,"Anlaşmaya bağlıdır.")</f>
        <v/>
      </c>
      <c r="AA42">
        <f>IF(Tablo244[[#This Row],[ÇAP mm]]/Tablo244[[#This Row],[Et Kalınlığı ]]&lt;75,Tablo244[[#This Row],[ÇAP mm]]*0.015/2,"Anlaşmaya bağlıdır.")</f>
        <v/>
      </c>
      <c r="AB42" s="520">
        <f>IF(Tablo244[[#This Row],[ÇAP mm]]/Tablo244[[#This Row],[Et Kalınlığı 2]]&lt;75,Tablo244[[#This Row],[ÇAP mm]]*0.01/2,"Anlaşmaya bağlıdır.")</f>
        <v/>
      </c>
      <c r="AC42" s="520">
        <f>IF(Tablo244[[#This Row],[ÇAP mm]]/Tablo244[[#This Row],[Et Kalınlığı 2]]&lt;75,Tablo244[[#This Row],[ÇAP mm]]*0.015,"Anlaşmaya bağlıdır.")</f>
        <v/>
      </c>
      <c r="AD42" s="520">
        <f>IF(Tablo244[[#This Row],[ÇAP mm]]/Tablo244[[#This Row],[Et Kalınlığı 3]]&lt;75,Tablo244[[#This Row],[ÇAP mm]]*0.01/2,"Anlaşmaya bağlıdır.")</f>
        <v/>
      </c>
      <c r="AE42" s="520">
        <f>IF(Tablo244[[#This Row],[ÇAP mm]]/Tablo244[[#This Row],[Et Kalınlığı 3]]&lt;75,Tablo244[[#This Row],[ÇAP mm]]*0.015,"Anlaşmaya bağlıdır.")</f>
        <v/>
      </c>
      <c r="AF42" s="520">
        <f>IF(Tablo244[[#This Row],[ÇAP mm]]/Tablo244[[#This Row],[Et Kalınlığı 4]]&lt;75,Tablo244[[#This Row],[ÇAP mm]]*0.015/2,"Anlaşmaya bağlıdır.")</f>
        <v/>
      </c>
      <c r="AG42" s="64">
        <f>IF(Tablo244[[#This Row],[ÇAP mm]]/Tablo244[[#This Row],[Et Kalınlığı 4]]&lt;75,Tablo244[[#This Row],[ÇAP mm]]*0.015,"Anlaşmaya bağlıdır.")</f>
        <v/>
      </c>
      <c r="AH42" s="520">
        <f>IF(Tablo244[[#This Row],[ÇAP mm]]/Tablo244[[#This Row],[Et Kalınlığı 4]]&lt;75,Tablo244[[#This Row],[ÇAP mm]]*0.015/2,"Anlaşmaya bağlıdır.")</f>
        <v/>
      </c>
      <c r="AI42" s="520">
        <f>IF(Tablo244[[#This Row],[ÇAP mm]]/Tablo244[[#This Row],[Et Kalınlığı 5]]&lt;75,Tablo244[[#This Row],[ÇAP mm]]*0.015,"Anlaşmaya bağlıdır.")</f>
        <v/>
      </c>
      <c r="AJ42" s="11">
        <f>IF(40*Tablo244[[#This Row],[Et Kalınlığı ]]&lt;485,Tablo244[[#This Row],[Et Kalınlığı ]]*40,485)</f>
        <v/>
      </c>
      <c r="AK42" s="5">
        <f>1940*POWER(ROUND(AJ42,-1),0.2)/POWER(Tablo244[[#This Row],[Tensile Mpa]],0.9)</f>
        <v/>
      </c>
      <c r="AL42" s="5">
        <f>IF(40*Tablo244[[#This Row],[Et Kalınlığı 2]]&lt;485,Tablo244[[#This Row],[Et Kalınlığı ]]*40,485)</f>
        <v/>
      </c>
      <c r="AM42" s="5">
        <f>1940*POWER(ROUND(Tablo151[[#This Row],[Axc mm22]],-1),0.2)/POWER(Tablo244[[#This Row],[Tensile Mpa]],0.9)</f>
        <v/>
      </c>
      <c r="AN42" s="5">
        <f>IF(40*Tablo244[[#This Row],[Et Kalınlığı 3]]&lt;485,Tablo244[[#This Row],[Et Kalınlığı ]]*40,485)</f>
        <v/>
      </c>
      <c r="AO42" s="5">
        <f>1940*POWER(ROUND(Tablo151[[#This Row],[Axc mm23]],-1),0.2)/POWER(Tablo244[[#This Row],[Tensile Mpa]],0.9)</f>
        <v/>
      </c>
      <c r="AP42" s="5">
        <f>IF(40*Tablo244[[#This Row],[Et Kalınlığı 4]]&lt;485,Tablo244[[#This Row],[Et Kalınlığı 4]]*40,485)</f>
        <v/>
      </c>
      <c r="AQ42" s="12">
        <f>1940*POWER(ROUND(Tablo151[[#This Row],[Axc mm24]],-1),0.2)/POWER(Tablo244[[#This Row],[Tensile Mpa]],0.9)</f>
        <v/>
      </c>
      <c r="AR42" s="5">
        <f>IF(40*Tablo244[[#This Row],[Et Kalınlığı 5]]&lt;485,Tablo244[[#This Row],[Et Kalınlığı 4]]*40,485)</f>
        <v/>
      </c>
      <c r="AS42" s="64">
        <f>1940*POWER(ROUND(Tablo151[[#This Row],[Axc mm25]],-1),0.2)/POWER(Tablo244[[#This Row],[Tensile Mpa]],0.9)</f>
        <v/>
      </c>
    </row>
    <row r="43">
      <c r="B43" s="43" t="inlineStr">
        <is>
          <t>34"</t>
        </is>
      </c>
      <c r="C43" s="1100" t="n">
        <v>864</v>
      </c>
      <c r="D43" s="1100" t="inlineStr">
        <is>
          <t>X65</t>
        </is>
      </c>
      <c r="E43" s="44" t="n">
        <v>65300</v>
      </c>
      <c r="F43" s="45" t="n">
        <v>535</v>
      </c>
      <c r="G43" s="49" t="n">
        <v>10.3</v>
      </c>
      <c r="H43" s="59">
        <f>2*Tablo244[[#This Row],[SMYS Psi]]*Tablo244[[#This Row],[Et Kalınlığı ]]/Tablo244[[#This Row],[ÇAP mm]]/14.50377</f>
        <v/>
      </c>
      <c r="I43" s="514" t="n">
        <v>12.7</v>
      </c>
      <c r="J43" s="59">
        <f>2*Tablo244[[#This Row],[SMYS Psi]]*Tablo244[[#This Row],[Et Kalınlığı 2]]/Tablo244[[#This Row],[ÇAP mm]]/14.50377</f>
        <v/>
      </c>
      <c r="K43" s="514" t="n">
        <v>15.9</v>
      </c>
      <c r="L43" s="59">
        <f>2*Tablo244[[#This Row],[SMYS Psi]]*Tablo244[[#This Row],[Et Kalınlığı 3]]/Tablo244[[#This Row],[ÇAP mm]]/14.50377</f>
        <v/>
      </c>
      <c r="M43" s="514" t="n">
        <v>15.9</v>
      </c>
      <c r="N43" s="52">
        <f>2*Tablo244[[#This Row],[SMYS Psi]]*Tablo244[[#This Row],[Et Kalınlığı 4]]/Tablo244[[#This Row],[ÇAP mm]]/14.50377</f>
        <v/>
      </c>
      <c r="O43" s="59" t="n">
        <v>17.5</v>
      </c>
      <c r="P43" s="59">
        <f>2*Tablo244[[#This Row],[SMYS Psi]]*Tablo244[[#This Row],[Et Kalınlığı 5]]/Tablo244[[#This Row],[ÇAP mm]]/14.50377</f>
        <v/>
      </c>
      <c r="Q43" s="17">
        <f>Tablo244[[#This Row],[ÇAP mm]]+1.6</f>
        <v/>
      </c>
      <c r="R43" s="3">
        <f>Tablo244[[#This Row],[ÇAP mm]]-1.6</f>
        <v/>
      </c>
      <c r="S43" s="1100">
        <f>IF(Tablo244[[#This Row],[ÇAP mm]]*0.005-4&lt;0,Tablo244[[#This Row],[ÇAP mm]]*1.005,Tablo244[[#This Row],[ÇAP mm]]+4)</f>
        <v/>
      </c>
      <c r="T43" s="18">
        <f>IF(Tablo244[[#This Row],[ÇAP mm]]*0.005-4&lt;0,Tablo244[[#This Row],[ÇAP mm]]*0.995,Tablo244[[#This Row],[ÇAP mm]]-4)</f>
        <v/>
      </c>
      <c r="U43" s="173">
        <f>Tablo244[[#This Row],[ÇAP mm]]/Tablo244[[#This Row],[Et Kalınlığı ]]</f>
        <v/>
      </c>
      <c r="V43" s="60">
        <f>Tablo244[[#This Row],[ÇAP mm]]/Tablo244[[#This Row],[Et Kalınlığı 2]]</f>
        <v/>
      </c>
      <c r="W43" s="60">
        <f>Tablo244[[#This Row],[ÇAP mm]]/Tablo244[[#This Row],[Et Kalınlığı 3]]</f>
        <v/>
      </c>
      <c r="X43" s="61">
        <f>Tablo244[[#This Row],[ÇAP mm]]/Tablo244[[#This Row],[Et Kalınlığı 4]]</f>
        <v/>
      </c>
      <c r="Y43" s="174">
        <f>Tablo244[[#This Row],[ÇAP mm]]/Tablo244[[#This Row],[Et Kalınlığı 5]]</f>
        <v/>
      </c>
      <c r="Z43">
        <f>IF(Tablo244[[#This Row],[ÇAP mm]]/Tablo244[[#This Row],[Et Kalınlığı ]]&lt;75,Tablo244[[#This Row],[ÇAP mm]]*0.01/2,"Anlaşmaya bağlıdır.")</f>
        <v/>
      </c>
      <c r="AA43">
        <f>IF(Tablo244[[#This Row],[ÇAP mm]]/Tablo244[[#This Row],[Et Kalınlığı ]]&lt;75,Tablo244[[#This Row],[ÇAP mm]]*0.015/2,"Anlaşmaya bağlıdır.")</f>
        <v/>
      </c>
      <c r="AB43" s="520">
        <f>IF(Tablo244[[#This Row],[ÇAP mm]]/Tablo244[[#This Row],[Et Kalınlığı 2]]&lt;75,Tablo244[[#This Row],[ÇAP mm]]*0.01/2,"Anlaşmaya bağlıdır.")</f>
        <v/>
      </c>
      <c r="AC43" s="520">
        <f>IF(Tablo244[[#This Row],[ÇAP mm]]/Tablo244[[#This Row],[Et Kalınlığı 2]]&lt;75,Tablo244[[#This Row],[ÇAP mm]]*0.015,"Anlaşmaya bağlıdır.")</f>
        <v/>
      </c>
      <c r="AD43" s="520">
        <f>IF(Tablo244[[#This Row],[ÇAP mm]]/Tablo244[[#This Row],[Et Kalınlığı 3]]&lt;75,Tablo244[[#This Row],[ÇAP mm]]*0.01/2,"Anlaşmaya bağlıdır.")</f>
        <v/>
      </c>
      <c r="AE43" s="520">
        <f>IF(Tablo244[[#This Row],[ÇAP mm]]/Tablo244[[#This Row],[Et Kalınlığı 3]]&lt;75,Tablo244[[#This Row],[ÇAP mm]]*0.015,"Anlaşmaya bağlıdır.")</f>
        <v/>
      </c>
      <c r="AF43" s="520">
        <f>IF(Tablo244[[#This Row],[ÇAP mm]]/Tablo244[[#This Row],[Et Kalınlığı 4]]&lt;75,Tablo244[[#This Row],[ÇAP mm]]*0.015/2,"Anlaşmaya bağlıdır.")</f>
        <v/>
      </c>
      <c r="AG43" s="64">
        <f>IF(Tablo244[[#This Row],[ÇAP mm]]/Tablo244[[#This Row],[Et Kalınlığı 4]]&lt;75,Tablo244[[#This Row],[ÇAP mm]]*0.015,"Anlaşmaya bağlıdır.")</f>
        <v/>
      </c>
      <c r="AH43" s="520">
        <f>IF(Tablo244[[#This Row],[ÇAP mm]]/Tablo244[[#This Row],[Et Kalınlığı 4]]&lt;75,Tablo244[[#This Row],[ÇAP mm]]*0.015/2,"Anlaşmaya bağlıdır.")</f>
        <v/>
      </c>
      <c r="AI43" s="520">
        <f>IF(Tablo244[[#This Row],[ÇAP mm]]/Tablo244[[#This Row],[Et Kalınlığı 5]]&lt;75,Tablo244[[#This Row],[ÇAP mm]]*0.015,"Anlaşmaya bağlıdır.")</f>
        <v/>
      </c>
      <c r="AJ43" s="11">
        <f>IF(40*Tablo244[[#This Row],[Et Kalınlığı ]]&lt;485,Tablo244[[#This Row],[Et Kalınlığı ]]*40,485)</f>
        <v/>
      </c>
      <c r="AK43" s="5">
        <f>1940*POWER(ROUND(AJ43,-1),0.2)/POWER(Tablo244[[#This Row],[Tensile Mpa]],0.9)</f>
        <v/>
      </c>
      <c r="AL43" s="5">
        <f>IF(40*Tablo244[[#This Row],[Et Kalınlığı 2]]&lt;485,Tablo244[[#This Row],[Et Kalınlığı ]]*40,485)</f>
        <v/>
      </c>
      <c r="AM43" s="5">
        <f>1940*POWER(ROUND(Tablo151[[#This Row],[Axc mm22]],-1),0.2)/POWER(Tablo244[[#This Row],[Tensile Mpa]],0.9)</f>
        <v/>
      </c>
      <c r="AN43" s="5">
        <f>IF(40*Tablo244[[#This Row],[Et Kalınlığı 3]]&lt;485,Tablo244[[#This Row],[Et Kalınlığı ]]*40,485)</f>
        <v/>
      </c>
      <c r="AO43" s="5">
        <f>1940*POWER(ROUND(Tablo151[[#This Row],[Axc mm23]],-1),0.2)/POWER(Tablo244[[#This Row],[Tensile Mpa]],0.9)</f>
        <v/>
      </c>
      <c r="AP43" s="5">
        <f>IF(40*Tablo244[[#This Row],[Et Kalınlığı 4]]&lt;485,Tablo244[[#This Row],[Et Kalınlığı 4]]*40,485)</f>
        <v/>
      </c>
      <c r="AQ43" s="12">
        <f>1940*POWER(ROUND(Tablo151[[#This Row],[Axc mm24]],-1),0.2)/POWER(Tablo244[[#This Row],[Tensile Mpa]],0.9)</f>
        <v/>
      </c>
      <c r="AR43" s="5">
        <f>IF(40*Tablo244[[#This Row],[Et Kalınlığı 5]]&lt;485,Tablo244[[#This Row],[Et Kalınlığı 4]]*40,485)</f>
        <v/>
      </c>
      <c r="AS43" s="64">
        <f>1940*POWER(ROUND(Tablo151[[#This Row],[Axc mm25]],-1),0.2)/POWER(Tablo244[[#This Row],[Tensile Mpa]],0.9)</f>
        <v/>
      </c>
    </row>
    <row r="44">
      <c r="B44" s="43" t="inlineStr">
        <is>
          <t>36"</t>
        </is>
      </c>
      <c r="C44" s="1100" t="n">
        <v>914</v>
      </c>
      <c r="D44" s="1100" t="inlineStr">
        <is>
          <t>X65</t>
        </is>
      </c>
      <c r="E44" s="44" t="n">
        <v>65300</v>
      </c>
      <c r="F44" s="45" t="n">
        <v>535</v>
      </c>
      <c r="G44" s="49" t="n">
        <v>11.1</v>
      </c>
      <c r="H44" s="59">
        <f>2*Tablo244[[#This Row],[SMYS Psi]]*Tablo244[[#This Row],[Et Kalınlığı ]]/Tablo244[[#This Row],[ÇAP mm]]/14.50377</f>
        <v/>
      </c>
      <c r="I44" s="514" t="n">
        <v>12.7</v>
      </c>
      <c r="J44" s="59">
        <f>2*Tablo244[[#This Row],[SMYS Psi]]*Tablo244[[#This Row],[Et Kalınlığı 2]]/Tablo244[[#This Row],[ÇAP mm]]/14.50377</f>
        <v/>
      </c>
      <c r="K44" s="514" t="n">
        <v>15.9</v>
      </c>
      <c r="L44" s="59">
        <f>2*Tablo244[[#This Row],[SMYS Psi]]*Tablo244[[#This Row],[Et Kalınlığı 3]]/Tablo244[[#This Row],[ÇAP mm]]/14.50377</f>
        <v/>
      </c>
      <c r="M44" s="514" t="n">
        <v>17.5</v>
      </c>
      <c r="N44" s="52">
        <f>2*Tablo244[[#This Row],[SMYS Psi]]*Tablo244[[#This Row],[Et Kalınlığı 4]]/Tablo244[[#This Row],[ÇAP mm]]/14.50377</f>
        <v/>
      </c>
      <c r="O44" s="59" t="n">
        <v>19.1</v>
      </c>
      <c r="P44" s="59">
        <f>2*Tablo244[[#This Row],[SMYS Psi]]*Tablo244[[#This Row],[Et Kalınlığı 5]]/Tablo244[[#This Row],[ÇAP mm]]/14.50377</f>
        <v/>
      </c>
      <c r="Q44" s="17">
        <f>Tablo244[[#This Row],[ÇAP mm]]+1.6</f>
        <v/>
      </c>
      <c r="R44" s="3">
        <f>Tablo244[[#This Row],[ÇAP mm]]-1.6</f>
        <v/>
      </c>
      <c r="S44" s="1100">
        <f>IF(Tablo244[[#This Row],[ÇAP mm]]*0.005-4&lt;0,Tablo244[[#This Row],[ÇAP mm]]*1.005,Tablo244[[#This Row],[ÇAP mm]]+4)</f>
        <v/>
      </c>
      <c r="T44" s="18">
        <f>IF(Tablo244[[#This Row],[ÇAP mm]]*0.005-4&lt;0,Tablo244[[#This Row],[ÇAP mm]]*0.995,Tablo244[[#This Row],[ÇAP mm]]-4)</f>
        <v/>
      </c>
      <c r="U44" s="173">
        <f>Tablo244[[#This Row],[ÇAP mm]]/Tablo244[[#This Row],[Et Kalınlığı ]]</f>
        <v/>
      </c>
      <c r="V44" s="60">
        <f>Tablo244[[#This Row],[ÇAP mm]]/Tablo244[[#This Row],[Et Kalınlığı 2]]</f>
        <v/>
      </c>
      <c r="W44" s="60">
        <f>Tablo244[[#This Row],[ÇAP mm]]/Tablo244[[#This Row],[Et Kalınlığı 3]]</f>
        <v/>
      </c>
      <c r="X44" s="61">
        <f>Tablo244[[#This Row],[ÇAP mm]]/Tablo244[[#This Row],[Et Kalınlığı 4]]</f>
        <v/>
      </c>
      <c r="Y44" s="174">
        <f>Tablo244[[#This Row],[ÇAP mm]]/Tablo244[[#This Row],[Et Kalınlığı 5]]</f>
        <v/>
      </c>
      <c r="Z44">
        <f>IF(Tablo244[[#This Row],[ÇAP mm]]/Tablo244[[#This Row],[Et Kalınlığı ]]&lt;75,Tablo244[[#This Row],[ÇAP mm]]*0.01/2,"Anlaşmaya bağlıdır.")</f>
        <v/>
      </c>
      <c r="AA44">
        <f>IF(Tablo244[[#This Row],[ÇAP mm]]/Tablo244[[#This Row],[Et Kalınlığı ]]&lt;75,Tablo244[[#This Row],[ÇAP mm]]*0.015/2,"Anlaşmaya bağlıdır.")</f>
        <v/>
      </c>
      <c r="AB44" s="520">
        <f>IF(Tablo244[[#This Row],[ÇAP mm]]/Tablo244[[#This Row],[Et Kalınlığı 2]]&lt;75,Tablo244[[#This Row],[ÇAP mm]]*0.01/2,"Anlaşmaya bağlıdır.")</f>
        <v/>
      </c>
      <c r="AC44" s="520">
        <f>IF(Tablo244[[#This Row],[ÇAP mm]]/Tablo244[[#This Row],[Et Kalınlığı 2]]&lt;75,Tablo244[[#This Row],[ÇAP mm]]*0.015,"Anlaşmaya bağlıdır.")</f>
        <v/>
      </c>
      <c r="AD44" s="520">
        <f>IF(Tablo244[[#This Row],[ÇAP mm]]/Tablo244[[#This Row],[Et Kalınlığı 3]]&lt;75,Tablo244[[#This Row],[ÇAP mm]]*0.01/2,"Anlaşmaya bağlıdır.")</f>
        <v/>
      </c>
      <c r="AE44" s="520">
        <f>IF(Tablo244[[#This Row],[ÇAP mm]]/Tablo244[[#This Row],[Et Kalınlığı 3]]&lt;75,Tablo244[[#This Row],[ÇAP mm]]*0.015,"Anlaşmaya bağlıdır.")</f>
        <v/>
      </c>
      <c r="AF44" s="520">
        <f>IF(Tablo244[[#This Row],[ÇAP mm]]/Tablo244[[#This Row],[Et Kalınlığı 4]]&lt;75,Tablo244[[#This Row],[ÇAP mm]]*0.015/2,"Anlaşmaya bağlıdır.")</f>
        <v/>
      </c>
      <c r="AG44" s="64">
        <f>IF(Tablo244[[#This Row],[ÇAP mm]]/Tablo244[[#This Row],[Et Kalınlığı 4]]&lt;75,Tablo244[[#This Row],[ÇAP mm]]*0.015,"Anlaşmaya bağlıdır.")</f>
        <v/>
      </c>
      <c r="AH44" s="520">
        <f>IF(Tablo244[[#This Row],[ÇAP mm]]/Tablo244[[#This Row],[Et Kalınlığı 4]]&lt;75,Tablo244[[#This Row],[ÇAP mm]]*0.015/2,"Anlaşmaya bağlıdır.")</f>
        <v/>
      </c>
      <c r="AI44" s="520">
        <f>IF(Tablo244[[#This Row],[ÇAP mm]]/Tablo244[[#This Row],[Et Kalınlığı 5]]&lt;75,Tablo244[[#This Row],[ÇAP mm]]*0.015,"Anlaşmaya bağlıdır.")</f>
        <v/>
      </c>
      <c r="AJ44" s="11">
        <f>IF(40*Tablo244[[#This Row],[Et Kalınlığı ]]&lt;485,Tablo244[[#This Row],[Et Kalınlığı ]]*40,485)</f>
        <v/>
      </c>
      <c r="AK44" s="5">
        <f>1940*POWER(ROUND(AJ44,-1),0.2)/POWER(Tablo244[[#This Row],[Tensile Mpa]],0.9)</f>
        <v/>
      </c>
      <c r="AL44" s="5">
        <f>IF(40*Tablo244[[#This Row],[Et Kalınlığı 2]]&lt;485,Tablo244[[#This Row],[Et Kalınlığı ]]*40,485)</f>
        <v/>
      </c>
      <c r="AM44" s="5">
        <f>1940*POWER(ROUND(Tablo151[[#This Row],[Axc mm22]],-1),0.2)/POWER(Tablo244[[#This Row],[Tensile Mpa]],0.9)</f>
        <v/>
      </c>
      <c r="AN44" s="5">
        <f>IF(40*Tablo244[[#This Row],[Et Kalınlığı 3]]&lt;485,Tablo244[[#This Row],[Et Kalınlığı ]]*40,485)</f>
        <v/>
      </c>
      <c r="AO44" s="5">
        <f>1940*POWER(ROUND(Tablo151[[#This Row],[Axc mm23]],-1),0.2)/POWER(Tablo244[[#This Row],[Tensile Mpa]],0.9)</f>
        <v/>
      </c>
      <c r="AP44" s="5">
        <f>IF(40*Tablo244[[#This Row],[Et Kalınlığı 4]]&lt;485,Tablo244[[#This Row],[Et Kalınlığı 4]]*40,485)</f>
        <v/>
      </c>
      <c r="AQ44" s="12">
        <f>1940*POWER(ROUND(Tablo151[[#This Row],[Axc mm24]],-1),0.2)/POWER(Tablo244[[#This Row],[Tensile Mpa]],0.9)</f>
        <v/>
      </c>
      <c r="AR44" s="5">
        <f>IF(40*Tablo244[[#This Row],[Et Kalınlığı 5]]&lt;485,Tablo244[[#This Row],[Et Kalınlığı 4]]*40,485)</f>
        <v/>
      </c>
      <c r="AS44" s="64">
        <f>1940*POWER(ROUND(Tablo151[[#This Row],[Axc mm25]],-1),0.2)/POWER(Tablo244[[#This Row],[Tensile Mpa]],0.9)</f>
        <v/>
      </c>
    </row>
    <row r="45">
      <c r="B45" s="43" t="inlineStr">
        <is>
          <t>38"</t>
        </is>
      </c>
      <c r="C45" s="1100" t="n">
        <v>965</v>
      </c>
      <c r="D45" s="1100" t="inlineStr">
        <is>
          <t>X65</t>
        </is>
      </c>
      <c r="E45" s="44" t="n">
        <v>65300</v>
      </c>
      <c r="F45" s="45" t="n">
        <v>535</v>
      </c>
      <c r="G45" s="49" t="n">
        <v>11.9</v>
      </c>
      <c r="H45" s="59">
        <f>2*Tablo244[[#This Row],[SMYS Psi]]*Tablo244[[#This Row],[Et Kalınlığı ]]/Tablo244[[#This Row],[ÇAP mm]]/14.50377</f>
        <v/>
      </c>
      <c r="I45" s="514" t="n">
        <v>14.3</v>
      </c>
      <c r="J45" s="59">
        <f>2*Tablo244[[#This Row],[SMYS Psi]]*Tablo244[[#This Row],[Et Kalınlığı 2]]/Tablo244[[#This Row],[ÇAP mm]]/14.50377</f>
        <v/>
      </c>
      <c r="K45" s="514" t="n">
        <v>17.5</v>
      </c>
      <c r="L45" s="59">
        <f>2*Tablo244[[#This Row],[SMYS Psi]]*Tablo244[[#This Row],[Et Kalınlığı 3]]/Tablo244[[#This Row],[ÇAP mm]]/14.50377</f>
        <v/>
      </c>
      <c r="M45" s="514" t="n">
        <v>19.1</v>
      </c>
      <c r="N45" s="52">
        <f>2*Tablo244[[#This Row],[SMYS Psi]]*Tablo244[[#This Row],[Et Kalınlığı 4]]/Tablo244[[#This Row],[ÇAP mm]]/14.50377</f>
        <v/>
      </c>
      <c r="O45" s="59" t="n">
        <v>20.6</v>
      </c>
      <c r="P45" s="59">
        <f>2*Tablo244[[#This Row],[SMYS Psi]]*Tablo244[[#This Row],[Et Kalınlığı 5]]/Tablo244[[#This Row],[ÇAP mm]]/14.50377</f>
        <v/>
      </c>
      <c r="Q45" s="17">
        <f>Tablo244[[#This Row],[ÇAP mm]]+1.6</f>
        <v/>
      </c>
      <c r="R45" s="3">
        <f>Tablo244[[#This Row],[ÇAP mm]]-1.6</f>
        <v/>
      </c>
      <c r="S45" s="1100">
        <f>IF(Tablo244[[#This Row],[ÇAP mm]]*0.005-4&lt;0,Tablo244[[#This Row],[ÇAP mm]]*1.005,Tablo244[[#This Row],[ÇAP mm]]+4)</f>
        <v/>
      </c>
      <c r="T45" s="18">
        <f>IF(Tablo244[[#This Row],[ÇAP mm]]*0.005-4&lt;0,Tablo244[[#This Row],[ÇAP mm]]*0.995,Tablo244[[#This Row],[ÇAP mm]]-4)</f>
        <v/>
      </c>
      <c r="U45" s="173">
        <f>Tablo244[[#This Row],[ÇAP mm]]/Tablo244[[#This Row],[Et Kalınlığı ]]</f>
        <v/>
      </c>
      <c r="V45" s="60">
        <f>Tablo244[[#This Row],[ÇAP mm]]/Tablo244[[#This Row],[Et Kalınlığı 2]]</f>
        <v/>
      </c>
      <c r="W45" s="60">
        <f>Tablo244[[#This Row],[ÇAP mm]]/Tablo244[[#This Row],[Et Kalınlığı 3]]</f>
        <v/>
      </c>
      <c r="X45" s="61">
        <f>Tablo244[[#This Row],[ÇAP mm]]/Tablo244[[#This Row],[Et Kalınlığı 4]]</f>
        <v/>
      </c>
      <c r="Y45" s="174">
        <f>Tablo244[[#This Row],[ÇAP mm]]/Tablo244[[#This Row],[Et Kalınlığı 5]]</f>
        <v/>
      </c>
      <c r="Z45">
        <f>IF(Tablo244[[#This Row],[ÇAP mm]]/Tablo244[[#This Row],[Et Kalınlığı ]]&lt;75,Tablo244[[#This Row],[ÇAP mm]]*0.01/2,"Anlaşmaya bağlıdır.")</f>
        <v/>
      </c>
      <c r="AA45">
        <f>IF(Tablo244[[#This Row],[ÇAP mm]]/Tablo244[[#This Row],[Et Kalınlığı ]]&lt;75,Tablo244[[#This Row],[ÇAP mm]]*0.015/2,"Anlaşmaya bağlıdır.")</f>
        <v/>
      </c>
      <c r="AB45" s="520">
        <f>IF(Tablo244[[#This Row],[ÇAP mm]]/Tablo244[[#This Row],[Et Kalınlığı 2]]&lt;75,Tablo244[[#This Row],[ÇAP mm]]*0.01/2,"Anlaşmaya bağlıdır.")</f>
        <v/>
      </c>
      <c r="AC45" s="520">
        <f>IF(Tablo244[[#This Row],[ÇAP mm]]/Tablo244[[#This Row],[Et Kalınlığı 2]]&lt;75,Tablo244[[#This Row],[ÇAP mm]]*0.015,"Anlaşmaya bağlıdır.")</f>
        <v/>
      </c>
      <c r="AD45" s="520">
        <f>IF(Tablo244[[#This Row],[ÇAP mm]]/Tablo244[[#This Row],[Et Kalınlığı 3]]&lt;75,Tablo244[[#This Row],[ÇAP mm]]*0.01/2,"Anlaşmaya bağlıdır.")</f>
        <v/>
      </c>
      <c r="AE45" s="520">
        <f>IF(Tablo244[[#This Row],[ÇAP mm]]/Tablo244[[#This Row],[Et Kalınlığı 3]]&lt;75,Tablo244[[#This Row],[ÇAP mm]]*0.015,"Anlaşmaya bağlıdır.")</f>
        <v/>
      </c>
      <c r="AF45" s="520">
        <f>IF(Tablo244[[#This Row],[ÇAP mm]]/Tablo244[[#This Row],[Et Kalınlığı 4]]&lt;75,Tablo244[[#This Row],[ÇAP mm]]*0.015/2,"Anlaşmaya bağlıdır.")</f>
        <v/>
      </c>
      <c r="AG45" s="64">
        <f>IF(Tablo244[[#This Row],[ÇAP mm]]/Tablo244[[#This Row],[Et Kalınlığı 4]]&lt;75,Tablo244[[#This Row],[ÇAP mm]]*0.015,"Anlaşmaya bağlıdır.")</f>
        <v/>
      </c>
      <c r="AH45" s="520">
        <f>IF(Tablo244[[#This Row],[ÇAP mm]]/Tablo244[[#This Row],[Et Kalınlığı 4]]&lt;75,Tablo244[[#This Row],[ÇAP mm]]*0.015/2,"Anlaşmaya bağlıdır.")</f>
        <v/>
      </c>
      <c r="AI45" s="520">
        <f>IF(Tablo244[[#This Row],[ÇAP mm]]/Tablo244[[#This Row],[Et Kalınlığı 5]]&lt;75,Tablo244[[#This Row],[ÇAP mm]]*0.015,"Anlaşmaya bağlıdır.")</f>
        <v/>
      </c>
      <c r="AJ45" s="11">
        <f>IF(40*Tablo244[[#This Row],[Et Kalınlığı ]]&lt;485,Tablo244[[#This Row],[Et Kalınlığı ]]*40,485)</f>
        <v/>
      </c>
      <c r="AK45" s="5">
        <f>1940*POWER(ROUND(AJ45,-1),0.2)/POWER(Tablo244[[#This Row],[Tensile Mpa]],0.9)</f>
        <v/>
      </c>
      <c r="AL45" s="5">
        <f>IF(40*Tablo244[[#This Row],[Et Kalınlığı 2]]&lt;485,Tablo244[[#This Row],[Et Kalınlığı ]]*40,485)</f>
        <v/>
      </c>
      <c r="AM45" s="5">
        <f>1940*POWER(ROUND(Tablo151[[#This Row],[Axc mm22]],-1),0.2)/POWER(Tablo244[[#This Row],[Tensile Mpa]],0.9)</f>
        <v/>
      </c>
      <c r="AN45" s="5">
        <f>IF(40*Tablo244[[#This Row],[Et Kalınlığı 3]]&lt;485,Tablo244[[#This Row],[Et Kalınlığı ]]*40,485)</f>
        <v/>
      </c>
      <c r="AO45" s="5">
        <f>1940*POWER(ROUND(Tablo151[[#This Row],[Axc mm23]],-1),0.2)/POWER(Tablo244[[#This Row],[Tensile Mpa]],0.9)</f>
        <v/>
      </c>
      <c r="AP45" s="5">
        <f>IF(40*Tablo244[[#This Row],[Et Kalınlığı 4]]&lt;485,Tablo244[[#This Row],[Et Kalınlığı 4]]*40,485)</f>
        <v/>
      </c>
      <c r="AQ45" s="12">
        <f>1940*POWER(ROUND(Tablo151[[#This Row],[Axc mm24]],-1),0.2)/POWER(Tablo244[[#This Row],[Tensile Mpa]],0.9)</f>
        <v/>
      </c>
      <c r="AR45" s="5">
        <f>IF(40*Tablo244[[#This Row],[Et Kalınlığı 5]]&lt;485,Tablo244[[#This Row],[Et Kalınlığı 4]]*40,485)</f>
        <v/>
      </c>
      <c r="AS45" s="64">
        <f>1940*POWER(ROUND(Tablo151[[#This Row],[Axc mm25]],-1),0.2)/POWER(Tablo244[[#This Row],[Tensile Mpa]],0.9)</f>
        <v/>
      </c>
    </row>
    <row r="46">
      <c r="B46" s="43" t="inlineStr">
        <is>
          <t>40"</t>
        </is>
      </c>
      <c r="C46" s="1100" t="n">
        <v>1016</v>
      </c>
      <c r="D46" s="1100" t="inlineStr">
        <is>
          <t>X65</t>
        </is>
      </c>
      <c r="E46" s="44" t="n">
        <v>65300</v>
      </c>
      <c r="F46" s="45" t="n">
        <v>535</v>
      </c>
      <c r="G46" s="49" t="n">
        <v>11.9</v>
      </c>
      <c r="H46" s="59">
        <f>2*Tablo244[[#This Row],[SMYS Psi]]*Tablo244[[#This Row],[Et Kalınlığı ]]/Tablo244[[#This Row],[ÇAP mm]]/14.50377</f>
        <v/>
      </c>
      <c r="I46" s="514" t="n">
        <v>14.3</v>
      </c>
      <c r="J46" s="59">
        <f>2*Tablo244[[#This Row],[SMYS Psi]]*Tablo244[[#This Row],[Et Kalınlığı 2]]/Tablo244[[#This Row],[ÇAP mm]]/14.50377</f>
        <v/>
      </c>
      <c r="K46" s="514" t="n">
        <v>17.5</v>
      </c>
      <c r="L46" s="59">
        <f>2*Tablo244[[#This Row],[SMYS Psi]]*Tablo244[[#This Row],[Et Kalınlığı 3]]/Tablo244[[#This Row],[ÇAP mm]]/14.50377</f>
        <v/>
      </c>
      <c r="M46" s="514" t="n">
        <v>19.1</v>
      </c>
      <c r="N46" s="52">
        <f>2*Tablo244[[#This Row],[SMYS Psi]]*Tablo244[[#This Row],[Et Kalınlığı 4]]/Tablo244[[#This Row],[ÇAP mm]]/14.50377</f>
        <v/>
      </c>
      <c r="O46" s="59" t="n">
        <v>20.6</v>
      </c>
      <c r="P46" s="59">
        <f>2*Tablo244[[#This Row],[SMYS Psi]]*Tablo244[[#This Row],[Et Kalınlığı 5]]/Tablo244[[#This Row],[ÇAP mm]]/14.50377</f>
        <v/>
      </c>
      <c r="Q46" s="17">
        <f>Tablo244[[#This Row],[ÇAP mm]]+1.6</f>
        <v/>
      </c>
      <c r="R46" s="3">
        <f>Tablo244[[#This Row],[ÇAP mm]]-1.6</f>
        <v/>
      </c>
      <c r="S46" s="1100">
        <f>IF(Tablo244[[#This Row],[ÇAP mm]]*0.005-4&lt;0,Tablo244[[#This Row],[ÇAP mm]]*1.005,Tablo244[[#This Row],[ÇAP mm]]+4)</f>
        <v/>
      </c>
      <c r="T46" s="18">
        <f>IF(Tablo244[[#This Row],[ÇAP mm]]*0.005-4&lt;0,Tablo244[[#This Row],[ÇAP mm]]*0.995,Tablo244[[#This Row],[ÇAP mm]]-4)</f>
        <v/>
      </c>
      <c r="U46" s="173">
        <f>Tablo244[[#This Row],[ÇAP mm]]/Tablo244[[#This Row],[Et Kalınlığı ]]</f>
        <v/>
      </c>
      <c r="V46" s="60">
        <f>Tablo244[[#This Row],[ÇAP mm]]/Tablo244[[#This Row],[Et Kalınlığı 2]]</f>
        <v/>
      </c>
      <c r="W46" s="60">
        <f>Tablo244[[#This Row],[ÇAP mm]]/Tablo244[[#This Row],[Et Kalınlığı 3]]</f>
        <v/>
      </c>
      <c r="X46" s="61">
        <f>Tablo244[[#This Row],[ÇAP mm]]/Tablo244[[#This Row],[Et Kalınlığı 4]]</f>
        <v/>
      </c>
      <c r="Y46" s="174">
        <f>Tablo244[[#This Row],[ÇAP mm]]/Tablo244[[#This Row],[Et Kalınlığı 5]]</f>
        <v/>
      </c>
      <c r="Z46">
        <f>IF(Tablo244[[#This Row],[ÇAP mm]]/Tablo244[[#This Row],[Et Kalınlığı ]]&lt;75,Tablo244[[#This Row],[ÇAP mm]]*0.01/2,"Anlaşmaya bağlıdır.")</f>
        <v/>
      </c>
      <c r="AA46">
        <f>IF(Tablo244[[#This Row],[ÇAP mm]]/Tablo244[[#This Row],[Et Kalınlığı ]]&lt;75,Tablo244[[#This Row],[ÇAP mm]]*0.015/2,"Anlaşmaya bağlıdır.")</f>
        <v/>
      </c>
      <c r="AB46" s="520">
        <f>IF(Tablo244[[#This Row],[ÇAP mm]]/Tablo244[[#This Row],[Et Kalınlığı 2]]&lt;75,Tablo244[[#This Row],[ÇAP mm]]*0.01/2,"Anlaşmaya bağlıdır.")</f>
        <v/>
      </c>
      <c r="AC46" s="520">
        <f>IF(Tablo244[[#This Row],[ÇAP mm]]/Tablo244[[#This Row],[Et Kalınlığı 2]]&lt;75,Tablo244[[#This Row],[ÇAP mm]]*0.015,"Anlaşmaya bağlıdır.")</f>
        <v/>
      </c>
      <c r="AD46" s="520">
        <f>IF(Tablo244[[#This Row],[ÇAP mm]]/Tablo244[[#This Row],[Et Kalınlığı 3]]&lt;75,Tablo244[[#This Row],[ÇAP mm]]*0.01/2,"Anlaşmaya bağlıdır.")</f>
        <v/>
      </c>
      <c r="AE46" s="520">
        <f>IF(Tablo244[[#This Row],[ÇAP mm]]/Tablo244[[#This Row],[Et Kalınlığı 3]]&lt;75,Tablo244[[#This Row],[ÇAP mm]]*0.015,"Anlaşmaya bağlıdır.")</f>
        <v/>
      </c>
      <c r="AF46" s="520">
        <f>IF(Tablo244[[#This Row],[ÇAP mm]]/Tablo244[[#This Row],[Et Kalınlığı 4]]&lt;75,Tablo244[[#This Row],[ÇAP mm]]*0.015/2,"Anlaşmaya bağlıdır.")</f>
        <v/>
      </c>
      <c r="AG46" s="64">
        <f>IF(Tablo244[[#This Row],[ÇAP mm]]/Tablo244[[#This Row],[Et Kalınlığı 4]]&lt;75,Tablo244[[#This Row],[ÇAP mm]]*0.015,"Anlaşmaya bağlıdır.")</f>
        <v/>
      </c>
      <c r="AH46" s="520">
        <f>IF(Tablo244[[#This Row],[ÇAP mm]]/Tablo244[[#This Row],[Et Kalınlığı 4]]&lt;75,Tablo244[[#This Row],[ÇAP mm]]*0.015/2,"Anlaşmaya bağlıdır.")</f>
        <v/>
      </c>
      <c r="AI46" s="520">
        <f>IF(Tablo244[[#This Row],[ÇAP mm]]/Tablo244[[#This Row],[Et Kalınlığı 5]]&lt;75,Tablo244[[#This Row],[ÇAP mm]]*0.015,"Anlaşmaya bağlıdır.")</f>
        <v/>
      </c>
      <c r="AJ46" s="11">
        <f>IF(40*Tablo244[[#This Row],[Et Kalınlığı ]]&lt;485,Tablo244[[#This Row],[Et Kalınlığı ]]*40,485)</f>
        <v/>
      </c>
      <c r="AK46" s="5">
        <f>1940*POWER(ROUND(AJ46,-1),0.2)/POWER(Tablo244[[#This Row],[Tensile Mpa]],0.9)</f>
        <v/>
      </c>
      <c r="AL46" s="5">
        <f>IF(40*Tablo244[[#This Row],[Et Kalınlığı 2]]&lt;485,Tablo244[[#This Row],[Et Kalınlığı ]]*40,485)</f>
        <v/>
      </c>
      <c r="AM46" s="5">
        <f>1940*POWER(ROUND(Tablo151[[#This Row],[Axc mm22]],-1),0.2)/POWER(Tablo244[[#This Row],[Tensile Mpa]],0.9)</f>
        <v/>
      </c>
      <c r="AN46" s="5">
        <f>IF(40*Tablo244[[#This Row],[Et Kalınlığı 3]]&lt;485,Tablo244[[#This Row],[Et Kalınlığı ]]*40,485)</f>
        <v/>
      </c>
      <c r="AO46" s="5">
        <f>1940*POWER(ROUND(Tablo151[[#This Row],[Axc mm23]],-1),0.2)/POWER(Tablo244[[#This Row],[Tensile Mpa]],0.9)</f>
        <v/>
      </c>
      <c r="AP46" s="5">
        <f>IF(40*Tablo244[[#This Row],[Et Kalınlığı 4]]&lt;485,Tablo244[[#This Row],[Et Kalınlığı 4]]*40,485)</f>
        <v/>
      </c>
      <c r="AQ46" s="12">
        <f>1940*POWER(ROUND(Tablo151[[#This Row],[Axc mm24]],-1),0.2)/POWER(Tablo244[[#This Row],[Tensile Mpa]],0.9)</f>
        <v/>
      </c>
      <c r="AR46" s="5">
        <f>IF(40*Tablo244[[#This Row],[Et Kalınlığı 5]]&lt;485,Tablo244[[#This Row],[Et Kalınlığı 4]]*40,485)</f>
        <v/>
      </c>
      <c r="AS46" s="64">
        <f>1940*POWER(ROUND(Tablo151[[#This Row],[Axc mm25]],-1),0.2)/POWER(Tablo244[[#This Row],[Tensile Mpa]],0.9)</f>
        <v/>
      </c>
    </row>
    <row r="47">
      <c r="B47" s="43" t="inlineStr">
        <is>
          <t>42"</t>
        </is>
      </c>
      <c r="C47" s="1100" t="n">
        <v>1067</v>
      </c>
      <c r="D47" s="1100" t="inlineStr">
        <is>
          <t>X65</t>
        </is>
      </c>
      <c r="E47" s="44" t="n">
        <v>65300</v>
      </c>
      <c r="F47" s="45" t="n">
        <v>535</v>
      </c>
      <c r="G47" s="49" t="n">
        <v>12.7</v>
      </c>
      <c r="H47" s="59">
        <f>2*Tablo244[[#This Row],[SMYS Psi]]*Tablo244[[#This Row],[Et Kalınlığı ]]/Tablo244[[#This Row],[ÇAP mm]]/14.50377</f>
        <v/>
      </c>
      <c r="I47" s="514" t="n">
        <v>15.9</v>
      </c>
      <c r="J47" s="59">
        <f>2*Tablo244[[#This Row],[SMYS Psi]]*Tablo244[[#This Row],[Et Kalınlığı 2]]/Tablo244[[#This Row],[ÇAP mm]]/14.50377</f>
        <v/>
      </c>
      <c r="K47" s="514" t="n">
        <v>19.1</v>
      </c>
      <c r="L47" s="59">
        <f>2*Tablo244[[#This Row],[SMYS Psi]]*Tablo244[[#This Row],[Et Kalınlığı 3]]/Tablo244[[#This Row],[ÇAP mm]]/14.50377</f>
        <v/>
      </c>
      <c r="M47" s="514" t="n">
        <v>20.6</v>
      </c>
      <c r="N47" s="52">
        <f>2*Tablo244[[#This Row],[SMYS Psi]]*Tablo244[[#This Row],[Et Kalınlığı 4]]/Tablo244[[#This Row],[ÇAP mm]]/14.50377</f>
        <v/>
      </c>
      <c r="O47" s="59" t="n">
        <v>22.2</v>
      </c>
      <c r="P47" s="59">
        <f>2*Tablo244[[#This Row],[SMYS Psi]]*Tablo244[[#This Row],[Et Kalınlığı 5]]/Tablo244[[#This Row],[ÇAP mm]]/14.50377</f>
        <v/>
      </c>
      <c r="Q47" s="17">
        <f>Tablo244[[#This Row],[ÇAP mm]]+1.6</f>
        <v/>
      </c>
      <c r="R47" s="3">
        <f>Tablo244[[#This Row],[ÇAP mm]]-1.6</f>
        <v/>
      </c>
      <c r="S47" s="1100">
        <f>IF(Tablo244[[#This Row],[ÇAP mm]]*0.005-4&lt;0,Tablo244[[#This Row],[ÇAP mm]]*1.005,Tablo244[[#This Row],[ÇAP mm]]+4)</f>
        <v/>
      </c>
      <c r="T47" s="18">
        <f>IF(Tablo244[[#This Row],[ÇAP mm]]*0.005-4&lt;0,Tablo244[[#This Row],[ÇAP mm]]*0.995,Tablo244[[#This Row],[ÇAP mm]]-4)</f>
        <v/>
      </c>
      <c r="U47" s="173">
        <f>Tablo244[[#This Row],[ÇAP mm]]/Tablo244[[#This Row],[Et Kalınlığı ]]</f>
        <v/>
      </c>
      <c r="V47" s="60">
        <f>Tablo244[[#This Row],[ÇAP mm]]/Tablo244[[#This Row],[Et Kalınlığı 2]]</f>
        <v/>
      </c>
      <c r="W47" s="60">
        <f>Tablo244[[#This Row],[ÇAP mm]]/Tablo244[[#This Row],[Et Kalınlığı 3]]</f>
        <v/>
      </c>
      <c r="X47" s="61">
        <f>Tablo244[[#This Row],[ÇAP mm]]/Tablo244[[#This Row],[Et Kalınlığı 4]]</f>
        <v/>
      </c>
      <c r="Y47" s="174">
        <f>Tablo244[[#This Row],[ÇAP mm]]/Tablo244[[#This Row],[Et Kalınlığı 5]]</f>
        <v/>
      </c>
      <c r="Z47">
        <f>IF(Tablo244[[#This Row],[ÇAP mm]]/Tablo244[[#This Row],[Et Kalınlığı ]]&lt;75,Tablo244[[#This Row],[ÇAP mm]]*0.01/2,"Anlaşmaya bağlıdır.")</f>
        <v/>
      </c>
      <c r="AA47">
        <f>IF(Tablo244[[#This Row],[ÇAP mm]]/Tablo244[[#This Row],[Et Kalınlığı ]]&lt;75,Tablo244[[#This Row],[ÇAP mm]]*0.015/2,"Anlaşmaya bağlıdır.")</f>
        <v/>
      </c>
      <c r="AB47" s="520">
        <f>IF(Tablo244[[#This Row],[ÇAP mm]]/Tablo244[[#This Row],[Et Kalınlığı 2]]&lt;75,Tablo244[[#This Row],[ÇAP mm]]*0.01/2,"Anlaşmaya bağlıdır.")</f>
        <v/>
      </c>
      <c r="AC47" s="520">
        <f>IF(Tablo244[[#This Row],[ÇAP mm]]/Tablo244[[#This Row],[Et Kalınlığı 2]]&lt;75,Tablo244[[#This Row],[ÇAP mm]]*0.015,"Anlaşmaya bağlıdır.")</f>
        <v/>
      </c>
      <c r="AD47" s="520">
        <f>IF(Tablo244[[#This Row],[ÇAP mm]]/Tablo244[[#This Row],[Et Kalınlığı 3]]&lt;75,Tablo244[[#This Row],[ÇAP mm]]*0.01/2,"Anlaşmaya bağlıdır.")</f>
        <v/>
      </c>
      <c r="AE47" s="520">
        <f>IF(Tablo244[[#This Row],[ÇAP mm]]/Tablo244[[#This Row],[Et Kalınlığı 3]]&lt;75,Tablo244[[#This Row],[ÇAP mm]]*0.015,"Anlaşmaya bağlıdır.")</f>
        <v/>
      </c>
      <c r="AF47" s="520">
        <f>IF(Tablo244[[#This Row],[ÇAP mm]]/Tablo244[[#This Row],[Et Kalınlığı 4]]&lt;75,Tablo244[[#This Row],[ÇAP mm]]*0.015/2,"Anlaşmaya bağlıdır.")</f>
        <v/>
      </c>
      <c r="AG47" s="64">
        <f>IF(Tablo244[[#This Row],[ÇAP mm]]/Tablo244[[#This Row],[Et Kalınlığı 4]]&lt;75,Tablo244[[#This Row],[ÇAP mm]]*0.015,"Anlaşmaya bağlıdır.")</f>
        <v/>
      </c>
      <c r="AH47" s="520">
        <f>IF(Tablo244[[#This Row],[ÇAP mm]]/Tablo244[[#This Row],[Et Kalınlığı 4]]&lt;75,Tablo244[[#This Row],[ÇAP mm]]*0.015/2,"Anlaşmaya bağlıdır.")</f>
        <v/>
      </c>
      <c r="AI47" s="520">
        <f>IF(Tablo244[[#This Row],[ÇAP mm]]/Tablo244[[#This Row],[Et Kalınlığı 5]]&lt;75,Tablo244[[#This Row],[ÇAP mm]]*0.015,"Anlaşmaya bağlıdır.")</f>
        <v/>
      </c>
      <c r="AJ47" s="11">
        <f>IF(40*Tablo244[[#This Row],[Et Kalınlığı ]]&lt;485,Tablo244[[#This Row],[Et Kalınlığı ]]*40,485)</f>
        <v/>
      </c>
      <c r="AK47" s="5">
        <f>1940*POWER(ROUND(AJ47,-1),0.2)/POWER(Tablo244[[#This Row],[Tensile Mpa]],0.9)</f>
        <v/>
      </c>
      <c r="AL47" s="5">
        <f>IF(40*Tablo244[[#This Row],[Et Kalınlığı 2]]&lt;485,Tablo244[[#This Row],[Et Kalınlığı ]]*40,485)</f>
        <v/>
      </c>
      <c r="AM47" s="5">
        <f>1940*POWER(ROUND(Tablo151[[#This Row],[Axc mm22]],-1),0.2)/POWER(Tablo244[[#This Row],[Tensile Mpa]],0.9)</f>
        <v/>
      </c>
      <c r="AN47" s="5">
        <f>IF(40*Tablo244[[#This Row],[Et Kalınlığı 3]]&lt;485,Tablo244[[#This Row],[Et Kalınlığı ]]*40,485)</f>
        <v/>
      </c>
      <c r="AO47" s="5">
        <f>1940*POWER(ROUND(Tablo151[[#This Row],[Axc mm23]],-1),0.2)/POWER(Tablo244[[#This Row],[Tensile Mpa]],0.9)</f>
        <v/>
      </c>
      <c r="AP47" s="5">
        <f>IF(40*Tablo244[[#This Row],[Et Kalınlığı 4]]&lt;485,Tablo244[[#This Row],[Et Kalınlığı 4]]*40,485)</f>
        <v/>
      </c>
      <c r="AQ47" s="12">
        <f>1940*POWER(ROUND(Tablo151[[#This Row],[Axc mm24]],-1),0.2)/POWER(Tablo244[[#This Row],[Tensile Mpa]],0.9)</f>
        <v/>
      </c>
      <c r="AR47" s="5">
        <f>IF(40*Tablo244[[#This Row],[Et Kalınlığı 5]]&lt;485,Tablo244[[#This Row],[Et Kalınlığı 4]]*40,485)</f>
        <v/>
      </c>
      <c r="AS47" s="64">
        <f>1940*POWER(ROUND(Tablo151[[#This Row],[Axc mm25]],-1),0.2)/POWER(Tablo244[[#This Row],[Tensile Mpa]],0.9)</f>
        <v/>
      </c>
    </row>
    <row r="48">
      <c r="B48" s="43" t="inlineStr">
        <is>
          <t>44"</t>
        </is>
      </c>
      <c r="C48" s="1100" t="n">
        <v>1118</v>
      </c>
      <c r="D48" s="1100" t="inlineStr">
        <is>
          <t>X65</t>
        </is>
      </c>
      <c r="E48" s="44" t="n">
        <v>65300</v>
      </c>
      <c r="F48" s="45" t="n">
        <v>535</v>
      </c>
      <c r="G48" s="49" t="n">
        <v>14.3</v>
      </c>
      <c r="H48" s="59">
        <f>2*Tablo244[[#This Row],[SMYS Psi]]*Tablo244[[#This Row],[Et Kalınlığı ]]/Tablo244[[#This Row],[ÇAP mm]]/14.50377</f>
        <v/>
      </c>
      <c r="I48" s="514" t="n">
        <v>15.9</v>
      </c>
      <c r="J48" s="59">
        <f>2*Tablo244[[#This Row],[SMYS Psi]]*Tablo244[[#This Row],[Et Kalınlığı 2]]/Tablo244[[#This Row],[ÇAP mm]]/14.50377</f>
        <v/>
      </c>
      <c r="K48" s="514" t="n">
        <v>19.1</v>
      </c>
      <c r="L48" s="59">
        <f>2*Tablo244[[#This Row],[SMYS Psi]]*Tablo244[[#This Row],[Et Kalınlığı 3]]/Tablo244[[#This Row],[ÇAP mm]]/14.50377</f>
        <v/>
      </c>
      <c r="M48" s="514" t="n">
        <v>20.6</v>
      </c>
      <c r="N48" s="52">
        <f>2*Tablo244[[#This Row],[SMYS Psi]]*Tablo244[[#This Row],[Et Kalınlığı 4]]/Tablo244[[#This Row],[ÇAP mm]]/14.50377</f>
        <v/>
      </c>
      <c r="O48" s="59" t="n">
        <v>22.2</v>
      </c>
      <c r="P48" s="59">
        <f>2*Tablo244[[#This Row],[SMYS Psi]]*Tablo244[[#This Row],[Et Kalınlığı 5]]/Tablo244[[#This Row],[ÇAP mm]]/14.50377</f>
        <v/>
      </c>
      <c r="Q48" s="17">
        <f>Tablo244[[#This Row],[ÇAP mm]]+1.6</f>
        <v/>
      </c>
      <c r="R48" s="3">
        <f>Tablo244[[#This Row],[ÇAP mm]]-1.6</f>
        <v/>
      </c>
      <c r="S48" s="1100">
        <f>IF(Tablo244[[#This Row],[ÇAP mm]]*0.005-4&lt;0,Tablo244[[#This Row],[ÇAP mm]]*1.005,Tablo244[[#This Row],[ÇAP mm]]+4)</f>
        <v/>
      </c>
      <c r="T48" s="18">
        <f>IF(Tablo244[[#This Row],[ÇAP mm]]*0.005-4&lt;0,Tablo244[[#This Row],[ÇAP mm]]*0.995,Tablo244[[#This Row],[ÇAP mm]]-4)</f>
        <v/>
      </c>
      <c r="U48" s="173">
        <f>Tablo244[[#This Row],[ÇAP mm]]/Tablo244[[#This Row],[Et Kalınlığı ]]</f>
        <v/>
      </c>
      <c r="V48" s="60">
        <f>Tablo244[[#This Row],[ÇAP mm]]/Tablo244[[#This Row],[Et Kalınlığı 2]]</f>
        <v/>
      </c>
      <c r="W48" s="60">
        <f>Tablo244[[#This Row],[ÇAP mm]]/Tablo244[[#This Row],[Et Kalınlığı 3]]</f>
        <v/>
      </c>
      <c r="X48" s="61">
        <f>Tablo244[[#This Row],[ÇAP mm]]/Tablo244[[#This Row],[Et Kalınlığı 4]]</f>
        <v/>
      </c>
      <c r="Y48" s="174">
        <f>Tablo244[[#This Row],[ÇAP mm]]/Tablo244[[#This Row],[Et Kalınlığı 5]]</f>
        <v/>
      </c>
      <c r="Z48">
        <f>IF(Tablo244[[#This Row],[ÇAP mm]]/Tablo244[[#This Row],[Et Kalınlığı ]]&lt;75,Tablo244[[#This Row],[ÇAP mm]]*0.01/2,"Anlaşmaya bağlıdır.")</f>
        <v/>
      </c>
      <c r="AA48">
        <f>IF(Tablo244[[#This Row],[ÇAP mm]]/Tablo244[[#This Row],[Et Kalınlığı ]]&lt;75,Tablo244[[#This Row],[ÇAP mm]]*0.015/2,"Anlaşmaya bağlıdır.")</f>
        <v/>
      </c>
      <c r="AB48" s="520">
        <f>IF(Tablo244[[#This Row],[ÇAP mm]]/Tablo244[[#This Row],[Et Kalınlığı 2]]&lt;75,Tablo244[[#This Row],[ÇAP mm]]*0.01/2,"Anlaşmaya bağlıdır.")</f>
        <v/>
      </c>
      <c r="AC48" s="520">
        <f>IF(Tablo244[[#This Row],[ÇAP mm]]/Tablo244[[#This Row],[Et Kalınlığı 2]]&lt;75,Tablo244[[#This Row],[ÇAP mm]]*0.015,"Anlaşmaya bağlıdır.")</f>
        <v/>
      </c>
      <c r="AD48" s="520">
        <f>IF(Tablo244[[#This Row],[ÇAP mm]]/Tablo244[[#This Row],[Et Kalınlığı 3]]&lt;75,Tablo244[[#This Row],[ÇAP mm]]*0.01/2,"Anlaşmaya bağlıdır.")</f>
        <v/>
      </c>
      <c r="AE48" s="520">
        <f>IF(Tablo244[[#This Row],[ÇAP mm]]/Tablo244[[#This Row],[Et Kalınlığı 3]]&lt;75,Tablo244[[#This Row],[ÇAP mm]]*0.015,"Anlaşmaya bağlıdır.")</f>
        <v/>
      </c>
      <c r="AF48" s="520">
        <f>IF(Tablo244[[#This Row],[ÇAP mm]]/Tablo244[[#This Row],[Et Kalınlığı 4]]&lt;75,Tablo244[[#This Row],[ÇAP mm]]*0.015/2,"Anlaşmaya bağlıdır.")</f>
        <v/>
      </c>
      <c r="AG48" s="64">
        <f>IF(Tablo244[[#This Row],[ÇAP mm]]/Tablo244[[#This Row],[Et Kalınlığı 4]]&lt;75,Tablo244[[#This Row],[ÇAP mm]]*0.015,"Anlaşmaya bağlıdır.")</f>
        <v/>
      </c>
      <c r="AH48" s="520">
        <f>IF(Tablo244[[#This Row],[ÇAP mm]]/Tablo244[[#This Row],[Et Kalınlığı 4]]&lt;75,Tablo244[[#This Row],[ÇAP mm]]*0.015/2,"Anlaşmaya bağlıdır.")</f>
        <v/>
      </c>
      <c r="AI48" s="520">
        <f>IF(Tablo244[[#This Row],[ÇAP mm]]/Tablo244[[#This Row],[Et Kalınlığı 5]]&lt;75,Tablo244[[#This Row],[ÇAP mm]]*0.015,"Anlaşmaya bağlıdır.")</f>
        <v/>
      </c>
      <c r="AJ48" s="11">
        <f>IF(40*Tablo244[[#This Row],[Et Kalınlığı ]]&lt;485,Tablo244[[#This Row],[Et Kalınlığı ]]*40,485)</f>
        <v/>
      </c>
      <c r="AK48" s="5">
        <f>1940*POWER(ROUND(AJ48,-1),0.2)/POWER(Tablo244[[#This Row],[Tensile Mpa]],0.9)</f>
        <v/>
      </c>
      <c r="AL48" s="5">
        <f>IF(40*Tablo244[[#This Row],[Et Kalınlığı 2]]&lt;485,Tablo244[[#This Row],[Et Kalınlığı ]]*40,485)</f>
        <v/>
      </c>
      <c r="AM48" s="5">
        <f>1940*POWER(ROUND(Tablo151[[#This Row],[Axc mm22]],-1),0.2)/POWER(Tablo244[[#This Row],[Tensile Mpa]],0.9)</f>
        <v/>
      </c>
      <c r="AN48" s="5">
        <f>IF(40*Tablo244[[#This Row],[Et Kalınlığı 3]]&lt;485,Tablo244[[#This Row],[Et Kalınlığı ]]*40,485)</f>
        <v/>
      </c>
      <c r="AO48" s="5">
        <f>1940*POWER(ROUND(Tablo151[[#This Row],[Axc mm23]],-1),0.2)/POWER(Tablo244[[#This Row],[Tensile Mpa]],0.9)</f>
        <v/>
      </c>
      <c r="AP48" s="5">
        <f>IF(40*Tablo244[[#This Row],[Et Kalınlığı 4]]&lt;485,Tablo244[[#This Row],[Et Kalınlığı 4]]*40,485)</f>
        <v/>
      </c>
      <c r="AQ48" s="12">
        <f>1940*POWER(ROUND(Tablo151[[#This Row],[Axc mm24]],-1),0.2)/POWER(Tablo244[[#This Row],[Tensile Mpa]],0.9)</f>
        <v/>
      </c>
      <c r="AR48" s="5">
        <f>IF(40*Tablo244[[#This Row],[Et Kalınlığı 5]]&lt;485,Tablo244[[#This Row],[Et Kalınlığı 4]]*40,485)</f>
        <v/>
      </c>
      <c r="AS48" s="64">
        <f>1940*POWER(ROUND(Tablo151[[#This Row],[Axc mm25]],-1),0.2)/POWER(Tablo244[[#This Row],[Tensile Mpa]],0.9)</f>
        <v/>
      </c>
    </row>
    <row r="49">
      <c r="B49" s="43" t="inlineStr">
        <is>
          <t>46"</t>
        </is>
      </c>
      <c r="C49" s="1100" t="n">
        <v>1168</v>
      </c>
      <c r="D49" s="1100" t="inlineStr">
        <is>
          <t>X65</t>
        </is>
      </c>
      <c r="E49" s="44" t="n">
        <v>65300</v>
      </c>
      <c r="F49" s="45" t="n">
        <v>535</v>
      </c>
      <c r="G49" s="49" t="n">
        <v>14.3</v>
      </c>
      <c r="H49" s="59">
        <f>2*Tablo244[[#This Row],[SMYS Psi]]*Tablo244[[#This Row],[Et Kalınlığı ]]/Tablo244[[#This Row],[ÇAP mm]]/14.50377</f>
        <v/>
      </c>
      <c r="I49" s="514" t="n">
        <v>17.5</v>
      </c>
      <c r="J49" s="59">
        <f>2*Tablo244[[#This Row],[SMYS Psi]]*Tablo244[[#This Row],[Et Kalınlığı 2]]/Tablo244[[#This Row],[ÇAP mm]]/14.50377</f>
        <v/>
      </c>
      <c r="K49" s="514" t="n">
        <v>20.6</v>
      </c>
      <c r="L49" s="59">
        <f>2*Tablo244[[#This Row],[SMYS Psi]]*Tablo244[[#This Row],[Et Kalınlığı 3]]/Tablo244[[#This Row],[ÇAP mm]]/14.50377</f>
        <v/>
      </c>
      <c r="M49" s="514" t="n">
        <v>22.2</v>
      </c>
      <c r="N49" s="52">
        <f>2*Tablo244[[#This Row],[SMYS Psi]]*Tablo244[[#This Row],[Et Kalınlığı 4]]/Tablo244[[#This Row],[ÇAP mm]]/14.50377</f>
        <v/>
      </c>
      <c r="O49" s="59" t="n">
        <v>23.8</v>
      </c>
      <c r="P49" s="59">
        <f>2*Tablo244[[#This Row],[SMYS Psi]]*Tablo244[[#This Row],[Et Kalınlığı 5]]/Tablo244[[#This Row],[ÇAP mm]]/14.50377</f>
        <v/>
      </c>
      <c r="Q49" s="17">
        <f>Tablo244[[#This Row],[ÇAP mm]]+1.6</f>
        <v/>
      </c>
      <c r="R49" s="3">
        <f>Tablo244[[#This Row],[ÇAP mm]]-1.6</f>
        <v/>
      </c>
      <c r="S49" s="1100">
        <f>IF(Tablo244[[#This Row],[ÇAP mm]]*0.005-4&lt;0,Tablo244[[#This Row],[ÇAP mm]]*1.005,Tablo244[[#This Row],[ÇAP mm]]+4)</f>
        <v/>
      </c>
      <c r="T49" s="18">
        <f>IF(Tablo244[[#This Row],[ÇAP mm]]*0.005-4&lt;0,Tablo244[[#This Row],[ÇAP mm]]*0.995,Tablo244[[#This Row],[ÇAP mm]]-4)</f>
        <v/>
      </c>
      <c r="U49" s="173">
        <f>Tablo244[[#This Row],[ÇAP mm]]/Tablo244[[#This Row],[Et Kalınlığı ]]</f>
        <v/>
      </c>
      <c r="V49" s="60">
        <f>Tablo244[[#This Row],[ÇAP mm]]/Tablo244[[#This Row],[Et Kalınlığı 2]]</f>
        <v/>
      </c>
      <c r="W49" s="60">
        <f>Tablo244[[#This Row],[ÇAP mm]]/Tablo244[[#This Row],[Et Kalınlığı 3]]</f>
        <v/>
      </c>
      <c r="X49" s="61">
        <f>Tablo244[[#This Row],[ÇAP mm]]/Tablo244[[#This Row],[Et Kalınlığı 4]]</f>
        <v/>
      </c>
      <c r="Y49" s="174">
        <f>Tablo244[[#This Row],[ÇAP mm]]/Tablo244[[#This Row],[Et Kalınlığı 5]]</f>
        <v/>
      </c>
      <c r="Z49">
        <f>IF(Tablo244[[#This Row],[ÇAP mm]]/Tablo244[[#This Row],[Et Kalınlığı ]]&lt;75,Tablo244[[#This Row],[ÇAP mm]]*0.01/2,"Anlaşmaya bağlıdır.")</f>
        <v/>
      </c>
      <c r="AA49">
        <f>IF(Tablo244[[#This Row],[ÇAP mm]]/Tablo244[[#This Row],[Et Kalınlığı ]]&lt;75,Tablo244[[#This Row],[ÇAP mm]]*0.015/2,"Anlaşmaya bağlıdır.")</f>
        <v/>
      </c>
      <c r="AB49" s="520">
        <f>IF(Tablo244[[#This Row],[ÇAP mm]]/Tablo244[[#This Row],[Et Kalınlığı 2]]&lt;75,Tablo244[[#This Row],[ÇAP mm]]*0.01/2,"Anlaşmaya bağlıdır.")</f>
        <v/>
      </c>
      <c r="AC49" s="520">
        <f>IF(Tablo244[[#This Row],[ÇAP mm]]/Tablo244[[#This Row],[Et Kalınlığı 2]]&lt;75,Tablo244[[#This Row],[ÇAP mm]]*0.015,"Anlaşmaya bağlıdır.")</f>
        <v/>
      </c>
      <c r="AD49" s="520">
        <f>IF(Tablo244[[#This Row],[ÇAP mm]]/Tablo244[[#This Row],[Et Kalınlığı 3]]&lt;75,Tablo244[[#This Row],[ÇAP mm]]*0.01/2,"Anlaşmaya bağlıdır.")</f>
        <v/>
      </c>
      <c r="AE49" s="520">
        <f>IF(Tablo244[[#This Row],[ÇAP mm]]/Tablo244[[#This Row],[Et Kalınlığı 3]]&lt;75,Tablo244[[#This Row],[ÇAP mm]]*0.015,"Anlaşmaya bağlıdır.")</f>
        <v/>
      </c>
      <c r="AF49" s="520">
        <f>IF(Tablo244[[#This Row],[ÇAP mm]]/Tablo244[[#This Row],[Et Kalınlığı 4]]&lt;75,Tablo244[[#This Row],[ÇAP mm]]*0.015/2,"Anlaşmaya bağlıdır.")</f>
        <v/>
      </c>
      <c r="AG49" s="64">
        <f>IF(Tablo244[[#This Row],[ÇAP mm]]/Tablo244[[#This Row],[Et Kalınlığı 4]]&lt;75,Tablo244[[#This Row],[ÇAP mm]]*0.015,"Anlaşmaya bağlıdır.")</f>
        <v/>
      </c>
      <c r="AH49" s="520">
        <f>IF(Tablo244[[#This Row],[ÇAP mm]]/Tablo244[[#This Row],[Et Kalınlığı 4]]&lt;75,Tablo244[[#This Row],[ÇAP mm]]*0.015/2,"Anlaşmaya bağlıdır.")</f>
        <v/>
      </c>
      <c r="AI49" s="520">
        <f>IF(Tablo244[[#This Row],[ÇAP mm]]/Tablo244[[#This Row],[Et Kalınlığı 5]]&lt;75,Tablo244[[#This Row],[ÇAP mm]]*0.015,"Anlaşmaya bağlıdır.")</f>
        <v/>
      </c>
      <c r="AJ49" s="11">
        <f>IF(40*Tablo244[[#This Row],[Et Kalınlığı ]]&lt;485,Tablo244[[#This Row],[Et Kalınlığı ]]*40,485)</f>
        <v/>
      </c>
      <c r="AK49" s="5">
        <f>1940*POWER(ROUND(AJ49,-1),0.2)/POWER(Tablo244[[#This Row],[Tensile Mpa]],0.9)</f>
        <v/>
      </c>
      <c r="AL49" s="5">
        <f>IF(40*Tablo244[[#This Row],[Et Kalınlığı 2]]&lt;485,Tablo244[[#This Row],[Et Kalınlığı ]]*40,485)</f>
        <v/>
      </c>
      <c r="AM49" s="5">
        <f>1940*POWER(ROUND(Tablo151[[#This Row],[Axc mm22]],-1),0.2)/POWER(Tablo244[[#This Row],[Tensile Mpa]],0.9)</f>
        <v/>
      </c>
      <c r="AN49" s="5">
        <f>IF(40*Tablo244[[#This Row],[Et Kalınlığı 3]]&lt;485,Tablo244[[#This Row],[Et Kalınlığı ]]*40,485)</f>
        <v/>
      </c>
      <c r="AO49" s="5">
        <f>1940*POWER(ROUND(Tablo151[[#This Row],[Axc mm23]],-1),0.2)/POWER(Tablo244[[#This Row],[Tensile Mpa]],0.9)</f>
        <v/>
      </c>
      <c r="AP49" s="5">
        <f>IF(40*Tablo244[[#This Row],[Et Kalınlığı 4]]&lt;485,Tablo244[[#This Row],[Et Kalınlığı 4]]*40,485)</f>
        <v/>
      </c>
      <c r="AQ49" s="12">
        <f>1940*POWER(ROUND(Tablo151[[#This Row],[Axc mm24]],-1),0.2)/POWER(Tablo244[[#This Row],[Tensile Mpa]],0.9)</f>
        <v/>
      </c>
      <c r="AR49" s="5">
        <f>IF(40*Tablo244[[#This Row],[Et Kalınlığı 5]]&lt;485,Tablo244[[#This Row],[Et Kalınlığı 4]]*40,485)</f>
        <v/>
      </c>
      <c r="AS49" s="64">
        <f>1940*POWER(ROUND(Tablo151[[#This Row],[Axc mm25]],-1),0.2)/POWER(Tablo244[[#This Row],[Tensile Mpa]],0.9)</f>
        <v/>
      </c>
    </row>
    <row r="50">
      <c r="B50" s="43" t="inlineStr">
        <is>
          <t>48"</t>
        </is>
      </c>
      <c r="C50" s="1100" t="n">
        <v>1219</v>
      </c>
      <c r="D50" s="1100" t="inlineStr">
        <is>
          <t>X65</t>
        </is>
      </c>
      <c r="E50" s="44" t="n">
        <v>65300</v>
      </c>
      <c r="F50" s="45" t="n">
        <v>535</v>
      </c>
      <c r="G50" s="49" t="n">
        <v>14.3</v>
      </c>
      <c r="H50" s="59">
        <f>2*Tablo244[[#This Row],[SMYS Psi]]*Tablo244[[#This Row],[Et Kalınlığı ]]/Tablo244[[#This Row],[ÇAP mm]]/14.50377</f>
        <v/>
      </c>
      <c r="I50" s="514" t="n">
        <v>17.5</v>
      </c>
      <c r="J50" s="59">
        <f>2*Tablo244[[#This Row],[SMYS Psi]]*Tablo244[[#This Row],[Et Kalınlığı 2]]/Tablo244[[#This Row],[ÇAP mm]]/14.50377</f>
        <v/>
      </c>
      <c r="K50" s="514" t="n">
        <v>20.6</v>
      </c>
      <c r="L50" s="59">
        <f>2*Tablo244[[#This Row],[SMYS Psi]]*Tablo244[[#This Row],[Et Kalınlığı 3]]/Tablo244[[#This Row],[ÇAP mm]]/14.50377</f>
        <v/>
      </c>
      <c r="M50" s="514" t="n">
        <v>22.2</v>
      </c>
      <c r="N50" s="52">
        <f>2*Tablo244[[#This Row],[SMYS Psi]]*Tablo244[[#This Row],[Et Kalınlığı 4]]/Tablo244[[#This Row],[ÇAP mm]]/14.50377</f>
        <v/>
      </c>
      <c r="O50" s="59" t="n">
        <v>23.8</v>
      </c>
      <c r="P50" s="59">
        <f>2*Tablo244[[#This Row],[SMYS Psi]]*Tablo244[[#This Row],[Et Kalınlığı 5]]/Tablo244[[#This Row],[ÇAP mm]]/14.50377</f>
        <v/>
      </c>
      <c r="Q50" s="17">
        <f>Tablo244[[#This Row],[ÇAP mm]]+1.6</f>
        <v/>
      </c>
      <c r="R50" s="3">
        <f>Tablo244[[#This Row],[ÇAP mm]]-1.6</f>
        <v/>
      </c>
      <c r="S50" s="1100">
        <f>IF(Tablo244[[#This Row],[ÇAP mm]]*0.005-4&lt;0,Tablo244[[#This Row],[ÇAP mm]]*1.005,Tablo244[[#This Row],[ÇAP mm]]+4)</f>
        <v/>
      </c>
      <c r="T50" s="18">
        <f>IF(Tablo244[[#This Row],[ÇAP mm]]*0.005-4&lt;0,Tablo244[[#This Row],[ÇAP mm]]*0.995,Tablo244[[#This Row],[ÇAP mm]]-4)</f>
        <v/>
      </c>
      <c r="U50" s="173">
        <f>Tablo244[[#This Row],[ÇAP mm]]/Tablo244[[#This Row],[Et Kalınlığı ]]</f>
        <v/>
      </c>
      <c r="V50" s="60">
        <f>Tablo244[[#This Row],[ÇAP mm]]/Tablo244[[#This Row],[Et Kalınlığı 2]]</f>
        <v/>
      </c>
      <c r="W50" s="60">
        <f>Tablo244[[#This Row],[ÇAP mm]]/Tablo244[[#This Row],[Et Kalınlığı 3]]</f>
        <v/>
      </c>
      <c r="X50" s="61">
        <f>Tablo244[[#This Row],[ÇAP mm]]/Tablo244[[#This Row],[Et Kalınlığı 4]]</f>
        <v/>
      </c>
      <c r="Y50" s="174">
        <f>Tablo244[[#This Row],[ÇAP mm]]/Tablo244[[#This Row],[Et Kalınlığı 5]]</f>
        <v/>
      </c>
      <c r="Z50">
        <f>IF(Tablo244[[#This Row],[ÇAP mm]]/Tablo244[[#This Row],[Et Kalınlığı ]]&lt;75,Tablo244[[#This Row],[ÇAP mm]]*0.01/2,"Anlaşmaya bağlıdır.")</f>
        <v/>
      </c>
      <c r="AA50">
        <f>IF(Tablo244[[#This Row],[ÇAP mm]]/Tablo244[[#This Row],[Et Kalınlığı ]]&lt;75,Tablo244[[#This Row],[ÇAP mm]]*0.015/2,"Anlaşmaya bağlıdır.")</f>
        <v/>
      </c>
      <c r="AB50" s="520">
        <f>IF(Tablo244[[#This Row],[ÇAP mm]]/Tablo244[[#This Row],[Et Kalınlığı 2]]&lt;75,Tablo244[[#This Row],[ÇAP mm]]*0.01/2,"Anlaşmaya bağlıdır.")</f>
        <v/>
      </c>
      <c r="AC50" s="520">
        <f>IF(Tablo244[[#This Row],[ÇAP mm]]/Tablo244[[#This Row],[Et Kalınlığı 2]]&lt;75,Tablo244[[#This Row],[ÇAP mm]]*0.015,"Anlaşmaya bağlıdır.")</f>
        <v/>
      </c>
      <c r="AD50" s="520">
        <f>IF(Tablo244[[#This Row],[ÇAP mm]]/Tablo244[[#This Row],[Et Kalınlığı 3]]&lt;75,Tablo244[[#This Row],[ÇAP mm]]*0.01/2,"Anlaşmaya bağlıdır.")</f>
        <v/>
      </c>
      <c r="AE50" s="520">
        <f>IF(Tablo244[[#This Row],[ÇAP mm]]/Tablo244[[#This Row],[Et Kalınlığı 3]]&lt;75,Tablo244[[#This Row],[ÇAP mm]]*0.015,"Anlaşmaya bağlıdır.")</f>
        <v/>
      </c>
      <c r="AF50" s="520">
        <f>IF(Tablo244[[#This Row],[ÇAP mm]]/Tablo244[[#This Row],[Et Kalınlığı 4]]&lt;75,Tablo244[[#This Row],[ÇAP mm]]*0.015/2,"Anlaşmaya bağlıdır.")</f>
        <v/>
      </c>
      <c r="AG50" s="64">
        <f>IF(Tablo244[[#This Row],[ÇAP mm]]/Tablo244[[#This Row],[Et Kalınlığı 4]]&lt;75,Tablo244[[#This Row],[ÇAP mm]]*0.015,"Anlaşmaya bağlıdır.")</f>
        <v/>
      </c>
      <c r="AH50" s="520">
        <f>IF(Tablo244[[#This Row],[ÇAP mm]]/Tablo244[[#This Row],[Et Kalınlığı 4]]&lt;75,Tablo244[[#This Row],[ÇAP mm]]*0.015/2,"Anlaşmaya bağlıdır.")</f>
        <v/>
      </c>
      <c r="AI50" s="520">
        <f>IF(Tablo244[[#This Row],[ÇAP mm]]/Tablo244[[#This Row],[Et Kalınlığı 5]]&lt;75,Tablo244[[#This Row],[ÇAP mm]]*0.015,"Anlaşmaya bağlıdır.")</f>
        <v/>
      </c>
      <c r="AJ50" s="11">
        <f>IF(40*Tablo244[[#This Row],[Et Kalınlığı ]]&lt;485,Tablo244[[#This Row],[Et Kalınlığı ]]*40,485)</f>
        <v/>
      </c>
      <c r="AK50" s="5">
        <f>1940*POWER(ROUND(AJ50,-1),0.2)/POWER(Tablo244[[#This Row],[Tensile Mpa]],0.9)</f>
        <v/>
      </c>
      <c r="AL50" s="5">
        <f>IF(40*Tablo244[[#This Row],[Et Kalınlığı 2]]&lt;485,Tablo244[[#This Row],[Et Kalınlığı ]]*40,485)</f>
        <v/>
      </c>
      <c r="AM50" s="5">
        <f>1940*POWER(ROUND(Tablo151[[#This Row],[Axc mm22]],-1),0.2)/POWER(Tablo244[[#This Row],[Tensile Mpa]],0.9)</f>
        <v/>
      </c>
      <c r="AN50" s="5">
        <f>IF(40*Tablo244[[#This Row],[Et Kalınlığı 3]]&lt;485,Tablo244[[#This Row],[Et Kalınlığı ]]*40,485)</f>
        <v/>
      </c>
      <c r="AO50" s="5">
        <f>1940*POWER(ROUND(Tablo151[[#This Row],[Axc mm23]],-1),0.2)/POWER(Tablo244[[#This Row],[Tensile Mpa]],0.9)</f>
        <v/>
      </c>
      <c r="AP50" s="5">
        <f>IF(40*Tablo244[[#This Row],[Et Kalınlığı 4]]&lt;485,Tablo244[[#This Row],[Et Kalınlığı 4]]*40,485)</f>
        <v/>
      </c>
      <c r="AQ50" s="12">
        <f>1940*POWER(ROUND(Tablo151[[#This Row],[Axc mm24]],-1),0.2)/POWER(Tablo244[[#This Row],[Tensile Mpa]],0.9)</f>
        <v/>
      </c>
      <c r="AR50" s="5">
        <f>IF(40*Tablo244[[#This Row],[Et Kalınlığı 5]]&lt;485,Tablo244[[#This Row],[Et Kalınlığı 4]]*40,485)</f>
        <v/>
      </c>
      <c r="AS50" s="64">
        <f>1940*POWER(ROUND(Tablo151[[#This Row],[Axc mm25]],-1),0.2)/POWER(Tablo244[[#This Row],[Tensile Mpa]],0.9)</f>
        <v/>
      </c>
    </row>
    <row r="51" ht="15.75" customHeight="1" s="510" thickBot="1">
      <c r="B51" s="43" t="inlineStr">
        <is>
          <t>52"</t>
        </is>
      </c>
      <c r="C51" s="1100" t="n">
        <v>1321</v>
      </c>
      <c r="D51" s="1100" t="inlineStr">
        <is>
          <t>X65</t>
        </is>
      </c>
      <c r="E51" s="44" t="n">
        <v>65300</v>
      </c>
      <c r="F51" s="45" t="n">
        <v>535</v>
      </c>
      <c r="G51" s="49" t="n">
        <v>15.9</v>
      </c>
      <c r="H51" s="59" t="n">
        <v>108.2214245470888</v>
      </c>
      <c r="I51" s="514" t="n">
        <v>19.1</v>
      </c>
      <c r="J51" s="59" t="n">
        <v>129.8248197494989</v>
      </c>
      <c r="K51" s="514" t="n">
        <v>22.2</v>
      </c>
      <c r="L51" s="53" t="n">
        <v>151.4963644635885</v>
      </c>
      <c r="M51" s="514" t="n">
        <v>23.8</v>
      </c>
      <c r="N51" s="52" t="n">
        <v>162.4002863323128</v>
      </c>
      <c r="O51" s="55" t="n">
        <v>27</v>
      </c>
      <c r="P51" s="59">
        <f>2*Tablo244[[#This Row],[SMYS Psi]]*Tablo244[[#This Row],[Et Kalınlığı 5]]/Tablo244[[#This Row],[ÇAP mm]]/14.50377</f>
        <v/>
      </c>
      <c r="Q51" s="17">
        <f>Tablo244[[#This Row],[ÇAP mm]]+1.6</f>
        <v/>
      </c>
      <c r="R51" s="3">
        <f>Tablo244[[#This Row],[ÇAP mm]]-1.6</f>
        <v/>
      </c>
      <c r="S51" s="1100">
        <f>IF(Tablo244[[#This Row],[ÇAP mm]]*0.005-4&lt;0,Tablo244[[#This Row],[ÇAP mm]]*1.005,Tablo244[[#This Row],[ÇAP mm]]+4)</f>
        <v/>
      </c>
      <c r="T51" s="18">
        <f>IF(Tablo244[[#This Row],[ÇAP mm]]*0.005-4&lt;0,Tablo244[[#This Row],[ÇAP mm]]*0.995,Tablo244[[#This Row],[ÇAP mm]]-4)</f>
        <v/>
      </c>
      <c r="U51" s="173">
        <f>Tablo244[[#This Row],[ÇAP mm]]/Tablo244[[#This Row],[Et Kalınlığı ]]</f>
        <v/>
      </c>
      <c r="V51" s="60">
        <f>Tablo244[[#This Row],[ÇAP mm]]/Tablo244[[#This Row],[Et Kalınlığı 2]]</f>
        <v/>
      </c>
      <c r="W51" s="60">
        <f>Tablo244[[#This Row],[ÇAP mm]]/Tablo244[[#This Row],[Et Kalınlığı 3]]</f>
        <v/>
      </c>
      <c r="X51" s="61">
        <f>Tablo244[[#This Row],[ÇAP mm]]/Tablo244[[#This Row],[Et Kalınlığı 4]]</f>
        <v/>
      </c>
      <c r="Y51" s="174">
        <f>Tablo244[[#This Row],[ÇAP mm]]/Tablo244[[#This Row],[Et Kalınlığı 5]]</f>
        <v/>
      </c>
      <c r="Z51">
        <f>IF(Tablo244[[#This Row],[ÇAP mm]]/Tablo244[[#This Row],[Et Kalınlığı ]]&lt;75,Tablo244[[#This Row],[ÇAP mm]]*0.01/2,"Anlaşmaya bağlıdır.")</f>
        <v/>
      </c>
      <c r="AA51">
        <f>IF(Tablo244[[#This Row],[ÇAP mm]]/Tablo244[[#This Row],[Et Kalınlığı ]]&lt;75,Tablo244[[#This Row],[ÇAP mm]]*0.015/2,"Anlaşmaya bağlıdır.")</f>
        <v/>
      </c>
      <c r="AB51" s="520">
        <f>IF(Tablo244[[#This Row],[ÇAP mm]]/Tablo244[[#This Row],[Et Kalınlığı 2]]&lt;75,Tablo244[[#This Row],[ÇAP mm]]*0.01/2,"Anlaşmaya bağlıdır.")</f>
        <v/>
      </c>
      <c r="AC51" s="520">
        <f>IF(Tablo244[[#This Row],[ÇAP mm]]/Tablo244[[#This Row],[Et Kalınlığı 2]]&lt;75,Tablo244[[#This Row],[ÇAP mm]]*0.015,"Anlaşmaya bağlıdır.")</f>
        <v/>
      </c>
      <c r="AD51" s="520">
        <f>IF(Tablo244[[#This Row],[ÇAP mm]]/Tablo244[[#This Row],[Et Kalınlığı 3]]&lt;75,Tablo244[[#This Row],[ÇAP mm]]*0.01/2,"Anlaşmaya bağlıdır.")</f>
        <v/>
      </c>
      <c r="AE51" s="520">
        <f>IF(Tablo244[[#This Row],[ÇAP mm]]/Tablo244[[#This Row],[Et Kalınlığı 3]]&lt;75,Tablo244[[#This Row],[ÇAP mm]]*0.015,"Anlaşmaya bağlıdır.")</f>
        <v/>
      </c>
      <c r="AF51" s="520">
        <f>IF(Tablo244[[#This Row],[ÇAP mm]]/Tablo244[[#This Row],[Et Kalınlığı 4]]&lt;75,Tablo244[[#This Row],[ÇAP mm]]*0.015/2,"Anlaşmaya bağlıdır.")</f>
        <v/>
      </c>
      <c r="AG51" s="64">
        <f>IF(Tablo244[[#This Row],[ÇAP mm]]/Tablo244[[#This Row],[Et Kalınlığı 4]]&lt;75,Tablo244[[#This Row],[ÇAP mm]]*0.015,"Anlaşmaya bağlıdır.")</f>
        <v/>
      </c>
      <c r="AH51" s="520">
        <f>IF(Tablo244[[#This Row],[ÇAP mm]]/Tablo244[[#This Row],[Et Kalınlığı 4]]&lt;75,Tablo244[[#This Row],[ÇAP mm]]*0.015/2,"Anlaşmaya bağlıdır.")</f>
        <v/>
      </c>
      <c r="AI51" s="520">
        <f>IF(Tablo244[[#This Row],[ÇAP mm]]/Tablo244[[#This Row],[Et Kalınlığı 5]]&lt;75,Tablo244[[#This Row],[ÇAP mm]]*0.015,"Anlaşmaya bağlıdır.")</f>
        <v/>
      </c>
      <c r="AJ51" s="11">
        <f>IF(40*Tablo244[[#This Row],[Et Kalınlığı ]]&lt;485,Tablo244[[#This Row],[Et Kalınlığı ]]*40,485)</f>
        <v/>
      </c>
      <c r="AK51" s="5">
        <f>1940*POWER(ROUND(AJ51,-1),0.2)/POWER(Tablo244[[#This Row],[Tensile Mpa]],0.9)</f>
        <v/>
      </c>
      <c r="AL51" s="5">
        <f>IF(40*Tablo244[[#This Row],[Et Kalınlığı 2]]&lt;485,Tablo244[[#This Row],[Et Kalınlığı ]]*40,485)</f>
        <v/>
      </c>
      <c r="AM51" s="5">
        <f>1940*POWER(ROUND(Tablo151[[#This Row],[Axc mm22]],-1),0.2)/POWER(Tablo244[[#This Row],[Tensile Mpa]],0.9)</f>
        <v/>
      </c>
      <c r="AN51" s="5">
        <f>IF(40*Tablo244[[#This Row],[Et Kalınlığı 3]]&lt;485,Tablo244[[#This Row],[Et Kalınlığı ]]*40,485)</f>
        <v/>
      </c>
      <c r="AO51" s="5">
        <f>1940*POWER(ROUND(Tablo151[[#This Row],[Axc mm23]],-1),0.2)/POWER(Tablo244[[#This Row],[Tensile Mpa]],0.9)</f>
        <v/>
      </c>
      <c r="AP51" s="5">
        <f>IF(40*Tablo244[[#This Row],[Et Kalınlığı 4]]&lt;485,Tablo244[[#This Row],[Et Kalınlığı 4]]*40,485)</f>
        <v/>
      </c>
      <c r="AQ51" s="12">
        <f>1940*POWER(ROUND(Tablo151[[#This Row],[Axc mm24]],-1),0.2)/POWER(Tablo244[[#This Row],[Tensile Mpa]],0.9)</f>
        <v/>
      </c>
      <c r="AR51" s="5">
        <f>IF(40*Tablo244[[#This Row],[Et Kalınlığı 5]]&lt;485,Tablo244[[#This Row],[Et Kalınlığı 4]]*40,485)</f>
        <v/>
      </c>
      <c r="AS51" s="64">
        <f>1940*POWER(ROUND(Tablo151[[#This Row],[Axc mm25]],-1),0.2)/POWER(Tablo244[[#This Row],[Tensile Mpa]],0.9)</f>
        <v/>
      </c>
    </row>
    <row r="52">
      <c r="B52" s="43" t="inlineStr">
        <is>
          <t>56"</t>
        </is>
      </c>
      <c r="C52" s="1100" t="n">
        <v>1422</v>
      </c>
      <c r="D52" s="1100" t="inlineStr">
        <is>
          <t>X65</t>
        </is>
      </c>
      <c r="E52" s="44" t="n">
        <v>65300</v>
      </c>
      <c r="F52" s="45" t="n">
        <v>535</v>
      </c>
      <c r="G52" s="49" t="n">
        <v>17.5</v>
      </c>
      <c r="H52" s="59" t="n">
        <v>110.6642634425381</v>
      </c>
      <c r="I52" s="514" t="n">
        <v>20.6</v>
      </c>
      <c r="J52" s="59" t="n">
        <v>130.5433130540696</v>
      </c>
      <c r="K52" s="514" t="n">
        <v>23.8</v>
      </c>
      <c r="L52" s="53" t="n">
        <v>150.8655261919727</v>
      </c>
      <c r="M52" s="514" t="n">
        <v>25.4</v>
      </c>
      <c r="N52" s="52" t="n">
        <v>160.8050509977384</v>
      </c>
      <c r="O52" s="59" t="n">
        <v>28.6</v>
      </c>
      <c r="P52" s="59">
        <f>2*Tablo244[[#This Row],[SMYS Psi]]*Tablo244[[#This Row],[Et Kalınlığı 5]]/Tablo244[[#This Row],[ÇAP mm]]/14.50377</f>
        <v/>
      </c>
      <c r="Q52" s="17">
        <f>Tablo244[[#This Row],[ÇAP mm]]+1.6</f>
        <v/>
      </c>
      <c r="R52" s="3">
        <f>Tablo244[[#This Row],[ÇAP mm]]-1.6</f>
        <v/>
      </c>
      <c r="S52" s="1100">
        <f>IF(Tablo244[[#This Row],[ÇAP mm]]*0.005-4&lt;0,Tablo244[[#This Row],[ÇAP mm]]*1.005,Tablo244[[#This Row],[ÇAP mm]]+4)</f>
        <v/>
      </c>
      <c r="T52" s="18">
        <f>IF(Tablo244[[#This Row],[ÇAP mm]]*0.005-4&lt;0,Tablo244[[#This Row],[ÇAP mm]]*0.995,Tablo244[[#This Row],[ÇAP mm]]-4)</f>
        <v/>
      </c>
      <c r="U52" s="173">
        <f>Tablo244[[#This Row],[ÇAP mm]]/Tablo244[[#This Row],[Et Kalınlığı ]]</f>
        <v/>
      </c>
      <c r="V52" s="60">
        <f>Tablo244[[#This Row],[ÇAP mm]]/Tablo244[[#This Row],[Et Kalınlığı 2]]</f>
        <v/>
      </c>
      <c r="W52" s="60">
        <f>Tablo244[[#This Row],[ÇAP mm]]/Tablo244[[#This Row],[Et Kalınlığı 3]]</f>
        <v/>
      </c>
      <c r="X52" s="61">
        <f>Tablo244[[#This Row],[ÇAP mm]]/Tablo244[[#This Row],[Et Kalınlığı 4]]</f>
        <v/>
      </c>
      <c r="Y52" s="174">
        <f>Tablo244[[#This Row],[ÇAP mm]]/Tablo244[[#This Row],[Et Kalınlığı 5]]</f>
        <v/>
      </c>
      <c r="Z52">
        <f>IF(Tablo244[[#This Row],[ÇAP mm]]/Tablo244[[#This Row],[Et Kalınlığı ]]&lt;75,Tablo244[[#This Row],[ÇAP mm]]*0.01/2,"Anlaşmaya bağlıdır.")</f>
        <v/>
      </c>
      <c r="AA52">
        <f>IF(Tablo244[[#This Row],[ÇAP mm]]/Tablo244[[#This Row],[Et Kalınlığı ]]&lt;75,Tablo244[[#This Row],[ÇAP mm]]*0.015/2,"Anlaşmaya bağlıdır.")</f>
        <v/>
      </c>
      <c r="AB52" s="520">
        <f>IF(Tablo244[[#This Row],[ÇAP mm]]/Tablo244[[#This Row],[Et Kalınlığı 2]]&lt;75,Tablo244[[#This Row],[ÇAP mm]]*0.01/2,"Anlaşmaya bağlıdır.")</f>
        <v/>
      </c>
      <c r="AC52" s="520">
        <f>IF(Tablo244[[#This Row],[ÇAP mm]]/Tablo244[[#This Row],[Et Kalınlığı 2]]&lt;75,Tablo244[[#This Row],[ÇAP mm]]*0.015,"Anlaşmaya bağlıdır.")</f>
        <v/>
      </c>
      <c r="AD52" s="520">
        <f>IF(Tablo244[[#This Row],[ÇAP mm]]/Tablo244[[#This Row],[Et Kalınlığı 3]]&lt;75,Tablo244[[#This Row],[ÇAP mm]]*0.01/2,"Anlaşmaya bağlıdır.")</f>
        <v/>
      </c>
      <c r="AE52" s="520">
        <f>IF(Tablo244[[#This Row],[ÇAP mm]]/Tablo244[[#This Row],[Et Kalınlığı 3]]&lt;75,Tablo244[[#This Row],[ÇAP mm]]*0.015,"Anlaşmaya bağlıdır.")</f>
        <v/>
      </c>
      <c r="AF52" s="520">
        <f>IF(Tablo244[[#This Row],[ÇAP mm]]/Tablo244[[#This Row],[Et Kalınlığı 4]]&lt;75,Tablo244[[#This Row],[ÇAP mm]]*0.015/2,"Anlaşmaya bağlıdır.")</f>
        <v/>
      </c>
      <c r="AG52" s="64">
        <f>IF(Tablo244[[#This Row],[ÇAP mm]]/Tablo244[[#This Row],[Et Kalınlığı 4]]&lt;75,Tablo244[[#This Row],[ÇAP mm]]*0.015,"Anlaşmaya bağlıdır.")</f>
        <v/>
      </c>
      <c r="AH52" s="520">
        <f>IF(Tablo244[[#This Row],[ÇAP mm]]/Tablo244[[#This Row],[Et Kalınlığı 4]]&lt;75,Tablo244[[#This Row],[ÇAP mm]]*0.015/2,"Anlaşmaya bağlıdır.")</f>
        <v/>
      </c>
      <c r="AI52" s="520">
        <f>IF(Tablo244[[#This Row],[ÇAP mm]]/Tablo244[[#This Row],[Et Kalınlığı 5]]&lt;75,Tablo244[[#This Row],[ÇAP mm]]*0.015,"Anlaşmaya bağlıdır.")</f>
        <v/>
      </c>
      <c r="AJ52" s="11">
        <f>IF(40*Tablo244[[#This Row],[Et Kalınlığı ]]&lt;485,Tablo244[[#This Row],[Et Kalınlığı ]]*40,485)</f>
        <v/>
      </c>
      <c r="AK52" s="5">
        <f>1940*POWER(ROUND(AJ52,-1),0.2)/POWER(Tablo244[[#This Row],[Tensile Mpa]],0.9)</f>
        <v/>
      </c>
      <c r="AL52" s="5">
        <f>IF(40*Tablo244[[#This Row],[Et Kalınlığı 2]]&lt;485,Tablo244[[#This Row],[Et Kalınlığı ]]*40,485)</f>
        <v/>
      </c>
      <c r="AM52" s="5">
        <f>1940*POWER(ROUND(Tablo151[[#This Row],[Axc mm22]],-1),0.2)/POWER(Tablo244[[#This Row],[Tensile Mpa]],0.9)</f>
        <v/>
      </c>
      <c r="AN52" s="5">
        <f>IF(40*Tablo244[[#This Row],[Et Kalınlığı 3]]&lt;485,Tablo244[[#This Row],[Et Kalınlığı ]]*40,485)</f>
        <v/>
      </c>
      <c r="AO52" s="5">
        <f>1940*POWER(ROUND(Tablo151[[#This Row],[Axc mm23]],-1),0.2)/POWER(Tablo244[[#This Row],[Tensile Mpa]],0.9)</f>
        <v/>
      </c>
      <c r="AP52" s="5">
        <f>IF(40*Tablo244[[#This Row],[Et Kalınlığı 4]]&lt;485,Tablo244[[#This Row],[Et Kalınlığı 4]]*40,485)</f>
        <v/>
      </c>
      <c r="AQ52" s="12">
        <f>1940*POWER(ROUND(Tablo151[[#This Row],[Axc mm24]],-1),0.2)/POWER(Tablo244[[#This Row],[Tensile Mpa]],0.9)</f>
        <v/>
      </c>
      <c r="AR52" s="5">
        <f>IF(40*Tablo244[[#This Row],[Et Kalınlığı 5]]&lt;485,Tablo244[[#This Row],[Et Kalınlığı 4]]*40,485)</f>
        <v/>
      </c>
      <c r="AS52" s="64">
        <f>1940*POWER(ROUND(Tablo151[[#This Row],[Axc mm25]],-1),0.2)/POWER(Tablo244[[#This Row],[Tensile Mpa]],0.9)</f>
        <v/>
      </c>
    </row>
    <row r="53" ht="15.75" customHeight="1" s="510" thickBot="1">
      <c r="B53" s="46" t="inlineStr">
        <is>
          <t>60"</t>
        </is>
      </c>
      <c r="C53" s="22" t="n">
        <v>1524</v>
      </c>
      <c r="D53" s="22" t="inlineStr">
        <is>
          <t>X65</t>
        </is>
      </c>
      <c r="E53" s="47" t="n">
        <v>65300</v>
      </c>
      <c r="F53" s="48" t="n">
        <v>535</v>
      </c>
      <c r="G53" s="54" t="n">
        <v>19.1</v>
      </c>
      <c r="H53" s="55" t="n">
        <v>112.5318811608189</v>
      </c>
      <c r="I53" s="56" t="n">
        <v>22.2</v>
      </c>
      <c r="J53" s="55" t="n">
        <v>131.316730614436</v>
      </c>
      <c r="K53" s="56" t="n">
        <v>25.4</v>
      </c>
      <c r="L53" s="57" t="n">
        <v>150.0425082144252</v>
      </c>
      <c r="M53" s="56" t="n">
        <v>27</v>
      </c>
      <c r="N53" s="58" t="n">
        <v>159.3167892339783</v>
      </c>
      <c r="O53" s="55" t="n">
        <v>30.2</v>
      </c>
      <c r="P53" s="55">
        <f>2*Tablo244[[#This Row],[SMYS Psi]]*Tablo244[[#This Row],[Et Kalınlığı 5]]/Tablo244[[#This Row],[ÇAP mm]]/14.50377</f>
        <v/>
      </c>
      <c r="Q53" s="20">
        <f>Tablo244[[#This Row],[ÇAP mm]]+1.6</f>
        <v/>
      </c>
      <c r="R53" s="21">
        <f>Tablo244[[#This Row],[ÇAP mm]]-1.6</f>
        <v/>
      </c>
      <c r="S53" s="22">
        <f>IF(Tablo244[[#This Row],[ÇAP mm]]*0.005-4&lt;0,Tablo244[[#This Row],[ÇAP mm]]*1.005,Tablo244[[#This Row],[ÇAP mm]]+4)</f>
        <v/>
      </c>
      <c r="T53" s="23">
        <f>IF(Tablo244[[#This Row],[ÇAP mm]]*0.005-4&lt;0,Tablo244[[#This Row],[ÇAP mm]]*0.995,Tablo244[[#This Row],[ÇAP mm]]-4)</f>
        <v/>
      </c>
      <c r="U53" s="46">
        <f>Tablo244[[#This Row],[ÇAP mm]]/Tablo244[[#This Row],[Et Kalınlığı ]]</f>
        <v/>
      </c>
      <c r="V53" s="62">
        <f>Tablo244[[#This Row],[ÇAP mm]]/Tablo244[[#This Row],[Et Kalınlığı 2]]</f>
        <v/>
      </c>
      <c r="W53" s="62">
        <f>Tablo244[[#This Row],[ÇAP mm]]/Tablo244[[#This Row],[Et Kalınlığı 3]]</f>
        <v/>
      </c>
      <c r="X53" s="63">
        <f>Tablo244[[#This Row],[ÇAP mm]]/Tablo244[[#This Row],[Et Kalınlığı 4]]</f>
        <v/>
      </c>
      <c r="Y53" s="175">
        <f>Tablo244[[#This Row],[ÇAP mm]]/Tablo244[[#This Row],[Et Kalınlığı 5]]</f>
        <v/>
      </c>
      <c r="Z53" s="9">
        <f>IF(Tablo244[[#This Row],[ÇAP mm]]/Tablo244[[#This Row],[Et Kalınlığı ]]&lt;75,Tablo244[[#This Row],[ÇAP mm]]*0.01/2,"Anlaşmaya bağlıdır.")</f>
        <v/>
      </c>
      <c r="AA53" s="9">
        <f>IF(Tablo244[[#This Row],[ÇAP mm]]/Tablo244[[#This Row],[Et Kalınlığı ]]&lt;75,Tablo244[[#This Row],[ÇAP mm]]*0.015/2,"Anlaşmaya bağlıdır.")</f>
        <v/>
      </c>
      <c r="AB53" s="10">
        <f>IF(Tablo244[[#This Row],[ÇAP mm]]/Tablo244[[#This Row],[Et Kalınlığı 2]]&lt;75,Tablo244[[#This Row],[ÇAP mm]]*0.01/2,"Anlaşmaya bağlıdır.")</f>
        <v/>
      </c>
      <c r="AC53" s="520">
        <f>IF(Tablo244[[#This Row],[ÇAP mm]]/Tablo244[[#This Row],[Et Kalınlığı 2]]&lt;75,Tablo244[[#This Row],[ÇAP mm]]*0.015,"Anlaşmaya bağlıdır.")</f>
        <v/>
      </c>
      <c r="AD53" s="10">
        <f>IF(Tablo244[[#This Row],[ÇAP mm]]/Tablo244[[#This Row],[Et Kalınlığı 3]]&lt;75,Tablo244[[#This Row],[ÇAP mm]]*0.01/2,"Anlaşmaya bağlıdır.")</f>
        <v/>
      </c>
      <c r="AE53" s="520">
        <f>IF(Tablo244[[#This Row],[ÇAP mm]]/Tablo244[[#This Row],[Et Kalınlığı 3]]&lt;75,Tablo244[[#This Row],[ÇAP mm]]*0.015,"Anlaşmaya bağlıdır.")</f>
        <v/>
      </c>
      <c r="AF53" s="520">
        <f>IF(Tablo244[[#This Row],[ÇAP mm]]/Tablo244[[#This Row],[Et Kalınlığı 4]]&lt;75,Tablo244[[#This Row],[ÇAP mm]]*0.015/2,"Anlaşmaya bağlıdır.")</f>
        <v/>
      </c>
      <c r="AG53" s="64">
        <f>IF(Tablo244[[#This Row],[ÇAP mm]]/Tablo244[[#This Row],[Et Kalınlığı 4]]&lt;75,Tablo244[[#This Row],[ÇAP mm]]*0.015,"Anlaşmaya bağlıdır.")</f>
        <v/>
      </c>
      <c r="AH53" s="520">
        <f>IF(Tablo244[[#This Row],[ÇAP mm]]/Tablo244[[#This Row],[Et Kalınlığı 4]]&lt;75,Tablo244[[#This Row],[ÇAP mm]]*0.015/2,"Anlaşmaya bağlıdır.")</f>
        <v/>
      </c>
      <c r="AI53" s="520">
        <f>IF(Tablo244[[#This Row],[ÇAP mm]]/Tablo244[[#This Row],[Et Kalınlığı 5]]&lt;75,Tablo244[[#This Row],[ÇAP mm]]*0.015,"Anlaşmaya bağlıdır.")</f>
        <v/>
      </c>
      <c r="AJ53" s="11">
        <f>IF(40*Tablo244[[#This Row],[Et Kalınlığı ]]&lt;485,Tablo244[[#This Row],[Et Kalınlığı ]]*40,485)</f>
        <v/>
      </c>
      <c r="AK53" s="13">
        <f>1940*POWER(ROUND(AJ53,-1),0.2)/POWER(Tablo244[[#This Row],[Tensile Mpa]],0.9)</f>
        <v/>
      </c>
      <c r="AL53" s="5">
        <f>IF(40*Tablo244[[#This Row],[Et Kalınlığı 2]]&lt;485,Tablo244[[#This Row],[Et Kalınlığı ]]*40,485)</f>
        <v/>
      </c>
      <c r="AM53" s="13">
        <f>1940*POWER(ROUND(Tablo151[[#This Row],[Axc mm22]],-1),0.2)/POWER(Tablo244[[#This Row],[Tensile Mpa]],0.9)</f>
        <v/>
      </c>
      <c r="AN53" s="5">
        <f>IF(40*Tablo244[[#This Row],[Et Kalınlığı 3]]&lt;485,Tablo244[[#This Row],[Et Kalınlığı ]]*40,485)</f>
        <v/>
      </c>
      <c r="AO53" s="13">
        <f>1940*POWER(ROUND(Tablo151[[#This Row],[Axc mm23]],-1),0.2)/POWER(Tablo244[[#This Row],[Tensile Mpa]],0.9)</f>
        <v/>
      </c>
      <c r="AP53" s="5">
        <f>IF(40*Tablo244[[#This Row],[Et Kalınlığı 4]]&lt;485,Tablo244[[#This Row],[Et Kalınlığı 4]]*40,485)</f>
        <v/>
      </c>
      <c r="AQ53" s="170">
        <f>1940*POWER(ROUND(Tablo151[[#This Row],[Axc mm24]],-1),0.2)/POWER(Tablo244[[#This Row],[Tensile Mpa]],0.9)</f>
        <v/>
      </c>
      <c r="AR53" s="13">
        <f>IF(40*Tablo244[[#This Row],[Et Kalınlığı 5]]&lt;485,Tablo244[[#This Row],[Et Kalınlığı 4]]*40,485)</f>
        <v/>
      </c>
      <c r="AS53" s="480">
        <f>1940*POWER(ROUND(Tablo151[[#This Row],[Axc mm25]],-1),0.2)/POWER(Tablo244[[#This Row],[Tensile Mpa]],0.9)</f>
        <v/>
      </c>
    </row>
    <row r="54">
      <c r="G54" s="514" t="n"/>
      <c r="H54" s="59" t="n">
        <v>104.4265275760362</v>
      </c>
      <c r="I54" s="514" t="n"/>
      <c r="J54" s="59" t="n">
        <v>125.0901436098381</v>
      </c>
      <c r="K54" s="514" t="n"/>
      <c r="L54" s="59" t="n">
        <v>150.0425082144252</v>
      </c>
      <c r="M54" s="514" t="n"/>
      <c r="N54" s="59" t="n">
        <v>159.3167892339783</v>
      </c>
      <c r="O54" s="59" t="n"/>
      <c r="P54" s="59" t="n"/>
    </row>
    <row r="55">
      <c r="AK55" s="5" t="n"/>
      <c r="AN55" s="5" t="n"/>
    </row>
    <row r="58">
      <c r="L58" s="289">
        <f>'Boru Seçim-Kontrol Aracı'!J8/'Boru Seçim-Kontrol Aracı'!J10</f>
        <v/>
      </c>
    </row>
    <row r="103">
      <c r="C103" s="30" t="n"/>
      <c r="D103" s="30" t="n"/>
      <c r="E103" s="30" t="n"/>
    </row>
  </sheetData>
  <mergeCells count="29">
    <mergeCell ref="AP18:AQ18"/>
    <mergeCell ref="AF18:AG18"/>
    <mergeCell ref="AR18:AS18"/>
    <mergeCell ref="K18:L18"/>
    <mergeCell ref="AF17:AI17"/>
    <mergeCell ref="Q17:T17"/>
    <mergeCell ref="O18:P18"/>
    <mergeCell ref="AH18:AI18"/>
    <mergeCell ref="AP17:AS17"/>
    <mergeCell ref="AB18:AC18"/>
    <mergeCell ref="X17:Y17"/>
    <mergeCell ref="AJ16:AS16"/>
    <mergeCell ref="Z17:AE17"/>
    <mergeCell ref="G18:H18"/>
    <mergeCell ref="I18:J18"/>
    <mergeCell ref="Z18:AA18"/>
    <mergeCell ref="AJ18:AK18"/>
    <mergeCell ref="O16:P16"/>
    <mergeCell ref="AL18:AM18"/>
    <mergeCell ref="M18:N18"/>
    <mergeCell ref="AN18:AO18"/>
    <mergeCell ref="Z16:AI16"/>
    <mergeCell ref="M17:N17"/>
    <mergeCell ref="O17:P17"/>
    <mergeCell ref="G16:N16"/>
    <mergeCell ref="G17:L17"/>
    <mergeCell ref="U17:W17"/>
    <mergeCell ref="AJ17:AO17"/>
    <mergeCell ref="AD18:AE18"/>
  </mergeCells>
  <pageMargins left="0.7" right="0.7" top="0.75" bottom="0.75" header="0.3" footer="0.3"/>
  <pageSetup orientation="portrait" paperSize="9" scale="19" horizontalDpi="360" verticalDpi="360"/>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6.xml><?xml version="1.0" encoding="utf-8"?>
<worksheet xmlns="http://schemas.openxmlformats.org/spreadsheetml/2006/main">
  <sheetPr codeName="Sayfa2" published="0">
    <outlinePr summaryBelow="1" summaryRight="1"/>
    <pageSetUpPr/>
  </sheetPr>
  <dimension ref="A2:AS103"/>
  <sheetViews>
    <sheetView view="pageBreakPreview" topLeftCell="A7" zoomScale="85" zoomScaleNormal="85" zoomScaleSheetLayoutView="85" workbookViewId="0">
      <selection activeCell="B21" sqref="B21:P53"/>
    </sheetView>
  </sheetViews>
  <sheetFormatPr baseColWidth="8" defaultRowHeight="15"/>
  <cols>
    <col width="6.859375" customWidth="1" style="510" min="2" max="2"/>
    <col width="7.26171875" customWidth="1" style="510" min="3" max="3"/>
    <col width="8.875" customWidth="1" style="510" min="4" max="4"/>
    <col width="11.43359375" bestFit="1" customWidth="1" style="510" min="5" max="5"/>
    <col width="14.125" bestFit="1" customWidth="1" style="510" min="6" max="6"/>
    <col width="10.89453125" customWidth="1" style="510" min="7" max="7"/>
    <col width="14.66015625" bestFit="1" customWidth="1" style="510" min="8" max="8"/>
    <col width="14.390625" bestFit="1" customWidth="1" style="510" min="9" max="9"/>
    <col width="11.56640625" bestFit="1" customWidth="1" style="510" min="10" max="10"/>
    <col width="14.390625" bestFit="1" customWidth="1" style="510" min="11" max="11"/>
    <col width="11.56640625" bestFit="1" customWidth="1" style="510" min="12" max="12"/>
    <col width="13.98828125" customWidth="1" style="510" min="13" max="13"/>
    <col width="11.56640625" bestFit="1" customWidth="1" style="510" min="14" max="14"/>
    <col width="14.390625" bestFit="1" customWidth="1" style="510" min="15" max="15"/>
    <col width="11.56640625" bestFit="1" customWidth="1" style="510" min="16" max="16"/>
    <col width="12.10546875" customWidth="1" style="510" min="17" max="17"/>
    <col width="11.296875" customWidth="1" style="510" min="18" max="18"/>
    <col width="12.9140625" customWidth="1" style="510" min="19" max="19"/>
    <col width="13.046875" customWidth="1" style="510" min="20" max="20"/>
    <col width="8.875" customWidth="1" style="510" min="21" max="21"/>
    <col width="9.14453125" customWidth="1" style="510" min="22" max="22"/>
    <col width="9.28125" customWidth="1" style="510" min="23" max="23"/>
    <col width="9.55078125" customWidth="1" style="510" min="24" max="25"/>
    <col width="10.89453125" customWidth="1" style="510" min="26" max="26"/>
    <col width="11.1640625" customWidth="1" style="510" min="27" max="27"/>
    <col width="8.609375" customWidth="1" style="510" min="28" max="28"/>
    <col width="11.02734375" customWidth="1" style="510" min="29" max="29"/>
    <col width="7.93359375" customWidth="1" style="510" min="30" max="30"/>
    <col width="11.1640625" customWidth="1" style="510" min="31" max="31"/>
    <col width="7.93359375" customWidth="1" style="510" min="32" max="32"/>
    <col width="11.43359375" customWidth="1" style="510" min="33" max="35"/>
    <col width="8.0703125" bestFit="1" customWidth="1" style="510" min="36" max="36"/>
    <col width="9.55078125" bestFit="1" customWidth="1" style="510" min="37" max="37"/>
    <col width="12.64453125" bestFit="1" customWidth="1" style="510" min="38" max="38"/>
    <col width="10.4921875" bestFit="1" customWidth="1" style="510" min="39" max="39"/>
    <col width="9.28125" bestFit="1" customWidth="1" style="510" min="40" max="40"/>
    <col width="10.4921875" bestFit="1" customWidth="1" style="510" min="41" max="41"/>
    <col width="12.64453125" bestFit="1" customWidth="1" style="510" min="42" max="42"/>
    <col width="10.4921875" bestFit="1" customWidth="1" style="510" min="43" max="43"/>
    <col width="12.375" customWidth="1" style="510" min="44" max="44"/>
    <col width="10.4921875" customWidth="1" style="510" min="45" max="45"/>
  </cols>
  <sheetData>
    <row r="2">
      <c r="B2" s="119" t="inlineStr">
        <is>
          <t>ERW HFW</t>
        </is>
      </c>
    </row>
    <row r="3">
      <c r="B3" s="119" t="inlineStr">
        <is>
          <t>SAWH</t>
        </is>
      </c>
    </row>
    <row r="4">
      <c r="B4" s="119" t="inlineStr">
        <is>
          <t>SAWL</t>
        </is>
      </c>
    </row>
    <row r="5">
      <c r="B5" s="119" t="inlineStr">
        <is>
          <t>COW</t>
        </is>
      </c>
    </row>
    <row r="6">
      <c r="B6" s="119" t="inlineStr">
        <is>
          <t>SEAMLESS</t>
        </is>
      </c>
    </row>
    <row r="7">
      <c r="B7" s="119" t="n"/>
    </row>
    <row r="8">
      <c r="B8" s="119" t="n"/>
    </row>
    <row r="11">
      <c r="B11">
        <f>VLOOKUP('Et Kalınlığı Hesaplama'!E5,Tablo2[ÇAP mm],6,FALSE)</f>
        <v/>
      </c>
    </row>
    <row r="15" ht="15.75" customHeight="1" s="510" thickBot="1"/>
    <row r="16" ht="15.75" customHeight="1" s="510" thickBot="1">
      <c r="G16" s="1202" t="inlineStr">
        <is>
          <t>Design Pressure 75</t>
        </is>
      </c>
      <c r="H16" s="1156" t="n"/>
      <c r="I16" s="1156" t="n"/>
      <c r="J16" s="1156" t="n"/>
      <c r="K16" s="1156" t="n"/>
      <c r="L16" s="1156" t="n"/>
      <c r="M16" s="1156" t="n"/>
      <c r="N16" s="1157" t="n"/>
      <c r="O16" s="1202" t="inlineStr">
        <is>
          <t>Design Pressure 82,5</t>
        </is>
      </c>
      <c r="P16" s="1157" t="n"/>
      <c r="Z16" s="1048" t="inlineStr">
        <is>
          <t>Ovalite mm</t>
        </is>
      </c>
      <c r="AA16" s="1156" t="n"/>
      <c r="AB16" s="1156" t="n"/>
      <c r="AC16" s="1156" t="n"/>
      <c r="AD16" s="1156" t="n"/>
      <c r="AE16" s="1156" t="n"/>
      <c r="AF16" s="1156" t="n"/>
      <c r="AG16" s="1156" t="n"/>
      <c r="AH16" s="1156" t="n"/>
      <c r="AI16" s="1156" t="n"/>
      <c r="AJ16" s="1202" t="inlineStr">
        <is>
          <t>Minimun Elongation</t>
        </is>
      </c>
      <c r="AK16" s="1156" t="n"/>
      <c r="AL16" s="1156" t="n"/>
      <c r="AM16" s="1156" t="n"/>
      <c r="AN16" s="1156" t="n"/>
      <c r="AO16" s="1156" t="n"/>
      <c r="AP16" s="1156" t="n"/>
      <c r="AQ16" s="1156" t="n"/>
      <c r="AR16" s="1156" t="n"/>
      <c r="AS16" s="1157" t="n"/>
    </row>
    <row r="17" ht="15.75" customHeight="1" s="510" thickBot="1">
      <c r="G17" s="1051" t="inlineStr">
        <is>
          <t xml:space="preserve"> Boru Hattı</t>
        </is>
      </c>
      <c r="H17" s="1183" t="n"/>
      <c r="I17" s="1183" t="n"/>
      <c r="J17" s="1183" t="n"/>
      <c r="K17" s="1183" t="n"/>
      <c r="L17" s="1184" t="n"/>
      <c r="M17" s="1052" t="inlineStr">
        <is>
          <t xml:space="preserve"> İstayon</t>
        </is>
      </c>
      <c r="N17" s="1184" t="n"/>
      <c r="O17" s="1052" t="inlineStr">
        <is>
          <t xml:space="preserve"> İstayon</t>
        </is>
      </c>
      <c r="P17" s="1184" t="n"/>
      <c r="Q17" s="1054" t="inlineStr">
        <is>
          <t>Boru Çap Toleransları mm</t>
        </is>
      </c>
      <c r="R17" s="1159" t="n"/>
      <c r="S17" s="1159" t="n"/>
      <c r="T17" s="1159" t="n"/>
      <c r="U17" s="1056" t="inlineStr">
        <is>
          <t>Boru Hattı</t>
        </is>
      </c>
      <c r="V17" s="1183" t="n"/>
      <c r="W17" s="1183" t="n"/>
      <c r="X17" s="1058" t="inlineStr">
        <is>
          <t xml:space="preserve"> İstayon</t>
        </is>
      </c>
      <c r="Y17" s="1203" t="n"/>
      <c r="Z17" s="1059" t="inlineStr">
        <is>
          <t xml:space="preserve"> Boru Hattı</t>
        </is>
      </c>
      <c r="AA17" s="1159" t="n"/>
      <c r="AB17" s="1159" t="n"/>
      <c r="AC17" s="1159" t="n"/>
      <c r="AD17" s="1159" t="n"/>
      <c r="AE17" s="1181" t="n"/>
      <c r="AF17" s="1061" t="inlineStr">
        <is>
          <t xml:space="preserve"> İstayon</t>
        </is>
      </c>
      <c r="AG17" s="1159" t="n"/>
      <c r="AH17" s="1159" t="n"/>
      <c r="AI17" s="1159" t="n"/>
      <c r="AJ17" s="1062" t="inlineStr">
        <is>
          <t xml:space="preserve"> Boru Hattı</t>
        </is>
      </c>
      <c r="AO17" s="1169" t="n"/>
      <c r="AP17" s="1204" t="inlineStr">
        <is>
          <t xml:space="preserve"> İstayon</t>
        </is>
      </c>
      <c r="AS17" s="169" t="n"/>
    </row>
    <row r="18">
      <c r="G18" s="1067" t="inlineStr">
        <is>
          <t>F=0,72</t>
        </is>
      </c>
      <c r="H18" s="803" t="n"/>
      <c r="I18" s="1068" t="inlineStr">
        <is>
          <t>F=0,60</t>
        </is>
      </c>
      <c r="J18" s="803" t="n"/>
      <c r="K18" s="1068" t="inlineStr">
        <is>
          <t>F=0,50</t>
        </is>
      </c>
      <c r="L18" s="803" t="n"/>
      <c r="M18" s="1068" t="inlineStr">
        <is>
          <t>F=0,50</t>
        </is>
      </c>
      <c r="N18" s="803" t="n"/>
      <c r="O18" s="1068" t="inlineStr">
        <is>
          <t>F=0,50</t>
        </is>
      </c>
      <c r="P18" s="803" t="n"/>
      <c r="Q18" s="176" t="n"/>
      <c r="R18" s="177" t="n"/>
      <c r="S18" s="177" t="n"/>
      <c r="T18" s="178" t="n"/>
      <c r="U18" s="171" t="inlineStr">
        <is>
          <t>F=0,72</t>
        </is>
      </c>
      <c r="V18" s="1072" t="inlineStr">
        <is>
          <t>F=0,6</t>
        </is>
      </c>
      <c r="W18" s="1072" t="inlineStr">
        <is>
          <t>F=0,5</t>
        </is>
      </c>
      <c r="X18" s="1072" t="inlineStr">
        <is>
          <t>F=0,5</t>
        </is>
      </c>
      <c r="Y18" s="172" t="inlineStr">
        <is>
          <t>F=0,5</t>
        </is>
      </c>
      <c r="Z18" s="1071" t="inlineStr">
        <is>
          <t>F=0,72</t>
        </is>
      </c>
      <c r="AA18" s="452" t="n"/>
      <c r="AB18" s="1072" t="inlineStr">
        <is>
          <t>F=0,6</t>
        </is>
      </c>
      <c r="AC18" s="452" t="n"/>
      <c r="AD18" s="1072" t="inlineStr">
        <is>
          <t>F=0,5</t>
        </is>
      </c>
      <c r="AE18" s="452" t="n"/>
      <c r="AF18" s="1072" t="inlineStr">
        <is>
          <t>F=0,5</t>
        </is>
      </c>
      <c r="AG18" s="452" t="n"/>
      <c r="AH18" s="1072" t="inlineStr">
        <is>
          <t>F=0,5</t>
        </is>
      </c>
      <c r="AI18" s="452" t="n"/>
      <c r="AJ18" s="1077" t="inlineStr">
        <is>
          <t>F=0,72</t>
        </is>
      </c>
      <c r="AK18" s="452" t="n"/>
      <c r="AL18" s="1073" t="inlineStr">
        <is>
          <t>F=0,6</t>
        </is>
      </c>
      <c r="AM18" s="452" t="n"/>
      <c r="AN18" s="1073" t="inlineStr">
        <is>
          <t>F=0,5</t>
        </is>
      </c>
      <c r="AO18" s="452" t="n"/>
      <c r="AP18" s="1073" t="inlineStr">
        <is>
          <t>F=0,5</t>
        </is>
      </c>
      <c r="AQ18" s="452" t="n"/>
      <c r="AR18" s="1205" t="inlineStr">
        <is>
          <t>F=0,5 (82,5)</t>
        </is>
      </c>
      <c r="AS18" s="1174" t="n"/>
    </row>
    <row r="19" ht="15.75" customHeight="1" s="510" thickBot="1">
      <c r="B19" t="n">
        <v>1</v>
      </c>
      <c r="C19" t="n">
        <v>2</v>
      </c>
      <c r="D19" t="n">
        <v>3</v>
      </c>
      <c r="E19" t="n">
        <v>4</v>
      </c>
      <c r="F19" t="n">
        <v>5</v>
      </c>
      <c r="G19" t="n">
        <v>6</v>
      </c>
      <c r="H19" t="n">
        <v>7</v>
      </c>
      <c r="I19" t="n">
        <v>8</v>
      </c>
      <c r="J19" t="n">
        <v>9</v>
      </c>
      <c r="K19" t="n">
        <v>10</v>
      </c>
      <c r="L19" t="n">
        <v>11</v>
      </c>
      <c r="M19" t="n">
        <v>12</v>
      </c>
      <c r="N19" t="n">
        <v>13</v>
      </c>
      <c r="O19" t="n">
        <v>14</v>
      </c>
      <c r="P19" t="n">
        <v>15</v>
      </c>
      <c r="Q19" s="6" t="n">
        <v>16</v>
      </c>
      <c r="R19" t="n">
        <v>17</v>
      </c>
      <c r="S19" t="n">
        <v>18</v>
      </c>
      <c r="T19" s="169" t="n">
        <v>19</v>
      </c>
      <c r="U19" s="6" t="n">
        <v>20</v>
      </c>
      <c r="V19" t="n">
        <v>21</v>
      </c>
      <c r="W19" t="n">
        <v>22</v>
      </c>
      <c r="X19" t="n">
        <v>23</v>
      </c>
      <c r="Y19" s="169" t="n">
        <v>24</v>
      </c>
      <c r="Z19" t="n">
        <v>25</v>
      </c>
      <c r="AA19" t="n">
        <v>26</v>
      </c>
      <c r="AB19" t="n">
        <v>27</v>
      </c>
      <c r="AC19" t="n">
        <v>28</v>
      </c>
      <c r="AD19" t="n">
        <v>29</v>
      </c>
      <c r="AE19" t="n">
        <v>30</v>
      </c>
      <c r="AF19" t="n">
        <v>31</v>
      </c>
      <c r="AG19" t="n">
        <v>32</v>
      </c>
      <c r="AH19" t="n">
        <v>33</v>
      </c>
      <c r="AI19" t="n">
        <v>34</v>
      </c>
      <c r="AJ19" t="n">
        <v>35</v>
      </c>
      <c r="AK19" t="n">
        <v>36</v>
      </c>
      <c r="AL19" t="n">
        <v>37</v>
      </c>
      <c r="AM19" t="n">
        <v>38</v>
      </c>
      <c r="AN19" t="n">
        <v>39</v>
      </c>
      <c r="AO19" t="n">
        <v>40</v>
      </c>
      <c r="AP19" t="n">
        <v>41</v>
      </c>
      <c r="AQ19" t="n">
        <v>42</v>
      </c>
      <c r="AR19" t="n">
        <v>43</v>
      </c>
      <c r="AS19" t="n">
        <v>44</v>
      </c>
    </row>
    <row r="20" ht="28.5" customFormat="1" customHeight="1" s="512" thickBot="1">
      <c r="B20" s="24" t="inlineStr">
        <is>
          <t>ÇAP inch</t>
        </is>
      </c>
      <c r="C20" s="25" t="inlineStr">
        <is>
          <t>ÇAP mm</t>
        </is>
      </c>
      <c r="D20" s="25" t="inlineStr">
        <is>
          <t>MALZEME</t>
        </is>
      </c>
      <c r="E20" s="25" t="inlineStr">
        <is>
          <t>SMYS Psi</t>
        </is>
      </c>
      <c r="F20" s="25" t="inlineStr">
        <is>
          <t>Tensile Mpa</t>
        </is>
      </c>
      <c r="G20" s="24" t="inlineStr">
        <is>
          <t xml:space="preserve">Et Kalınlığı </t>
        </is>
      </c>
      <c r="H20" s="25" t="inlineStr">
        <is>
          <t>Max Bas. bar</t>
        </is>
      </c>
      <c r="I20" s="25" t="inlineStr">
        <is>
          <t>Et Kalınlığı 2</t>
        </is>
      </c>
      <c r="J20" s="25" t="inlineStr">
        <is>
          <t>Max Bas. Bar2</t>
        </is>
      </c>
      <c r="K20" s="25" t="inlineStr">
        <is>
          <t>Et Kalınlığı 3</t>
        </is>
      </c>
      <c r="L20" s="25" t="inlineStr">
        <is>
          <t>Max Bas. Bar3</t>
        </is>
      </c>
      <c r="M20" s="25" t="inlineStr">
        <is>
          <t>Et Kalınlığı 4</t>
        </is>
      </c>
      <c r="N20" s="26" t="inlineStr">
        <is>
          <t>Max Bas. Bar4</t>
        </is>
      </c>
      <c r="O20" s="25" t="inlineStr">
        <is>
          <t>Et Kalınlığı 5</t>
        </is>
      </c>
      <c r="P20" s="25" t="inlineStr">
        <is>
          <t>Max Bas. Bar5</t>
        </is>
      </c>
      <c r="Q20" s="27" t="inlineStr">
        <is>
          <t>Boru Ucu MAX</t>
        </is>
      </c>
      <c r="R20" s="28" t="inlineStr">
        <is>
          <t>Boru Ucu Min</t>
        </is>
      </c>
      <c r="S20" s="28" t="inlineStr">
        <is>
          <t>Boru Gövde MAX</t>
        </is>
      </c>
      <c r="T20" s="29" t="inlineStr">
        <is>
          <t>Boru Gövde Min</t>
        </is>
      </c>
      <c r="U20" s="27" t="inlineStr">
        <is>
          <t>D/t</t>
        </is>
      </c>
      <c r="V20" s="28" t="inlineStr">
        <is>
          <t>D/t2</t>
        </is>
      </c>
      <c r="W20" s="28" t="inlineStr">
        <is>
          <t>D/t3</t>
        </is>
      </c>
      <c r="X20" s="28" t="inlineStr">
        <is>
          <t>D/t4</t>
        </is>
      </c>
      <c r="Y20" s="29" t="inlineStr">
        <is>
          <t>D/t5</t>
        </is>
      </c>
      <c r="Z20" s="25" t="inlineStr">
        <is>
          <t>Boru Ucu 1</t>
        </is>
      </c>
      <c r="AA20" s="25" t="inlineStr">
        <is>
          <t>Boru Gövdesi 1</t>
        </is>
      </c>
      <c r="AB20" s="25" t="inlineStr">
        <is>
          <t>Boru Ucu 2</t>
        </is>
      </c>
      <c r="AC20" s="25" t="inlineStr">
        <is>
          <t>Boru Gövdesi 2</t>
        </is>
      </c>
      <c r="AD20" s="25" t="inlineStr">
        <is>
          <t>Boru Ucu 3</t>
        </is>
      </c>
      <c r="AE20" s="25" t="inlineStr">
        <is>
          <t>Boru Gövdesi 3</t>
        </is>
      </c>
      <c r="AF20" s="25" t="inlineStr">
        <is>
          <t>Boru Ucu 4</t>
        </is>
      </c>
      <c r="AG20" s="26" t="inlineStr">
        <is>
          <t>Boru Gövdesi 4</t>
        </is>
      </c>
      <c r="AH20" s="24" t="inlineStr">
        <is>
          <t>Boru Ucu 5</t>
        </is>
      </c>
      <c r="AI20" s="25" t="inlineStr">
        <is>
          <t>Boru Gövdesi 5</t>
        </is>
      </c>
      <c r="AJ20" s="24" t="inlineStr">
        <is>
          <t>Axc mm2</t>
        </is>
      </c>
      <c r="AK20" s="25" t="inlineStr">
        <is>
          <t>Af mm</t>
        </is>
      </c>
      <c r="AL20" s="25" t="inlineStr">
        <is>
          <t>Axc mm22</t>
        </is>
      </c>
      <c r="AM20" s="25" t="inlineStr">
        <is>
          <t>Af mm2</t>
        </is>
      </c>
      <c r="AN20" s="25" t="inlineStr">
        <is>
          <t>Axc mm23</t>
        </is>
      </c>
      <c r="AO20" s="25" t="inlineStr">
        <is>
          <t>Af mm3</t>
        </is>
      </c>
      <c r="AP20" s="25" t="inlineStr">
        <is>
          <t>Axc mm24</t>
        </is>
      </c>
      <c r="AQ20" s="26" t="inlineStr">
        <is>
          <t>Af mm4</t>
        </is>
      </c>
      <c r="AR20" s="25" t="inlineStr">
        <is>
          <t>Axc mm25</t>
        </is>
      </c>
      <c r="AS20" s="26" t="inlineStr">
        <is>
          <t>Af mm5</t>
        </is>
      </c>
    </row>
    <row r="21" ht="15.75" customHeight="1" s="510" thickBot="1">
      <c r="B21" s="39" t="inlineStr">
        <is>
          <t xml:space="preserve">½" </t>
        </is>
      </c>
      <c r="C21" s="40" t="n">
        <v>21.3</v>
      </c>
      <c r="D21" s="40" t="inlineStr">
        <is>
          <t>GRADE B</t>
        </is>
      </c>
      <c r="E21" s="41" t="n">
        <v>35500</v>
      </c>
      <c r="F21" s="42" t="n">
        <v>415</v>
      </c>
      <c r="G21" s="49" t="n"/>
      <c r="H21" s="59" t="n"/>
      <c r="I21" s="514" t="n"/>
      <c r="J21" s="514" t="n"/>
      <c r="K21" s="514" t="n"/>
      <c r="L21" s="59" t="n"/>
      <c r="M21" s="514" t="n">
        <v>3.73</v>
      </c>
      <c r="N21" s="52">
        <f>2*Tablo2[[#This Row],[SMYS Psi]]*Tablo2[[#This Row],[Et Kalınlığı 4]]/Tablo2[[#This Row],[ÇAP mm]]/14.50377</f>
        <v/>
      </c>
      <c r="O21" s="53" t="n">
        <v>3.73</v>
      </c>
      <c r="P21" s="59">
        <f>2*Tablo2[[#This Row],[SMYS Psi]]*Tablo2[[#This Row],[Et Kalınlığı 5]]/Tablo2[[#This Row],[ÇAP mm]]/14.50377</f>
        <v/>
      </c>
      <c r="Q21" s="17">
        <f>Tablo2[[#This Row],[ÇAP mm]]+0.4</f>
        <v/>
      </c>
      <c r="R21" s="1100">
        <f>Tablo2[[#This Row],[ÇAP mm]]-0.8</f>
        <v/>
      </c>
      <c r="S21" s="1100">
        <f>Tablo2[[#This Row],[ÇAP mm]]+0.4</f>
        <v/>
      </c>
      <c r="T21" s="18">
        <f>Tablo2[[#This Row],[ÇAP mm]]-0.8</f>
        <v/>
      </c>
      <c r="U21" s="173" t="n"/>
      <c r="V21" s="60" t="n"/>
      <c r="W21" s="60" t="n"/>
      <c r="X21" s="61">
        <f>Tablo2[[#This Row],[ÇAP mm]]/Tablo2[[#This Row],[Et Kalınlığı 4]]</f>
        <v/>
      </c>
      <c r="Y21" s="174">
        <f>Tablo2[[#This Row],[ÇAP mm]]/Tablo2[[#This Row],[Et Kalınlığı 5]]</f>
        <v/>
      </c>
      <c r="AF21" s="520">
        <f>0.9/2</f>
        <v/>
      </c>
      <c r="AG21" s="64">
        <f>1.2</f>
        <v/>
      </c>
      <c r="AH21" s="520">
        <f>0.9/2</f>
        <v/>
      </c>
      <c r="AI21" s="520" t="n">
        <v>1.2</v>
      </c>
      <c r="AJ21" s="11" t="n"/>
      <c r="AK21" s="5" t="n"/>
      <c r="AP21" s="5">
        <f>IF(40*Tablo2[[#This Row],[Et Kalınlığı 4]]&lt;485,Tablo2[[#This Row],[Et Kalınlığı 4]]*40,485)</f>
        <v/>
      </c>
      <c r="AQ21" s="12">
        <f>1940*POWER(ROUND(Tablo1[[#This Row],[Axc mm24]],-1),0.2)/POWER(Tablo2[[#This Row],[Tensile Mpa]],0.9)</f>
        <v/>
      </c>
      <c r="AR21" s="5">
        <f>IF(40*Tablo2[[#This Row],[Et Kalınlığı 5]]&lt;485,Tablo2[[#This Row],[Et Kalınlığı 4]]*40,485)</f>
        <v/>
      </c>
      <c r="AS21" s="64">
        <f>1940*POWER(ROUND(Tablo1[[#This Row],[Axc mm25]],-1),0.2)/POWER(Tablo2[[#This Row],[Tensile Mpa]],0.9)</f>
        <v/>
      </c>
    </row>
    <row r="22" ht="15.75" customHeight="1" s="510" thickBot="1">
      <c r="B22" s="43" t="inlineStr">
        <is>
          <t>¾"</t>
        </is>
      </c>
      <c r="C22" s="1100" t="n">
        <v>26.7</v>
      </c>
      <c r="D22" s="40" t="inlineStr">
        <is>
          <t>GRADE B</t>
        </is>
      </c>
      <c r="E22" s="44" t="n">
        <v>35500</v>
      </c>
      <c r="F22" s="45" t="n">
        <v>415</v>
      </c>
      <c r="G22" s="49" t="n"/>
      <c r="H22" s="59" t="n"/>
      <c r="I22" s="514" t="n"/>
      <c r="J22" s="514" t="n"/>
      <c r="K22" s="514" t="n"/>
      <c r="L22" s="59" t="n"/>
      <c r="M22" s="514" t="n">
        <v>3.91</v>
      </c>
      <c r="N22" s="52">
        <f>2*Tablo2[[#This Row],[SMYS Psi]]*Tablo2[[#This Row],[Et Kalınlığı 4]]/Tablo2[[#This Row],[ÇAP mm]]/14.50377</f>
        <v/>
      </c>
      <c r="O22" s="53" t="n">
        <v>3.91</v>
      </c>
      <c r="P22" s="59">
        <f>2*Tablo2[[#This Row],[SMYS Psi]]*Tablo2[[#This Row],[Et Kalınlığı 5]]/Tablo2[[#This Row],[ÇAP mm]]/14.50377</f>
        <v/>
      </c>
      <c r="Q22" s="17">
        <f>Tablo2[[#This Row],[ÇAP mm]]+0.4</f>
        <v/>
      </c>
      <c r="R22" s="1100">
        <f>Tablo2[[#This Row],[ÇAP mm]]-0.8</f>
        <v/>
      </c>
      <c r="S22" s="1100">
        <f>Tablo2[[#This Row],[ÇAP mm]]+0.4</f>
        <v/>
      </c>
      <c r="T22" s="18">
        <f>Tablo2[[#This Row],[ÇAP mm]]-0.8</f>
        <v/>
      </c>
      <c r="U22" s="173" t="n"/>
      <c r="V22" s="60" t="n"/>
      <c r="W22" s="60" t="n"/>
      <c r="X22" s="61">
        <f>Tablo2[[#This Row],[ÇAP mm]]/Tablo2[[#This Row],[Et Kalınlığı 4]]</f>
        <v/>
      </c>
      <c r="Y22" s="174">
        <f>Tablo2[[#This Row],[ÇAP mm]]/Tablo2[[#This Row],[Et Kalınlığı 5]]</f>
        <v/>
      </c>
      <c r="AF22" s="520">
        <f>0.9/2</f>
        <v/>
      </c>
      <c r="AG22" s="64">
        <f>1.2</f>
        <v/>
      </c>
      <c r="AH22" s="520">
        <f>0.9/2</f>
        <v/>
      </c>
      <c r="AI22" s="520" t="n">
        <v>1.2</v>
      </c>
      <c r="AJ22" s="11" t="n"/>
      <c r="AK22" s="5" t="n"/>
      <c r="AP22" s="5">
        <f>IF(40*Tablo2[[#This Row],[Et Kalınlığı 4]]&lt;485,Tablo2[[#This Row],[Et Kalınlığı 4]]*40,485)</f>
        <v/>
      </c>
      <c r="AQ22" s="12">
        <f>1940*POWER(ROUND(Tablo1[[#This Row],[Axc mm24]],-1),0.2)/POWER(Tablo2[[#This Row],[Tensile Mpa]],0.9)</f>
        <v/>
      </c>
      <c r="AR22" s="5">
        <f>IF(40*Tablo2[[#This Row],[Et Kalınlığı 5]]&lt;485,Tablo2[[#This Row],[Et Kalınlığı 4]]*40,485)</f>
        <v/>
      </c>
      <c r="AS22" s="64">
        <f>1940*POWER(ROUND(Tablo1[[#This Row],[Axc mm25]],-1),0.2)/POWER(Tablo2[[#This Row],[Tensile Mpa]],0.9)</f>
        <v/>
      </c>
    </row>
    <row r="23" ht="15.75" customHeight="1" s="510" thickBot="1">
      <c r="B23" s="43" t="inlineStr">
        <is>
          <t xml:space="preserve">1" </t>
        </is>
      </c>
      <c r="C23" s="1100" t="n">
        <v>33.4</v>
      </c>
      <c r="D23" s="40" t="inlineStr">
        <is>
          <t>GRADE B</t>
        </is>
      </c>
      <c r="E23" s="44" t="n">
        <v>35500</v>
      </c>
      <c r="F23" s="45" t="n">
        <v>415</v>
      </c>
      <c r="G23" s="49" t="n"/>
      <c r="H23" s="59" t="n"/>
      <c r="I23" s="514" t="n"/>
      <c r="J23" s="514" t="n"/>
      <c r="K23" s="514" t="n"/>
      <c r="L23" s="59" t="n"/>
      <c r="M23" s="514" t="n">
        <v>4.55</v>
      </c>
      <c r="N23" s="52">
        <f>2*Tablo2[[#This Row],[SMYS Psi]]*Tablo2[[#This Row],[Et Kalınlığı 4]]/Tablo2[[#This Row],[ÇAP mm]]/14.50377</f>
        <v/>
      </c>
      <c r="O23" s="53" t="n">
        <v>4.55</v>
      </c>
      <c r="P23" s="59">
        <f>2*Tablo2[[#This Row],[SMYS Psi]]*Tablo2[[#This Row],[Et Kalınlığı 5]]/Tablo2[[#This Row],[ÇAP mm]]/14.50377</f>
        <v/>
      </c>
      <c r="Q23" s="17">
        <f>Tablo2[[#This Row],[ÇAP mm]]+0.4</f>
        <v/>
      </c>
      <c r="R23" s="1100">
        <f>Tablo2[[#This Row],[ÇAP mm]]-0.8</f>
        <v/>
      </c>
      <c r="S23" s="1100">
        <f>Tablo2[[#This Row],[ÇAP mm]]+0.4</f>
        <v/>
      </c>
      <c r="T23" s="18">
        <f>Tablo2[[#This Row],[ÇAP mm]]-0.8</f>
        <v/>
      </c>
      <c r="U23" s="173" t="n"/>
      <c r="V23" s="60" t="n"/>
      <c r="W23" s="60" t="n"/>
      <c r="X23" s="61">
        <f>Tablo2[[#This Row],[ÇAP mm]]/Tablo2[[#This Row],[Et Kalınlığı 4]]</f>
        <v/>
      </c>
      <c r="Y23" s="174">
        <f>Tablo2[[#This Row],[ÇAP mm]]/Tablo2[[#This Row],[Et Kalınlığı 5]]</f>
        <v/>
      </c>
      <c r="AF23" s="520">
        <f>0.9/2</f>
        <v/>
      </c>
      <c r="AG23" s="64">
        <f>1.2</f>
        <v/>
      </c>
      <c r="AH23" s="520">
        <f>0.9/2</f>
        <v/>
      </c>
      <c r="AI23" s="520" t="n">
        <v>1.2</v>
      </c>
      <c r="AJ23" s="11" t="n"/>
      <c r="AK23" s="5" t="n"/>
      <c r="AP23" s="5">
        <f>IF(40*Tablo2[[#This Row],[Et Kalınlığı 4]]&lt;485,Tablo2[[#This Row],[Et Kalınlığı 4]]*40,485)</f>
        <v/>
      </c>
      <c r="AQ23" s="12">
        <f>1940*POWER(ROUND(Tablo1[[#This Row],[Axc mm24]],-1),0.2)/POWER(Tablo2[[#This Row],[Tensile Mpa]],0.9)</f>
        <v/>
      </c>
      <c r="AR23" s="5">
        <f>IF(40*Tablo2[[#This Row],[Et Kalınlığı 5]]&lt;485,Tablo2[[#This Row],[Et Kalınlığı 4]]*40,485)</f>
        <v/>
      </c>
      <c r="AS23" s="64">
        <f>1940*POWER(ROUND(Tablo1[[#This Row],[Axc mm25]],-1),0.2)/POWER(Tablo2[[#This Row],[Tensile Mpa]],0.9)</f>
        <v/>
      </c>
    </row>
    <row r="24" ht="15.75" customHeight="1" s="510" thickBot="1">
      <c r="B24" s="43" t="inlineStr">
        <is>
          <t>1¼"</t>
        </is>
      </c>
      <c r="C24" s="1100" t="n">
        <v>42.2</v>
      </c>
      <c r="D24" s="40" t="inlineStr">
        <is>
          <t>GRADE B</t>
        </is>
      </c>
      <c r="E24" s="44" t="n">
        <v>35500</v>
      </c>
      <c r="F24" s="45" t="n">
        <v>415</v>
      </c>
      <c r="G24" s="49" t="n"/>
      <c r="H24" s="59" t="n"/>
      <c r="I24" s="514" t="n"/>
      <c r="J24" s="514" t="n"/>
      <c r="K24" s="514" t="n"/>
      <c r="L24" s="59" t="n"/>
      <c r="M24" s="514" t="n">
        <v>4.85</v>
      </c>
      <c r="N24" s="52">
        <f>2*Tablo2[[#This Row],[SMYS Psi]]*Tablo2[[#This Row],[Et Kalınlığı 4]]/Tablo2[[#This Row],[ÇAP mm]]/14.50377</f>
        <v/>
      </c>
      <c r="O24" s="53" t="n">
        <v>4.85</v>
      </c>
      <c r="P24" s="59">
        <f>2*Tablo2[[#This Row],[SMYS Psi]]*Tablo2[[#This Row],[Et Kalınlığı 5]]/Tablo2[[#This Row],[ÇAP mm]]/14.50377</f>
        <v/>
      </c>
      <c r="Q24" s="17">
        <f>Tablo2[[#This Row],[ÇAP mm]]+0.4</f>
        <v/>
      </c>
      <c r="R24" s="1100">
        <f>Tablo2[[#This Row],[ÇAP mm]]-0.8</f>
        <v/>
      </c>
      <c r="S24" s="1100">
        <f>Tablo2[[#This Row],[ÇAP mm]]+0.4</f>
        <v/>
      </c>
      <c r="T24" s="18">
        <f>Tablo2[[#This Row],[ÇAP mm]]-0.8</f>
        <v/>
      </c>
      <c r="U24" s="173" t="n"/>
      <c r="V24" s="60" t="n"/>
      <c r="W24" s="60" t="n"/>
      <c r="X24" s="61">
        <f>Tablo2[[#This Row],[ÇAP mm]]/Tablo2[[#This Row],[Et Kalınlığı 4]]</f>
        <v/>
      </c>
      <c r="Y24" s="174">
        <f>Tablo2[[#This Row],[ÇAP mm]]/Tablo2[[#This Row],[Et Kalınlığı 5]]</f>
        <v/>
      </c>
      <c r="AF24" s="520">
        <f>0.9/2</f>
        <v/>
      </c>
      <c r="AG24" s="64">
        <f>1.2</f>
        <v/>
      </c>
      <c r="AH24" s="520">
        <f>0.9/2</f>
        <v/>
      </c>
      <c r="AI24" s="520" t="n">
        <v>1.2</v>
      </c>
      <c r="AJ24" s="11" t="n"/>
      <c r="AK24" s="5" t="n"/>
      <c r="AP24" s="5">
        <f>IF(40*Tablo2[[#This Row],[Et Kalınlığı 4]]&lt;485,Tablo2[[#This Row],[Et Kalınlığı 4]]*40,485)</f>
        <v/>
      </c>
      <c r="AQ24" s="12">
        <f>1940*POWER(ROUND(Tablo1[[#This Row],[Axc mm24]],-1),0.2)/POWER(Tablo2[[#This Row],[Tensile Mpa]],0.9)</f>
        <v/>
      </c>
      <c r="AR24" s="5">
        <f>IF(40*Tablo2[[#This Row],[Et Kalınlığı 5]]&lt;485,Tablo2[[#This Row],[Et Kalınlığı 4]]*40,485)</f>
        <v/>
      </c>
      <c r="AS24" s="64">
        <f>1940*POWER(ROUND(Tablo1[[#This Row],[Axc mm25]],-1),0.2)/POWER(Tablo2[[#This Row],[Tensile Mpa]],0.9)</f>
        <v/>
      </c>
    </row>
    <row r="25" ht="15.75" customHeight="1" s="510" thickBot="1">
      <c r="B25" s="43" t="inlineStr">
        <is>
          <t xml:space="preserve">1½" </t>
        </is>
      </c>
      <c r="C25" s="1100" t="n">
        <v>48.3</v>
      </c>
      <c r="D25" s="40" t="inlineStr">
        <is>
          <t>GRADE B</t>
        </is>
      </c>
      <c r="E25" s="44" t="n">
        <v>35500</v>
      </c>
      <c r="F25" s="45" t="n">
        <v>415</v>
      </c>
      <c r="G25" s="49" t="n"/>
      <c r="H25" s="59" t="n"/>
      <c r="I25" s="514" t="n"/>
      <c r="J25" s="514" t="n"/>
      <c r="K25" s="514" t="n"/>
      <c r="L25" s="59" t="n"/>
      <c r="M25" s="514" t="n">
        <v>5.08</v>
      </c>
      <c r="N25" s="52">
        <f>2*Tablo2[[#This Row],[SMYS Psi]]*Tablo2[[#This Row],[Et Kalınlığı 4]]/Tablo2[[#This Row],[ÇAP mm]]/14.50377</f>
        <v/>
      </c>
      <c r="O25" s="53" t="n">
        <v>5.08</v>
      </c>
      <c r="P25" s="59">
        <f>2*Tablo2[[#This Row],[SMYS Psi]]*Tablo2[[#This Row],[Et Kalınlığı 5]]/Tablo2[[#This Row],[ÇAP mm]]/14.50377</f>
        <v/>
      </c>
      <c r="Q25" s="17">
        <f>Tablo2[[#This Row],[ÇAP mm]]+0.4</f>
        <v/>
      </c>
      <c r="R25" s="1100">
        <f>Tablo2[[#This Row],[ÇAP mm]]-0.8</f>
        <v/>
      </c>
      <c r="S25" s="1100">
        <f>Tablo2[[#This Row],[ÇAP mm]]+0.4</f>
        <v/>
      </c>
      <c r="T25" s="18">
        <f>Tablo2[[#This Row],[ÇAP mm]]-0.8</f>
        <v/>
      </c>
      <c r="U25" s="173" t="n"/>
      <c r="V25" s="60" t="n"/>
      <c r="W25" s="60" t="n"/>
      <c r="X25" s="61">
        <f>Tablo2[[#This Row],[ÇAP mm]]/Tablo2[[#This Row],[Et Kalınlığı 4]]</f>
        <v/>
      </c>
      <c r="Y25" s="174">
        <f>Tablo2[[#This Row],[ÇAP mm]]/Tablo2[[#This Row],[Et Kalınlığı 5]]</f>
        <v/>
      </c>
      <c r="AF25" s="520">
        <f>0.9/2</f>
        <v/>
      </c>
      <c r="AG25" s="64">
        <f>1.2</f>
        <v/>
      </c>
      <c r="AH25" s="520">
        <f>0.9/2</f>
        <v/>
      </c>
      <c r="AI25" s="520" t="n">
        <v>1.2</v>
      </c>
      <c r="AJ25" s="11" t="n"/>
      <c r="AK25" s="5" t="n"/>
      <c r="AP25" s="5">
        <f>IF(40*Tablo2[[#This Row],[Et Kalınlığı 4]]&lt;485,Tablo2[[#This Row],[Et Kalınlığı 4]]*40,485)</f>
        <v/>
      </c>
      <c r="AQ25" s="12">
        <f>1940*POWER(ROUND(Tablo1[[#This Row],[Axc mm24]],-1),0.2)/POWER(Tablo2[[#This Row],[Tensile Mpa]],0.9)</f>
        <v/>
      </c>
      <c r="AR25" s="5">
        <f>IF(40*Tablo2[[#This Row],[Et Kalınlığı 5]]&lt;485,Tablo2[[#This Row],[Et Kalınlığı 4]]*40,485)</f>
        <v/>
      </c>
      <c r="AS25" s="64">
        <f>1940*POWER(ROUND(Tablo1[[#This Row],[Axc mm25]],-1),0.2)/POWER(Tablo2[[#This Row],[Tensile Mpa]],0.9)</f>
        <v/>
      </c>
    </row>
    <row r="26" ht="15.75" customHeight="1" s="510" thickBot="1">
      <c r="A26" s="290" t="n"/>
      <c r="B26" s="43" t="inlineStr">
        <is>
          <t xml:space="preserve">2" </t>
        </is>
      </c>
      <c r="C26" s="1100" t="n">
        <v>60.3</v>
      </c>
      <c r="D26" s="40" t="inlineStr">
        <is>
          <t>GRADE B</t>
        </is>
      </c>
      <c r="E26" s="44" t="n">
        <v>35500</v>
      </c>
      <c r="F26" s="45" t="n">
        <v>415</v>
      </c>
      <c r="G26" s="49" t="n"/>
      <c r="H26" s="59" t="n"/>
      <c r="I26" s="514" t="n"/>
      <c r="J26" s="514" t="n"/>
      <c r="K26" s="514" t="n"/>
      <c r="L26" s="59" t="n"/>
      <c r="M26" s="514" t="n">
        <v>5.54</v>
      </c>
      <c r="N26" s="52">
        <f>2*Tablo2[[#This Row],[SMYS Psi]]*Tablo2[[#This Row],[Et Kalınlığı 4]]/Tablo2[[#This Row],[ÇAP mm]]/14.50377</f>
        <v/>
      </c>
      <c r="O26" s="53" t="n">
        <v>5.54</v>
      </c>
      <c r="P26" s="59">
        <f>2*Tablo2[[#This Row],[SMYS Psi]]*Tablo2[[#This Row],[Et Kalınlığı 5]]/Tablo2[[#This Row],[ÇAP mm]]/14.50377</f>
        <v/>
      </c>
      <c r="Q26" s="17">
        <f>Tablo2[[#This Row],[ÇAP mm]]+1.6</f>
        <v/>
      </c>
      <c r="R26" s="1100">
        <f>Tablo2[[#This Row],[ÇAP mm]]-0.4</f>
        <v/>
      </c>
      <c r="S26" s="3">
        <f>Tablo2[[#This Row],[ÇAP mm]]*1.0075</f>
        <v/>
      </c>
      <c r="T26" s="19">
        <f>Tablo2[[#This Row],[ÇAP mm]]*0.9925</f>
        <v/>
      </c>
      <c r="U26" s="173" t="n"/>
      <c r="V26" s="60" t="n"/>
      <c r="W26" s="60" t="n"/>
      <c r="X26" s="61">
        <f>Tablo2[[#This Row],[ÇAP mm]]/Tablo2[[#This Row],[Et Kalınlığı 4]]</f>
        <v/>
      </c>
      <c r="Y26" s="174">
        <f>Tablo2[[#This Row],[ÇAP mm]]/Tablo2[[#This Row],[Et Kalınlığı 5]]</f>
        <v/>
      </c>
      <c r="Z26" s="520" t="n"/>
      <c r="AA26" s="520" t="n"/>
      <c r="AF26" s="520">
        <f>IF(Tablo2[[#This Row],[ÇAP mm]]/Tablo2[[#This Row],[Et Kalınlığı 4]]&lt;75,Tablo2[[#This Row],[ÇAP mm]]*0.015/2,"Anlaşmaya bağlıdır.")</f>
        <v/>
      </c>
      <c r="AG26" s="64">
        <f>IF(Tablo2[[#This Row],[ÇAP mm]]/Tablo2[[#This Row],[Et Kalınlığı 4]]&lt;75,Tablo2[[#This Row],[ÇAP mm]]*0.02,"Anlaşmaya bağlıdır.")</f>
        <v/>
      </c>
      <c r="AH26" s="520">
        <f>IF(Tablo2[[#This Row],[ÇAP mm]]/Tablo2[[#This Row],[Et Kalınlığı 4]]&lt;75,Tablo2[[#This Row],[ÇAP mm]]*0.015/2,"Anlaşmaya bağlıdır.")</f>
        <v/>
      </c>
      <c r="AI26" s="520">
        <f>IF(Tablo2[[#This Row],[ÇAP mm]]/Tablo2[[#This Row],[Et Kalınlığı 5]]&lt;75,Tablo2[[#This Row],[ÇAP mm]]*0.02,"Anlaşmaya bağlıdır.")</f>
        <v/>
      </c>
      <c r="AJ26" s="11" t="n"/>
      <c r="AK26" s="5" t="n"/>
      <c r="AP26" s="5">
        <f>IF(40*Tablo2[[#This Row],[Et Kalınlığı 4]]&lt;485,Tablo2[[#This Row],[Et Kalınlığı 4]]*40,485)</f>
        <v/>
      </c>
      <c r="AQ26" s="12">
        <f>1940*POWER(ROUND(Tablo1[[#This Row],[Axc mm24]],-1),0.2)/POWER(Tablo2[[#This Row],[Tensile Mpa]],0.9)</f>
        <v/>
      </c>
      <c r="AR26" s="5">
        <f>IF(40*Tablo2[[#This Row],[Et Kalınlığı 5]]&lt;485,Tablo2[[#This Row],[Et Kalınlığı 4]]*40,485)</f>
        <v/>
      </c>
      <c r="AS26" s="64">
        <f>1940*POWER(ROUND(Tablo1[[#This Row],[Axc mm25]],-1),0.2)/POWER(Tablo2[[#This Row],[Tensile Mpa]],0.9)</f>
        <v/>
      </c>
    </row>
    <row r="27" ht="15.75" customHeight="1" s="510" thickBot="1">
      <c r="B27" s="43" t="inlineStr">
        <is>
          <t xml:space="preserve">2½" </t>
        </is>
      </c>
      <c r="C27" s="1100" t="n">
        <v>73</v>
      </c>
      <c r="D27" s="40" t="inlineStr">
        <is>
          <t>GRADE B</t>
        </is>
      </c>
      <c r="E27" s="44" t="n">
        <v>35500</v>
      </c>
      <c r="F27" s="45" t="n">
        <v>415</v>
      </c>
      <c r="G27" s="49" t="n"/>
      <c r="H27" s="59" t="n"/>
      <c r="I27" s="514" t="n"/>
      <c r="J27" s="514" t="n"/>
      <c r="K27" s="514" t="n"/>
      <c r="L27" s="59" t="n"/>
      <c r="M27" s="514" t="n">
        <v>5.16</v>
      </c>
      <c r="N27" s="52">
        <f>2*Tablo2[[#This Row],[SMYS Psi]]*Tablo2[[#This Row],[Et Kalınlığı 4]]/Tablo2[[#This Row],[ÇAP mm]]/14.50377</f>
        <v/>
      </c>
      <c r="O27" s="53" t="n">
        <v>5.16</v>
      </c>
      <c r="P27" s="59">
        <f>2*Tablo2[[#This Row],[SMYS Psi]]*Tablo2[[#This Row],[Et Kalınlığı 5]]/Tablo2[[#This Row],[ÇAP mm]]/14.50377</f>
        <v/>
      </c>
      <c r="Q27" s="17">
        <f>Tablo2[[#This Row],[ÇAP mm]]+1.6</f>
        <v/>
      </c>
      <c r="R27" s="1100">
        <f>Tablo2[[#This Row],[ÇAP mm]]-0.4</f>
        <v/>
      </c>
      <c r="S27" s="3">
        <f>Tablo2[[#This Row],[ÇAP mm]]*1.0075</f>
        <v/>
      </c>
      <c r="T27" s="19">
        <f>Tablo2[[#This Row],[ÇAP mm]]*0.9925</f>
        <v/>
      </c>
      <c r="U27" s="173" t="n"/>
      <c r="V27" s="60" t="n"/>
      <c r="W27" s="60" t="n"/>
      <c r="X27" s="61">
        <f>Tablo2[[#This Row],[ÇAP mm]]/Tablo2[[#This Row],[Et Kalınlığı 4]]</f>
        <v/>
      </c>
      <c r="Y27" s="174">
        <f>Tablo2[[#This Row],[ÇAP mm]]/Tablo2[[#This Row],[Et Kalınlığı 5]]</f>
        <v/>
      </c>
      <c r="Z27" s="520" t="n"/>
      <c r="AA27" s="520" t="n"/>
      <c r="AF27" s="520">
        <f>IF(Tablo2[[#This Row],[ÇAP mm]]/Tablo2[[#This Row],[Et Kalınlığı 4]]&lt;75,Tablo2[[#This Row],[ÇAP mm]]*0.015/2,"Anlaşmaya bağlıdır.")</f>
        <v/>
      </c>
      <c r="AG27" s="64">
        <f>IF(Tablo2[[#This Row],[ÇAP mm]]/Tablo2[[#This Row],[Et Kalınlığı 4]]&lt;75,Tablo2[[#This Row],[ÇAP mm]]*0.02,"Anlaşmaya bağlıdır.")</f>
        <v/>
      </c>
      <c r="AH27" s="520">
        <f>IF(Tablo2[[#This Row],[ÇAP mm]]/Tablo2[[#This Row],[Et Kalınlığı 4]]&lt;75,Tablo2[[#This Row],[ÇAP mm]]*0.015/2,"Anlaşmaya bağlıdır.")</f>
        <v/>
      </c>
      <c r="AI27" s="520">
        <f>IF(Tablo2[[#This Row],[ÇAP mm]]/Tablo2[[#This Row],[Et Kalınlığı 5]]&lt;75,Tablo2[[#This Row],[ÇAP mm]]*0.02,"Anlaşmaya bağlıdır.")</f>
        <v/>
      </c>
      <c r="AJ27" s="11" t="n"/>
      <c r="AK27" s="5" t="n"/>
      <c r="AP27" s="5">
        <f>IF(40*Tablo2[[#This Row],[Et Kalınlığı 4]]&lt;485,Tablo2[[#This Row],[Et Kalınlığı 4]]*40,485)</f>
        <v/>
      </c>
      <c r="AQ27" s="12">
        <f>1940*POWER(ROUND(Tablo1[[#This Row],[Axc mm24]],-1),0.2)/POWER(Tablo2[[#This Row],[Tensile Mpa]],0.9)</f>
        <v/>
      </c>
      <c r="AR27" s="5">
        <f>IF(40*Tablo2[[#This Row],[Et Kalınlığı 5]]&lt;485,Tablo2[[#This Row],[Et Kalınlığı 4]]*40,485)</f>
        <v/>
      </c>
      <c r="AS27" s="64">
        <f>1940*POWER(ROUND(Tablo1[[#This Row],[Axc mm25]],-1),0.2)/POWER(Tablo2[[#This Row],[Tensile Mpa]],0.9)</f>
        <v/>
      </c>
    </row>
    <row r="28" ht="15.75" customHeight="1" s="510" thickBot="1">
      <c r="B28" s="43" t="inlineStr">
        <is>
          <t>3"</t>
        </is>
      </c>
      <c r="C28" s="1100" t="n">
        <v>88.90000000000001</v>
      </c>
      <c r="D28" s="40" t="inlineStr">
        <is>
          <t>GRADE B</t>
        </is>
      </c>
      <c r="E28" s="44" t="n">
        <v>35500</v>
      </c>
      <c r="F28" s="45" t="n">
        <v>415</v>
      </c>
      <c r="G28" s="49" t="n"/>
      <c r="H28" s="59" t="n"/>
      <c r="I28" s="514" t="n"/>
      <c r="J28" s="514" t="n"/>
      <c r="K28" s="514" t="n"/>
      <c r="L28" s="59" t="n"/>
      <c r="M28" s="514" t="n">
        <v>5.49</v>
      </c>
      <c r="N28" s="52">
        <f>2*Tablo2[[#This Row],[SMYS Psi]]*Tablo2[[#This Row],[Et Kalınlığı 4]]/Tablo2[[#This Row],[ÇAP mm]]/14.50377</f>
        <v/>
      </c>
      <c r="O28" s="53" t="n">
        <v>5.49</v>
      </c>
      <c r="P28" s="59">
        <f>2*Tablo2[[#This Row],[SMYS Psi]]*Tablo2[[#This Row],[Et Kalınlığı 5]]/Tablo2[[#This Row],[ÇAP mm]]/14.50377</f>
        <v/>
      </c>
      <c r="Q28" s="17">
        <f>Tablo2[[#This Row],[ÇAP mm]]+1.6</f>
        <v/>
      </c>
      <c r="R28" s="1100">
        <f>Tablo2[[#This Row],[ÇAP mm]]-0.4</f>
        <v/>
      </c>
      <c r="S28" s="3">
        <f>Tablo2[[#This Row],[ÇAP mm]]*1.0075</f>
        <v/>
      </c>
      <c r="T28" s="19">
        <f>Tablo2[[#This Row],[ÇAP mm]]*0.9925</f>
        <v/>
      </c>
      <c r="U28" s="173" t="n"/>
      <c r="V28" s="60" t="n"/>
      <c r="W28" s="60" t="n"/>
      <c r="X28" s="61">
        <f>Tablo2[[#This Row],[ÇAP mm]]/Tablo2[[#This Row],[Et Kalınlığı 4]]</f>
        <v/>
      </c>
      <c r="Y28" s="174">
        <f>Tablo2[[#This Row],[ÇAP mm]]/Tablo2[[#This Row],[Et Kalınlığı 5]]</f>
        <v/>
      </c>
      <c r="Z28" s="520" t="n"/>
      <c r="AA28" s="520" t="n"/>
      <c r="AF28" s="520">
        <f>IF(Tablo2[[#This Row],[ÇAP mm]]/Tablo2[[#This Row],[Et Kalınlığı 4]]&lt;75,Tablo2[[#This Row],[ÇAP mm]]*0.015/2,"Anlaşmaya bağlıdır.")</f>
        <v/>
      </c>
      <c r="AG28" s="64">
        <f>IF(Tablo2[[#This Row],[ÇAP mm]]/Tablo2[[#This Row],[Et Kalınlığı 4]]&lt;75,Tablo2[[#This Row],[ÇAP mm]]*0.02,"Anlaşmaya bağlıdır.")</f>
        <v/>
      </c>
      <c r="AH28" s="520">
        <f>IF(Tablo2[[#This Row],[ÇAP mm]]/Tablo2[[#This Row],[Et Kalınlığı 4]]&lt;75,Tablo2[[#This Row],[ÇAP mm]]*0.015/2,"Anlaşmaya bağlıdır.")</f>
        <v/>
      </c>
      <c r="AI28" s="520">
        <f>IF(Tablo2[[#This Row],[ÇAP mm]]/Tablo2[[#This Row],[Et Kalınlığı 5]]&lt;75,Tablo2[[#This Row],[ÇAP mm]]*0.02,"Anlaşmaya bağlıdır.")</f>
        <v/>
      </c>
      <c r="AJ28" s="11" t="n"/>
      <c r="AK28" s="5" t="n"/>
      <c r="AP28" s="5">
        <f>IF(40*Tablo2[[#This Row],[Et Kalınlığı 4]]&lt;485,Tablo2[[#This Row],[Et Kalınlığı 4]]*40,485)</f>
        <v/>
      </c>
      <c r="AQ28" s="12">
        <f>1940*POWER(ROUND(Tablo1[[#This Row],[Axc mm24]],-1),0.2)/POWER(Tablo2[[#This Row],[Tensile Mpa]],0.9)</f>
        <v/>
      </c>
      <c r="AR28" s="5">
        <f>IF(40*Tablo2[[#This Row],[Et Kalınlığı 5]]&lt;485,Tablo2[[#This Row],[Et Kalınlığı 4]]*40,485)</f>
        <v/>
      </c>
      <c r="AS28" s="64">
        <f>1940*POWER(ROUND(Tablo1[[#This Row],[Axc mm25]],-1),0.2)/POWER(Tablo2[[#This Row],[Tensile Mpa]],0.9)</f>
        <v/>
      </c>
    </row>
    <row r="29" ht="15.75" customHeight="1" s="510" thickBot="1">
      <c r="B29" s="43" t="inlineStr">
        <is>
          <t>4"</t>
        </is>
      </c>
      <c r="C29" s="1100" t="n">
        <v>114.3</v>
      </c>
      <c r="D29" s="40" t="inlineStr">
        <is>
          <t>GRADE B</t>
        </is>
      </c>
      <c r="E29" s="44" t="n">
        <v>35500</v>
      </c>
      <c r="F29" s="45" t="n">
        <v>415</v>
      </c>
      <c r="G29" s="49" t="n"/>
      <c r="H29" s="59" t="n"/>
      <c r="I29" s="514" t="n"/>
      <c r="J29" s="514" t="n"/>
      <c r="K29" s="514" t="n"/>
      <c r="L29" s="59" t="n"/>
      <c r="M29" s="514" t="n">
        <v>6.02</v>
      </c>
      <c r="N29" s="52">
        <f>2*Tablo2[[#This Row],[SMYS Psi]]*Tablo2[[#This Row],[Et Kalınlığı 4]]/Tablo2[[#This Row],[ÇAP mm]]/14.50377</f>
        <v/>
      </c>
      <c r="O29" s="53" t="n">
        <v>6.02</v>
      </c>
      <c r="P29" s="59">
        <f>2*Tablo2[[#This Row],[SMYS Psi]]*Tablo2[[#This Row],[Et Kalınlığı 5]]/Tablo2[[#This Row],[ÇAP mm]]/14.50377</f>
        <v/>
      </c>
      <c r="Q29" s="17">
        <f>Tablo2[[#This Row],[ÇAP mm]]+1.6</f>
        <v/>
      </c>
      <c r="R29" s="1100">
        <f>Tablo2[[#This Row],[ÇAP mm]]-0.4</f>
        <v/>
      </c>
      <c r="S29" s="3">
        <f>Tablo2[[#This Row],[ÇAP mm]]*1.0075</f>
        <v/>
      </c>
      <c r="T29" s="19">
        <f>Tablo2[[#This Row],[ÇAP mm]]*0.9925</f>
        <v/>
      </c>
      <c r="U29" s="173" t="n"/>
      <c r="V29" s="60" t="n"/>
      <c r="W29" s="60" t="n"/>
      <c r="X29" s="61">
        <f>Tablo2[[#This Row],[ÇAP mm]]/Tablo2[[#This Row],[Et Kalınlığı 4]]</f>
        <v/>
      </c>
      <c r="Y29" s="174">
        <f>Tablo2[[#This Row],[ÇAP mm]]/Tablo2[[#This Row],[Et Kalınlığı 5]]</f>
        <v/>
      </c>
      <c r="Z29" s="520" t="n"/>
      <c r="AA29" s="520" t="n"/>
      <c r="AF29" s="520">
        <f>IF(Tablo2[[#This Row],[ÇAP mm]]/Tablo2[[#This Row],[Et Kalınlığı 4]]&lt;75,Tablo2[[#This Row],[ÇAP mm]]*0.015/2,"Anlaşmaya bağlıdır.")</f>
        <v/>
      </c>
      <c r="AG29" s="64">
        <f>IF(Tablo2[[#This Row],[ÇAP mm]]/Tablo2[[#This Row],[Et Kalınlığı 4]]&lt;75,Tablo2[[#This Row],[ÇAP mm]]*0.02,"Anlaşmaya bağlıdır.")</f>
        <v/>
      </c>
      <c r="AH29" s="520">
        <f>IF(Tablo2[[#This Row],[ÇAP mm]]/Tablo2[[#This Row],[Et Kalınlığı 4]]&lt;75,Tablo2[[#This Row],[ÇAP mm]]*0.015/2,"Anlaşmaya bağlıdır.")</f>
        <v/>
      </c>
      <c r="AI29" s="520">
        <f>IF(Tablo2[[#This Row],[ÇAP mm]]/Tablo2[[#This Row],[Et Kalınlığı 5]]&lt;75,Tablo2[[#This Row],[ÇAP mm]]*0.02,"Anlaşmaya bağlıdır.")</f>
        <v/>
      </c>
      <c r="AJ29" s="11" t="n"/>
      <c r="AK29" s="5" t="n"/>
      <c r="AP29" s="5">
        <f>IF(40*Tablo2[[#This Row],[Et Kalınlığı 4]]&lt;485,Tablo2[[#This Row],[Et Kalınlığı 4]]*40,485)</f>
        <v/>
      </c>
      <c r="AQ29" s="12">
        <f>1940*POWER(ROUND(Tablo1[[#This Row],[Axc mm24]],-1),0.2)/POWER(Tablo2[[#This Row],[Tensile Mpa]],0.9)</f>
        <v/>
      </c>
      <c r="AR29" s="5">
        <f>IF(40*Tablo2[[#This Row],[Et Kalınlığı 5]]&lt;485,Tablo2[[#This Row],[Et Kalınlığı 4]]*40,485)</f>
        <v/>
      </c>
      <c r="AS29" s="64">
        <f>1940*POWER(ROUND(Tablo1[[#This Row],[Axc mm25]],-1),0.2)/POWER(Tablo2[[#This Row],[Tensile Mpa]],0.9)</f>
        <v/>
      </c>
    </row>
    <row r="30">
      <c r="B30" s="43" t="inlineStr">
        <is>
          <t>5"</t>
        </is>
      </c>
      <c r="C30" s="1100" t="n">
        <v>141.3</v>
      </c>
      <c r="D30" s="40" t="inlineStr">
        <is>
          <t>GRADE B</t>
        </is>
      </c>
      <c r="E30" s="44" t="n">
        <v>35500</v>
      </c>
      <c r="F30" s="45" t="n">
        <v>415</v>
      </c>
      <c r="G30" s="49" t="n"/>
      <c r="H30" s="59" t="n"/>
      <c r="I30" s="514" t="n"/>
      <c r="J30" s="514" t="n"/>
      <c r="K30" s="514" t="n"/>
      <c r="L30" s="59" t="n"/>
      <c r="M30" s="514" t="n">
        <v>6.55</v>
      </c>
      <c r="N30" s="52">
        <f>2*Tablo2[[#This Row],[SMYS Psi]]*Tablo2[[#This Row],[Et Kalınlığı 4]]/Tablo2[[#This Row],[ÇAP mm]]/14.50377</f>
        <v/>
      </c>
      <c r="O30" s="53" t="n">
        <v>7.1</v>
      </c>
      <c r="P30" s="59">
        <f>2*Tablo2[[#This Row],[SMYS Psi]]*Tablo2[[#This Row],[Et Kalınlığı 5]]/Tablo2[[#This Row],[ÇAP mm]]/14.50377</f>
        <v/>
      </c>
      <c r="Q30" s="17">
        <f>Tablo2[[#This Row],[ÇAP mm]]+1.6</f>
        <v/>
      </c>
      <c r="R30" s="1100">
        <f>Tablo2[[#This Row],[ÇAP mm]]-0.4</f>
        <v/>
      </c>
      <c r="S30" s="3">
        <f>Tablo2[[#This Row],[ÇAP mm]]*1.0075</f>
        <v/>
      </c>
      <c r="T30" s="19">
        <f>Tablo2[[#This Row],[ÇAP mm]]*0.9925</f>
        <v/>
      </c>
      <c r="U30" s="173" t="n"/>
      <c r="V30" s="60" t="n"/>
      <c r="W30" s="60" t="n"/>
      <c r="X30" s="61">
        <f>Tablo2[[#This Row],[ÇAP mm]]/Tablo2[[#This Row],[Et Kalınlığı 4]]</f>
        <v/>
      </c>
      <c r="Y30" s="174">
        <f>Tablo2[[#This Row],[ÇAP mm]]/Tablo2[[#This Row],[Et Kalınlığı 5]]</f>
        <v/>
      </c>
      <c r="Z30" s="520" t="n"/>
      <c r="AA30" s="520" t="n"/>
      <c r="AF30" s="520">
        <f>IF(Tablo2[[#This Row],[ÇAP mm]]/Tablo2[[#This Row],[Et Kalınlığı 4]]&lt;75,Tablo2[[#This Row],[ÇAP mm]]*0.015/2,"Anlaşmaya bağlıdır.")</f>
        <v/>
      </c>
      <c r="AG30" s="64">
        <f>IF(Tablo2[[#This Row],[ÇAP mm]]/Tablo2[[#This Row],[Et Kalınlığı 4]]&lt;75,Tablo2[[#This Row],[ÇAP mm]]*0.02,"Anlaşmaya bağlıdır.")</f>
        <v/>
      </c>
      <c r="AH30" s="520">
        <f>IF(Tablo2[[#This Row],[ÇAP mm]]/Tablo2[[#This Row],[Et Kalınlığı 5]]&lt;75,Tablo2[[#This Row],[ÇAP mm]]*0.015/2,"Anlaşmaya bağlıdır.")</f>
        <v/>
      </c>
      <c r="AI30" s="520">
        <f>IF(Tablo2[[#This Row],[ÇAP mm]]/Tablo2[[#This Row],[Et Kalınlığı 5]]&lt;75,Tablo2[[#This Row],[ÇAP mm]]*0.02,"Anlaşmaya bağlıdır.")</f>
        <v/>
      </c>
      <c r="AJ30" s="11" t="n"/>
      <c r="AK30" s="5" t="n"/>
      <c r="AP30" s="5">
        <f>IF(40*Tablo2[[#This Row],[Et Kalınlığı 4]]&lt;485,Tablo2[[#This Row],[Et Kalınlığı 4]]*40,485)</f>
        <v/>
      </c>
      <c r="AQ30" s="12">
        <f>1940*POWER(ROUND(Tablo1[[#This Row],[Axc mm24]],-1),0.2)/POWER(Tablo2[[#This Row],[Tensile Mpa]],0.9)</f>
        <v/>
      </c>
      <c r="AR30" s="5">
        <f>IF(40*Tablo2[[#This Row],[Et Kalınlığı 5]]&lt;485,Tablo2[[#This Row],[Et Kalınlığı 4]]*40,485)</f>
        <v/>
      </c>
      <c r="AS30" s="64">
        <f>1940*POWER(ROUND(Tablo1[[#This Row],[Axc mm25]],-1),0.2)/POWER(Tablo2[[#This Row],[Tensile Mpa]],0.9)</f>
        <v/>
      </c>
    </row>
    <row r="31">
      <c r="B31" s="43" t="inlineStr">
        <is>
          <t>6"</t>
        </is>
      </c>
      <c r="C31" s="1100" t="n">
        <v>168.3</v>
      </c>
      <c r="D31" s="1100" t="inlineStr">
        <is>
          <t>X42</t>
        </is>
      </c>
      <c r="E31" s="44" t="n">
        <v>42100</v>
      </c>
      <c r="F31" s="45" t="n">
        <v>415</v>
      </c>
      <c r="G31" s="49" t="n">
        <v>5.16</v>
      </c>
      <c r="H31" s="59">
        <f>2*Tablo2[[#This Row],[SMYS Psi]]*Tablo2[[#This Row],[Et Kalınlığı ]]/Tablo2[[#This Row],[ÇAP mm]]/14.50377</f>
        <v/>
      </c>
      <c r="I31" s="514" t="n">
        <v>5.16</v>
      </c>
      <c r="J31" s="59">
        <f>2*Tablo2[[#This Row],[SMYS Psi]]*Tablo2[[#This Row],[Et Kalınlığı 2]]/Tablo2[[#This Row],[ÇAP mm]]/14.50377</f>
        <v/>
      </c>
      <c r="K31" s="514" t="n">
        <v>5.16</v>
      </c>
      <c r="L31" s="59">
        <f>2*Tablo2[[#This Row],[SMYS Psi]]*Tablo2[[#This Row],[Et Kalınlığı 3]]/Tablo2[[#This Row],[ÇAP mm]]/14.50377</f>
        <v/>
      </c>
      <c r="M31" s="514" t="n">
        <v>6.35</v>
      </c>
      <c r="N31" s="52">
        <f>2*Tablo2[[#This Row],[SMYS Psi]]*Tablo2[[#This Row],[Et Kalınlığı 4]]/Tablo2[[#This Row],[ÇAP mm]]/14.50377</f>
        <v/>
      </c>
      <c r="O31" s="514" t="n">
        <v>6.35</v>
      </c>
      <c r="P31" s="59">
        <f>2*Tablo2[[#This Row],[SMYS Psi]]*Tablo2[[#This Row],[Et Kalınlığı 5]]/Tablo2[[#This Row],[ÇAP mm]]/14.50377</f>
        <v/>
      </c>
      <c r="Q31" s="17">
        <f>IF(Tablo2[[#This Row],[ÇAP mm]]*0.005-1.6&lt;0,Tablo2[[#This Row],[ÇAP mm]]*1.005,Tablo2[[#This Row],[ÇAP mm]]+1.6)</f>
        <v/>
      </c>
      <c r="R31" s="3">
        <f>IF(Tablo2[[#This Row],[ÇAP mm]]*0.005-1.6&lt;0,Tablo2[[#This Row],[ÇAP mm]]*0.995,Tablo2[[#This Row],[ÇAP mm]]-1.6)</f>
        <v/>
      </c>
      <c r="S31" s="3">
        <f>IF(Tablo2[[#This Row],[ÇAP mm]]*0.0075-3.2&lt;0,Tablo2[[#This Row],[ÇAP mm]]*1.0075,Tablo2[[#This Row],[ÇAP mm]]+3.2)</f>
        <v/>
      </c>
      <c r="T31" s="19">
        <f>IF(Tablo2[[#This Row],[ÇAP mm]]*0.005-3.2&lt;0,Tablo2[[#This Row],[ÇAP mm]]*0.9925,Tablo2[[#This Row],[ÇAP mm]]-3.2)</f>
        <v/>
      </c>
      <c r="U31" s="173">
        <f>Tablo2[[#This Row],[ÇAP mm]]/Tablo2[[#This Row],[Et Kalınlığı ]]</f>
        <v/>
      </c>
      <c r="V31" s="60">
        <f>Tablo2[[#This Row],[ÇAP mm]]/Tablo2[[#This Row],[Et Kalınlığı 2]]</f>
        <v/>
      </c>
      <c r="W31" s="60">
        <f>Tablo2[[#This Row],[ÇAP mm]]/Tablo2[[#This Row],[Et Kalınlığı 3]]</f>
        <v/>
      </c>
      <c r="X31" s="61">
        <f>Tablo2[[#This Row],[ÇAP mm]]/Tablo2[[#This Row],[Et Kalınlığı 4]]</f>
        <v/>
      </c>
      <c r="Y31" s="174">
        <f>Tablo2[[#This Row],[ÇAP mm]]/Tablo2[[#This Row],[Et Kalınlığı 5]]</f>
        <v/>
      </c>
      <c r="Z31" s="520">
        <f>IF(Tablo2[[#This Row],[ÇAP mm]]/Tablo2[[#This Row],[Et Kalınlığı ]]&lt;75,Tablo2[[#This Row],[ÇAP mm]]*0.015/2,"Anlaşmaya bağlıdır.")</f>
        <v/>
      </c>
      <c r="AA31" s="520">
        <f>IF(Tablo2[[#This Row],[ÇAP mm]]/Tablo2[[#This Row],[Et Kalınlığı ]]&lt;75,Tablo2[[#This Row],[ÇAP mm]]*0.02,"Anlaşmaya bağlıdır.")</f>
        <v/>
      </c>
      <c r="AB31" s="520">
        <f>IF(Tablo2[[#This Row],[ÇAP mm]]/Tablo2[[#This Row],[Et Kalınlığı ]]&lt;75,Tablo2[[#This Row],[ÇAP mm]]*0.015/2,"Anlaşmaya bağlıdır.")</f>
        <v/>
      </c>
      <c r="AC31" s="520">
        <f>IF(Tablo2[[#This Row],[ÇAP mm]]/Tablo2[[#This Row],[Et Kalınlığı 2]]&lt;75,Tablo2[[#This Row],[ÇAP mm]]*0.02,"Anlaşmaya bağlıdır.")</f>
        <v/>
      </c>
      <c r="AD31" s="520">
        <f>IF(Tablo2[[#This Row],[ÇAP mm]]/Tablo2[[#This Row],[Et Kalınlığı ]]&lt;75,Tablo2[[#This Row],[ÇAP mm]]*0.015/2,"Anlaşmaya bağlıdır.")</f>
        <v/>
      </c>
      <c r="AE31" s="520">
        <f>IF(Tablo2[[#This Row],[ÇAP mm]]/Tablo2[[#This Row],[Et Kalınlığı 3]]&lt;75,Tablo2[[#This Row],[ÇAP mm]]*0.02,"Anlaşmaya bağlıdır.")</f>
        <v/>
      </c>
      <c r="AF31" s="520">
        <f>IF(Tablo2[[#This Row],[ÇAP mm]]/Tablo2[[#This Row],[Et Kalınlığı 4]]&lt;75,Tablo2[[#This Row],[ÇAP mm]]*0.015/2,"Anlaşmaya bağlıdır.")</f>
        <v/>
      </c>
      <c r="AG31" s="64">
        <f>IF(Tablo2[[#This Row],[ÇAP mm]]/Tablo2[[#This Row],[Et Kalınlığı 4]]&lt;75,Tablo2[[#This Row],[ÇAP mm]]*0.02,"Anlaşmaya bağlıdır.")</f>
        <v/>
      </c>
      <c r="AH31" s="520">
        <f>IF(Tablo2[[#This Row],[ÇAP mm]]/Tablo2[[#This Row],[Et Kalınlığı 5]]&lt;75,Tablo2[[#This Row],[ÇAP mm]]*0.015/2,"Anlaşmaya bağlıdır.")</f>
        <v/>
      </c>
      <c r="AI31" s="520">
        <f>IF(Tablo2[[#This Row],[ÇAP mm]]/Tablo2[[#This Row],[Et Kalınlığı 5]]&lt;75,Tablo2[[#This Row],[ÇAP mm]]*0.02,"Anlaşmaya bağlıdır.")</f>
        <v/>
      </c>
      <c r="AJ31" s="11">
        <f>IF(40*Tablo2[[#This Row],[Et Kalınlığı ]]&lt;485,Tablo2[[#This Row],[Et Kalınlığı ]]*40,485)</f>
        <v/>
      </c>
      <c r="AK31" s="5">
        <f>1940*POWER(ROUND(AJ31,-1),0.2)/POWER(Tablo2[[#This Row],[Tensile Mpa]],0.9)</f>
        <v/>
      </c>
      <c r="AL31" s="5">
        <f>IF(40*Tablo2[[#This Row],[Et Kalınlığı 2]]&lt;485,Tablo2[[#This Row],[Et Kalınlığı ]]*40,485)</f>
        <v/>
      </c>
      <c r="AM31" s="5">
        <f>1940*POWER(ROUND(Tablo1[[#This Row],[Axc mm22]],-1),0.2)/POWER(Tablo2[[#This Row],[Tensile Mpa]],0.9)</f>
        <v/>
      </c>
      <c r="AN31" s="5">
        <f>IF(40*Tablo2[[#This Row],[Et Kalınlığı 3]]&lt;485,Tablo2[[#This Row],[Et Kalınlığı ]]*40,485)</f>
        <v/>
      </c>
      <c r="AO31" s="5">
        <f>1940*POWER(ROUND(Tablo1[[#This Row],[Axc mm23]],-1),0.2)/POWER(Tablo2[[#This Row],[Tensile Mpa]],0.9)</f>
        <v/>
      </c>
      <c r="AP31" s="5">
        <f>IF(40*Tablo2[[#This Row],[Et Kalınlığı 4]]&lt;485,Tablo2[[#This Row],[Et Kalınlığı 4]]*40,485)</f>
        <v/>
      </c>
      <c r="AQ31" s="12">
        <f>1940*POWER(ROUND(Tablo1[[#This Row],[Axc mm24]],-1),0.2)/POWER(Tablo2[[#This Row],[Tensile Mpa]],0.9)</f>
        <v/>
      </c>
      <c r="AR31" s="5">
        <f>IF(40*Tablo2[[#This Row],[Et Kalınlığı 5]]&lt;485,Tablo2[[#This Row],[Et Kalınlığı 4]]*40,485)</f>
        <v/>
      </c>
      <c r="AS31" s="64">
        <f>1940*POWER(ROUND(Tablo1[[#This Row],[Axc mm25]],-1),0.2)/POWER(Tablo2[[#This Row],[Tensile Mpa]],0.9)</f>
        <v/>
      </c>
    </row>
    <row r="32">
      <c r="B32" s="43" t="inlineStr">
        <is>
          <t>8"</t>
        </is>
      </c>
      <c r="C32" s="1100" t="n">
        <v>219.1</v>
      </c>
      <c r="D32" s="1100" t="inlineStr">
        <is>
          <t>X42</t>
        </is>
      </c>
      <c r="E32" s="44" t="n">
        <v>42100</v>
      </c>
      <c r="F32" s="45" t="n">
        <v>415</v>
      </c>
      <c r="G32" s="49" t="n">
        <v>5.16</v>
      </c>
      <c r="H32" s="59">
        <f>2*Tablo2[[#This Row],[SMYS Psi]]*Tablo2[[#This Row],[Et Kalınlığı ]]/Tablo2[[#This Row],[ÇAP mm]]/14.50377</f>
        <v/>
      </c>
      <c r="I32" s="514" t="n">
        <v>5.16</v>
      </c>
      <c r="J32" s="59">
        <f>2*Tablo2[[#This Row],[SMYS Psi]]*Tablo2[[#This Row],[Et Kalınlığı 2]]/Tablo2[[#This Row],[ÇAP mm]]/14.50377</f>
        <v/>
      </c>
      <c r="K32" s="514" t="n">
        <v>6.35</v>
      </c>
      <c r="L32" s="59">
        <f>2*Tablo2[[#This Row],[SMYS Psi]]*Tablo2[[#This Row],[Et Kalınlığı 3]]/Tablo2[[#This Row],[ÇAP mm]]/14.50377</f>
        <v/>
      </c>
      <c r="M32" s="514" t="n">
        <v>7.92</v>
      </c>
      <c r="N32" s="52">
        <f>2*Tablo2[[#This Row],[SMYS Psi]]*Tablo2[[#This Row],[Et Kalınlığı 4]]/Tablo2[[#This Row],[ÇAP mm]]/14.50377</f>
        <v/>
      </c>
      <c r="O32" s="514" t="n">
        <v>7.92</v>
      </c>
      <c r="P32" s="59">
        <f>2*Tablo2[[#This Row],[SMYS Psi]]*Tablo2[[#This Row],[Et Kalınlığı 5]]/Tablo2[[#This Row],[ÇAP mm]]/14.50377</f>
        <v/>
      </c>
      <c r="Q32" s="17">
        <f>IF(Tablo2[[#This Row],[ÇAP mm]]*0.005-1.6&lt;0,Tablo2[[#This Row],[ÇAP mm]]*1.005,Tablo2[[#This Row],[ÇAP mm]]+1.6)</f>
        <v/>
      </c>
      <c r="R32" s="3">
        <f>IF(Tablo2[[#This Row],[ÇAP mm]]*0.005-1.6&lt;0,Tablo2[[#This Row],[ÇAP mm]]*0.995,Tablo2[[#This Row],[ÇAP mm]]-1.6)</f>
        <v/>
      </c>
      <c r="S32" s="3">
        <f>IF(Tablo2[[#This Row],[ÇAP mm]]*0.0075-3.2&lt;0,Tablo2[[#This Row],[ÇAP mm]]*1.0075,Tablo2[[#This Row],[ÇAP mm]]+3.2)</f>
        <v/>
      </c>
      <c r="T32" s="19">
        <f>IF(Tablo2[[#This Row],[ÇAP mm]]*0.005-3.2&lt;0,Tablo2[[#This Row],[ÇAP mm]]*0.9925,Tablo2[[#This Row],[ÇAP mm]]-3.2)</f>
        <v/>
      </c>
      <c r="U32" s="173">
        <f>Tablo2[[#This Row],[ÇAP mm]]/Tablo2[[#This Row],[Et Kalınlığı ]]</f>
        <v/>
      </c>
      <c r="V32" s="60">
        <f>Tablo2[[#This Row],[ÇAP mm]]/Tablo2[[#This Row],[Et Kalınlığı 2]]</f>
        <v/>
      </c>
      <c r="W32" s="60">
        <f>Tablo2[[#This Row],[ÇAP mm]]/Tablo2[[#This Row],[Et Kalınlığı 3]]</f>
        <v/>
      </c>
      <c r="X32" s="61">
        <f>Tablo2[[#This Row],[ÇAP mm]]/Tablo2[[#This Row],[Et Kalınlığı 4]]</f>
        <v/>
      </c>
      <c r="Y32" s="174">
        <f>Tablo2[[#This Row],[ÇAP mm]]/Tablo2[[#This Row],[Et Kalınlığı 5]]</f>
        <v/>
      </c>
      <c r="Z32" s="520">
        <f>Tablo2[[#This Row],[ÇAP mm]]*0.015/2</f>
        <v/>
      </c>
      <c r="AA32" s="520">
        <f>Tablo2[[#This Row],[ÇAP mm]]*0.02</f>
        <v/>
      </c>
      <c r="AB32" s="520">
        <f>Tablo2[[#This Row],[ÇAP mm]]*0.015/2</f>
        <v/>
      </c>
      <c r="AC32" s="520">
        <f>Tablo2[[#This Row],[ÇAP mm]]*0.02</f>
        <v/>
      </c>
      <c r="AD32" s="520">
        <f>Tablo2[[#This Row],[ÇAP mm]]*0.015/2</f>
        <v/>
      </c>
      <c r="AE32" s="520">
        <f>Tablo2[[#This Row],[ÇAP mm]]*0.02</f>
        <v/>
      </c>
      <c r="AF32" s="520">
        <f>IF(Tablo2[[#This Row],[ÇAP mm]]/Tablo2[[#This Row],[Et Kalınlığı 4]]&lt;75,Tablo2[[#This Row],[ÇAP mm]]*0.015/2,"Anlaşmaya bağlıdır.")</f>
        <v/>
      </c>
      <c r="AG32" s="64">
        <f>Tablo2[[#This Row],[ÇAP mm]]*0.02</f>
        <v/>
      </c>
      <c r="AH32" s="520">
        <f>IF(Tablo2[[#This Row],[ÇAP mm]]/Tablo2[[#This Row],[Et Kalınlığı 5]]&lt;75,Tablo2[[#This Row],[ÇAP mm]]*0.015/2,"Anlaşmaya bağlıdır.")</f>
        <v/>
      </c>
      <c r="AI32" s="520">
        <f>Tablo2[[#This Row],[ÇAP mm]]*0.02</f>
        <v/>
      </c>
      <c r="AJ32" s="11">
        <f>IF(40*Tablo2[[#This Row],[Et Kalınlığı ]]&lt;485,Tablo2[[#This Row],[Et Kalınlığı ]]*40,485)</f>
        <v/>
      </c>
      <c r="AK32" s="5">
        <f>1940*POWER(ROUND(AJ32,-1),0.2)/POWER(Tablo2[[#This Row],[Tensile Mpa]],0.9)</f>
        <v/>
      </c>
      <c r="AL32" s="5">
        <f>IF(40*Tablo2[[#This Row],[Et Kalınlığı 2]]&lt;485,Tablo2[[#This Row],[Et Kalınlığı ]]*40,485)</f>
        <v/>
      </c>
      <c r="AM32" s="5">
        <f>1940*POWER(ROUND(Tablo1[[#This Row],[Axc mm22]],-1),0.2)/POWER(Tablo2[[#This Row],[Tensile Mpa]],0.9)</f>
        <v/>
      </c>
      <c r="AN32" s="5">
        <f>IF(40*Tablo2[[#This Row],[Et Kalınlığı 3]]&lt;485,Tablo2[[#This Row],[Et Kalınlığı ]]*40,485)</f>
        <v/>
      </c>
      <c r="AO32" s="5">
        <f>1940*POWER(ROUND(Tablo1[[#This Row],[Axc mm23]],-1),0.2)/POWER(Tablo2[[#This Row],[Tensile Mpa]],0.9)</f>
        <v/>
      </c>
      <c r="AP32" s="5">
        <f>IF(40*Tablo2[[#This Row],[Et Kalınlığı 4]]&lt;485,Tablo2[[#This Row],[Et Kalınlığı 4]]*40,485)</f>
        <v/>
      </c>
      <c r="AQ32" s="12">
        <f>1940*POWER(ROUND(Tablo1[[#This Row],[Axc mm24]],-1),0.2)/POWER(Tablo2[[#This Row],[Tensile Mpa]],0.9)</f>
        <v/>
      </c>
      <c r="AR32" s="5">
        <f>IF(40*Tablo2[[#This Row],[Et Kalınlığı 5]]&lt;485,Tablo2[[#This Row],[Et Kalınlığı 4]]*40,485)</f>
        <v/>
      </c>
      <c r="AS32" s="64">
        <f>1940*POWER(ROUND(Tablo1[[#This Row],[Axc mm25]],-1),0.2)/POWER(Tablo2[[#This Row],[Tensile Mpa]],0.9)</f>
        <v/>
      </c>
    </row>
    <row r="33">
      <c r="B33" s="43" t="inlineStr">
        <is>
          <t>10"</t>
        </is>
      </c>
      <c r="C33" s="1100" t="n">
        <v>273.1</v>
      </c>
      <c r="D33" s="1100" t="inlineStr">
        <is>
          <t>X46</t>
        </is>
      </c>
      <c r="E33" s="44" t="n">
        <v>46400</v>
      </c>
      <c r="F33" s="45" t="n">
        <v>435</v>
      </c>
      <c r="G33" s="49" t="n">
        <v>5.16</v>
      </c>
      <c r="H33" s="59">
        <f>2*Tablo2[[#This Row],[SMYS Psi]]*Tablo2[[#This Row],[Et Kalınlığı ]]/Tablo2[[#This Row],[ÇAP mm]]/14.50377</f>
        <v/>
      </c>
      <c r="I33" s="514" t="n">
        <v>5.56</v>
      </c>
      <c r="J33" s="59">
        <f>2*Tablo2[[#This Row],[SMYS Psi]]*Tablo2[[#This Row],[Et Kalınlığı 2]]/Tablo2[[#This Row],[ÇAP mm]]/14.50377</f>
        <v/>
      </c>
      <c r="K33" s="514" t="n">
        <v>7.09</v>
      </c>
      <c r="L33" s="59">
        <f>2*Tablo2[[#This Row],[SMYS Psi]]*Tablo2[[#This Row],[Et Kalınlığı 3]]/Tablo2[[#This Row],[ÇAP mm]]/14.50377</f>
        <v/>
      </c>
      <c r="M33" s="514" t="n">
        <v>8.74</v>
      </c>
      <c r="N33" s="52">
        <f>2*Tablo2[[#This Row],[SMYS Psi]]*Tablo2[[#This Row],[Et Kalınlığı 4]]/Tablo2[[#This Row],[ÇAP mm]]/14.50377</f>
        <v/>
      </c>
      <c r="O33" s="514" t="n">
        <v>8.74</v>
      </c>
      <c r="P33" s="59">
        <f>2*Tablo2[[#This Row],[SMYS Psi]]*Tablo2[[#This Row],[Et Kalınlığı 5]]/Tablo2[[#This Row],[ÇAP mm]]/14.50377</f>
        <v/>
      </c>
      <c r="Q33" s="17">
        <f>IF(Tablo2[[#This Row],[ÇAP mm]]*0.005-1.6&lt;0,Tablo2[[#This Row],[ÇAP mm]]*1.005,Tablo2[[#This Row],[ÇAP mm]]+1.6)</f>
        <v/>
      </c>
      <c r="R33" s="3">
        <f>IF(Tablo2[[#This Row],[ÇAP mm]]*0.005-1.6&lt;0,Tablo2[[#This Row],[ÇAP mm]]*0.995,Tablo2[[#This Row],[ÇAP mm]]-1.6)</f>
        <v/>
      </c>
      <c r="S33" s="3">
        <f>IF(Tablo2[[#This Row],[ÇAP mm]]*0.0075-3.2&lt;0,Tablo2[[#This Row],[ÇAP mm]]*1.0075,Tablo2[[#This Row],[ÇAP mm]]+3.2)</f>
        <v/>
      </c>
      <c r="T33" s="19">
        <f>IF(Tablo2[[#This Row],[ÇAP mm]]*0.005-3.2&lt;0,Tablo2[[#This Row],[ÇAP mm]]*0.9925,Tablo2[[#This Row],[ÇAP mm]]-3.2)</f>
        <v/>
      </c>
      <c r="U33" s="173">
        <f>Tablo2[[#This Row],[ÇAP mm]]/Tablo2[[#This Row],[Et Kalınlığı ]]</f>
        <v/>
      </c>
      <c r="V33" s="60">
        <f>Tablo2[[#This Row],[ÇAP mm]]/Tablo2[[#This Row],[Et Kalınlığı 2]]</f>
        <v/>
      </c>
      <c r="W33" s="60">
        <f>Tablo2[[#This Row],[ÇAP mm]]/Tablo2[[#This Row],[Et Kalınlığı 3]]</f>
        <v/>
      </c>
      <c r="X33" s="61">
        <f>Tablo2[[#This Row],[ÇAP mm]]/Tablo2[[#This Row],[Et Kalınlığı 4]]</f>
        <v/>
      </c>
      <c r="Y33" s="174">
        <f>Tablo2[[#This Row],[ÇAP mm]]/Tablo2[[#This Row],[Et Kalınlığı 5]]</f>
        <v/>
      </c>
      <c r="Z33" s="520">
        <f>Tablo2[[#This Row],[ÇAP mm]]*0.015/2</f>
        <v/>
      </c>
      <c r="AA33" s="520">
        <f>Tablo2[[#This Row],[ÇAP mm]]*0.02</f>
        <v/>
      </c>
      <c r="AB33" s="520">
        <f>Tablo2[[#This Row],[ÇAP mm]]*0.015/2</f>
        <v/>
      </c>
      <c r="AC33" s="520">
        <f>Tablo2[[#This Row],[ÇAP mm]]*0.02</f>
        <v/>
      </c>
      <c r="AD33" s="520">
        <f>Tablo2[[#This Row],[ÇAP mm]]*0.015/2</f>
        <v/>
      </c>
      <c r="AE33" s="520">
        <f>Tablo2[[#This Row],[ÇAP mm]]*0.02</f>
        <v/>
      </c>
      <c r="AF33" s="520">
        <f>IF(Tablo2[[#This Row],[ÇAP mm]]/Tablo2[[#This Row],[Et Kalınlığı 4]]&lt;75,Tablo2[[#This Row],[ÇAP mm]]*0.015/2,"Anlaşmaya bağlıdır.")</f>
        <v/>
      </c>
      <c r="AG33" s="64">
        <f>Tablo2[[#This Row],[ÇAP mm]]*0.02</f>
        <v/>
      </c>
      <c r="AH33" s="520">
        <f>IF(Tablo2[[#This Row],[ÇAP mm]]/Tablo2[[#This Row],[Et Kalınlığı 5]]&lt;75,Tablo2[[#This Row],[ÇAP mm]]*0.015/2,"Anlaşmaya bağlıdır.")</f>
        <v/>
      </c>
      <c r="AI33" s="520">
        <f>Tablo2[[#This Row],[ÇAP mm]]*0.02</f>
        <v/>
      </c>
      <c r="AJ33" s="11">
        <f>IF(40*Tablo2[[#This Row],[Et Kalınlığı ]]&lt;485,Tablo2[[#This Row],[Et Kalınlığı ]]*40,485)</f>
        <v/>
      </c>
      <c r="AK33" s="5">
        <f>1940*POWER(ROUND(AJ33,-1),0.2)/POWER(Tablo2[[#This Row],[Tensile Mpa]],0.9)</f>
        <v/>
      </c>
      <c r="AL33" s="5">
        <f>IF(40*Tablo2[[#This Row],[Et Kalınlığı 2]]&lt;485,Tablo2[[#This Row],[Et Kalınlığı ]]*40,485)</f>
        <v/>
      </c>
      <c r="AM33" s="5">
        <f>1940*POWER(ROUND(Tablo1[[#This Row],[Axc mm22]],-1),0.2)/POWER(Tablo2[[#This Row],[Tensile Mpa]],0.9)</f>
        <v/>
      </c>
      <c r="AN33" s="5">
        <f>IF(40*Tablo2[[#This Row],[Et Kalınlığı 3]]&lt;485,Tablo2[[#This Row],[Et Kalınlığı ]]*40,485)</f>
        <v/>
      </c>
      <c r="AO33" s="5">
        <f>1940*POWER(ROUND(Tablo1[[#This Row],[Axc mm23]],-1),0.2)/POWER(Tablo2[[#This Row],[Tensile Mpa]],0.9)</f>
        <v/>
      </c>
      <c r="AP33" s="5">
        <f>IF(40*Tablo2[[#This Row],[Et Kalınlığı 4]]&lt;485,Tablo2[[#This Row],[Et Kalınlığı 4]]*40,485)</f>
        <v/>
      </c>
      <c r="AQ33" s="12">
        <f>1940*POWER(ROUND(Tablo1[[#This Row],[Axc mm24]],-1),0.2)/POWER(Tablo2[[#This Row],[Tensile Mpa]],0.9)</f>
        <v/>
      </c>
      <c r="AR33" s="5">
        <f>IF(40*Tablo2[[#This Row],[Et Kalınlığı 5]]&lt;485,Tablo2[[#This Row],[Et Kalınlığı 4]]*40,485)</f>
        <v/>
      </c>
      <c r="AS33" s="64">
        <f>1940*POWER(ROUND(Tablo1[[#This Row],[Axc mm25]],-1),0.2)/POWER(Tablo2[[#This Row],[Tensile Mpa]],0.9)</f>
        <v/>
      </c>
    </row>
    <row r="34">
      <c r="B34" s="43" t="inlineStr">
        <is>
          <t>12"</t>
        </is>
      </c>
      <c r="C34" s="1100" t="n">
        <v>323.9</v>
      </c>
      <c r="D34" s="1100" t="inlineStr">
        <is>
          <t>X52</t>
        </is>
      </c>
      <c r="E34" s="44" t="n">
        <v>52200</v>
      </c>
      <c r="F34" s="45" t="n">
        <v>460</v>
      </c>
      <c r="G34" s="49" t="n">
        <v>5.16</v>
      </c>
      <c r="H34" s="59">
        <f>2*Tablo2[[#This Row],[SMYS Psi]]*Tablo2[[#This Row],[Et Kalınlığı ]]/Tablo2[[#This Row],[ÇAP mm]]/14.50377</f>
        <v/>
      </c>
      <c r="I34" s="514" t="n">
        <v>6.35</v>
      </c>
      <c r="J34" s="59">
        <f>2*Tablo2[[#This Row],[SMYS Psi]]*Tablo2[[#This Row],[Et Kalınlığı 2]]/Tablo2[[#This Row],[ÇAP mm]]/14.50377</f>
        <v/>
      </c>
      <c r="K34" s="514" t="n">
        <v>7.14</v>
      </c>
      <c r="L34" s="59">
        <f>2*Tablo2[[#This Row],[SMYS Psi]]*Tablo2[[#This Row],[Et Kalınlığı 3]]/Tablo2[[#This Row],[ÇAP mm]]/14.50377</f>
        <v/>
      </c>
      <c r="M34" s="514" t="n">
        <v>8.380000000000001</v>
      </c>
      <c r="N34" s="52">
        <f>2*Tablo2[[#This Row],[SMYS Psi]]*Tablo2[[#This Row],[Et Kalınlığı 4]]/Tablo2[[#This Row],[ÇAP mm]]/14.50377</f>
        <v/>
      </c>
      <c r="O34" s="514" t="n">
        <v>9.529999999999999</v>
      </c>
      <c r="P34" s="59">
        <f>2*Tablo2[[#This Row],[SMYS Psi]]*Tablo2[[#This Row],[Et Kalınlığı 5]]/Tablo2[[#This Row],[ÇAP mm]]/14.50377</f>
        <v/>
      </c>
      <c r="Q34" s="17">
        <f>IF(Tablo2[[#This Row],[ÇAP mm]]*0.005-1.6&lt;0,Tablo2[[#This Row],[ÇAP mm]]*1.005,Tablo2[[#This Row],[ÇAP mm]]+1.6)</f>
        <v/>
      </c>
      <c r="R34" s="3">
        <f>IF(Tablo2[[#This Row],[ÇAP mm]]*0.005-1.6&lt;0,Tablo2[[#This Row],[ÇAP mm]]*0.995,Tablo2[[#This Row],[ÇAP mm]]-1.6)</f>
        <v/>
      </c>
      <c r="S34" s="3">
        <f>IF(Tablo2[[#This Row],[ÇAP mm]]*0.0075-3.2&lt;0,Tablo2[[#This Row],[ÇAP mm]]*1.0075,Tablo2[[#This Row],[ÇAP mm]]+3.2)</f>
        <v/>
      </c>
      <c r="T34" s="19">
        <f>IF(Tablo2[[#This Row],[ÇAP mm]]*0.005-3.2&lt;0,Tablo2[[#This Row],[ÇAP mm]]*0.9925,Tablo2[[#This Row],[ÇAP mm]]-3.2)</f>
        <v/>
      </c>
      <c r="U34" s="173">
        <f>Tablo2[[#This Row],[ÇAP mm]]/Tablo2[[#This Row],[Et Kalınlığı ]]</f>
        <v/>
      </c>
      <c r="V34" s="60">
        <f>Tablo2[[#This Row],[ÇAP mm]]/Tablo2[[#This Row],[Et Kalınlığı 2]]</f>
        <v/>
      </c>
      <c r="W34" s="60">
        <f>Tablo2[[#This Row],[ÇAP mm]]/Tablo2[[#This Row],[Et Kalınlığı 3]]</f>
        <v/>
      </c>
      <c r="X34" s="61">
        <f>Tablo2[[#This Row],[ÇAP mm]]/Tablo2[[#This Row],[Et Kalınlığı 4]]</f>
        <v/>
      </c>
      <c r="Y34" s="174">
        <f>Tablo2[[#This Row],[ÇAP mm]]/Tablo2[[#This Row],[Et Kalınlığı 5]]</f>
        <v/>
      </c>
      <c r="Z34" s="520">
        <f>Tablo2[[#This Row],[ÇAP mm]]*0.015/2</f>
        <v/>
      </c>
      <c r="AA34" s="520">
        <f>Tablo2[[#This Row],[ÇAP mm]]*0.02</f>
        <v/>
      </c>
      <c r="AB34" s="520">
        <f>Tablo2[[#This Row],[ÇAP mm]]*0.015/2</f>
        <v/>
      </c>
      <c r="AC34" s="520">
        <f>Tablo2[[#This Row],[ÇAP mm]]*0.02</f>
        <v/>
      </c>
      <c r="AD34" s="520">
        <f>Tablo2[[#This Row],[ÇAP mm]]*0.015/2</f>
        <v/>
      </c>
      <c r="AE34" s="520">
        <f>Tablo2[[#This Row],[ÇAP mm]]*0.02</f>
        <v/>
      </c>
      <c r="AF34" s="520">
        <f>IF(Tablo2[[#This Row],[ÇAP mm]]/Tablo2[[#This Row],[Et Kalınlığı 4]]&lt;75,Tablo2[[#This Row],[ÇAP mm]]*0.015/2,"Anlaşmaya bağlıdır.")</f>
        <v/>
      </c>
      <c r="AG34" s="64">
        <f>Tablo2[[#This Row],[ÇAP mm]]*0.02</f>
        <v/>
      </c>
      <c r="AH34" s="520">
        <f>IF(Tablo2[[#This Row],[ÇAP mm]]/Tablo2[[#This Row],[Et Kalınlığı 5]]&lt;75,Tablo2[[#This Row],[ÇAP mm]]*0.015/2,"Anlaşmaya bağlıdır.")</f>
        <v/>
      </c>
      <c r="AI34" s="520">
        <f>Tablo2[[#This Row],[ÇAP mm]]*0.02</f>
        <v/>
      </c>
      <c r="AJ34" s="11">
        <f>IF(40*Tablo2[[#This Row],[Et Kalınlığı ]]&lt;485,Tablo2[[#This Row],[Et Kalınlığı ]]*40,485)</f>
        <v/>
      </c>
      <c r="AK34" s="5">
        <f>1940*POWER(ROUND(AJ34,-1),0.2)/POWER(Tablo2[[#This Row],[Tensile Mpa]],0.9)</f>
        <v/>
      </c>
      <c r="AL34" s="5">
        <f>IF(40*Tablo2[[#This Row],[Et Kalınlığı 2]]&lt;485,Tablo2[[#This Row],[Et Kalınlığı ]]*40,485)</f>
        <v/>
      </c>
      <c r="AM34" s="5">
        <f>1940*POWER(ROUND(Tablo1[[#This Row],[Axc mm22]],-1),0.2)/POWER(Tablo2[[#This Row],[Tensile Mpa]],0.9)</f>
        <v/>
      </c>
      <c r="AN34" s="5">
        <f>IF(40*Tablo2[[#This Row],[Et Kalınlığı 3]]&lt;485,Tablo2[[#This Row],[Et Kalınlığı ]]*40,485)</f>
        <v/>
      </c>
      <c r="AO34" s="5">
        <f>1940*POWER(ROUND(Tablo1[[#This Row],[Axc mm23]],-1),0.2)/POWER(Tablo2[[#This Row],[Tensile Mpa]],0.9)</f>
        <v/>
      </c>
      <c r="AP34" s="5">
        <f>IF(40*Tablo2[[#This Row],[Et Kalınlığı 4]]&lt;485,Tablo2[[#This Row],[Et Kalınlığı 4]]*40,485)</f>
        <v/>
      </c>
      <c r="AQ34" s="12">
        <f>1940*POWER(ROUND(Tablo1[[#This Row],[Axc mm24]],-1),0.2)/POWER(Tablo2[[#This Row],[Tensile Mpa]],0.9)</f>
        <v/>
      </c>
      <c r="AR34" s="5">
        <f>IF(40*Tablo2[[#This Row],[Et Kalınlığı 5]]&lt;485,Tablo2[[#This Row],[Et Kalınlığı 4]]*40,485)</f>
        <v/>
      </c>
      <c r="AS34" s="64">
        <f>1940*POWER(ROUND(Tablo1[[#This Row],[Axc mm25]],-1),0.2)/POWER(Tablo2[[#This Row],[Tensile Mpa]],0.9)</f>
        <v/>
      </c>
    </row>
    <row r="35">
      <c r="B35" s="43" t="inlineStr">
        <is>
          <t>14"</t>
        </is>
      </c>
      <c r="C35" s="1100" t="n">
        <v>355.6</v>
      </c>
      <c r="D35" s="1100" t="inlineStr">
        <is>
          <t>X52</t>
        </is>
      </c>
      <c r="E35" s="44" t="n">
        <v>52200</v>
      </c>
      <c r="F35" s="45" t="n">
        <v>460</v>
      </c>
      <c r="G35" s="49" t="n">
        <v>5.16</v>
      </c>
      <c r="H35" s="59">
        <f>2*Tablo2[[#This Row],[SMYS Psi]]*Tablo2[[#This Row],[Et Kalınlığı ]]/Tablo2[[#This Row],[ÇAP mm]]/14.50377</f>
        <v/>
      </c>
      <c r="I35" s="514" t="n">
        <v>6.35</v>
      </c>
      <c r="J35" s="59">
        <f>2*Tablo2[[#This Row],[SMYS Psi]]*Tablo2[[#This Row],[Et Kalınlığı 2]]/Tablo2[[#This Row],[ÇAP mm]]/14.50377</f>
        <v/>
      </c>
      <c r="K35" s="514" t="n">
        <v>7.92</v>
      </c>
      <c r="L35" s="59">
        <f>2*Tablo2[[#This Row],[SMYS Psi]]*Tablo2[[#This Row],[Et Kalınlığı 3]]/Tablo2[[#This Row],[ÇAP mm]]/14.50377</f>
        <v/>
      </c>
      <c r="M35" s="514" t="n">
        <v>9.529999999999999</v>
      </c>
      <c r="N35" s="52">
        <f>2*Tablo2[[#This Row],[SMYS Psi]]*Tablo2[[#This Row],[Et Kalınlığı 4]]/Tablo2[[#This Row],[ÇAP mm]]/14.50377</f>
        <v/>
      </c>
      <c r="O35" s="514" t="n">
        <v>10.31</v>
      </c>
      <c r="P35" s="59">
        <f>2*Tablo2[[#This Row],[SMYS Psi]]*Tablo2[[#This Row],[Et Kalınlığı 5]]/Tablo2[[#This Row],[ÇAP mm]]/14.50377</f>
        <v/>
      </c>
      <c r="Q35" s="17">
        <f>IF(Tablo2[[#This Row],[ÇAP mm]]*0.005-1.6&lt;0,Tablo2[[#This Row],[ÇAP mm]]*1.005,Tablo2[[#This Row],[ÇAP mm]]+1.6)</f>
        <v/>
      </c>
      <c r="R35" s="3">
        <f>IF(Tablo2[[#This Row],[ÇAP mm]]*0.005-1.6&lt;0,Tablo2[[#This Row],[ÇAP mm]]*0.995,Tablo2[[#This Row],[ÇAP mm]]-1.6)</f>
        <v/>
      </c>
      <c r="S35" s="3">
        <f>IF(Tablo2[[#This Row],[ÇAP mm]]*0.0075-3.2&lt;0,Tablo2[[#This Row],[ÇAP mm]]*1.0075,Tablo2[[#This Row],[ÇAP mm]]+3.2)</f>
        <v/>
      </c>
      <c r="T35" s="19">
        <f>IF(Tablo2[[#This Row],[ÇAP mm]]*0.005-3.2&lt;0,Tablo2[[#This Row],[ÇAP mm]]*0.9925,Tablo2[[#This Row],[ÇAP mm]]-3.2)</f>
        <v/>
      </c>
      <c r="U35" s="173">
        <f>Tablo2[[#This Row],[ÇAP mm]]/Tablo2[[#This Row],[Et Kalınlığı ]]</f>
        <v/>
      </c>
      <c r="V35" s="60">
        <f>Tablo2[[#This Row],[ÇAP mm]]/Tablo2[[#This Row],[Et Kalınlığı 2]]</f>
        <v/>
      </c>
      <c r="W35" s="60">
        <f>Tablo2[[#This Row],[ÇAP mm]]/Tablo2[[#This Row],[Et Kalınlığı 3]]</f>
        <v/>
      </c>
      <c r="X35" s="61">
        <f>Tablo2[[#This Row],[ÇAP mm]]/Tablo2[[#This Row],[Et Kalınlığı 4]]</f>
        <v/>
      </c>
      <c r="Y35" s="174">
        <f>Tablo2[[#This Row],[ÇAP mm]]/Tablo2[[#This Row],[Et Kalınlığı 5]]</f>
        <v/>
      </c>
      <c r="Z35" s="520">
        <f>Tablo2[[#This Row],[ÇAP mm]]*0.015/2</f>
        <v/>
      </c>
      <c r="AA35" s="520">
        <f>Tablo2[[#This Row],[ÇAP mm]]*0.02</f>
        <v/>
      </c>
      <c r="AB35" s="520">
        <f>Tablo2[[#This Row],[ÇAP mm]]*0.015/2</f>
        <v/>
      </c>
      <c r="AC35" s="520">
        <f>Tablo2[[#This Row],[ÇAP mm]]*0.02</f>
        <v/>
      </c>
      <c r="AD35" s="520">
        <f>Tablo2[[#This Row],[ÇAP mm]]*0.015/2</f>
        <v/>
      </c>
      <c r="AE35" s="520">
        <f>Tablo2[[#This Row],[ÇAP mm]]*0.02</f>
        <v/>
      </c>
      <c r="AF35" s="520">
        <f>IF(Tablo2[[#This Row],[ÇAP mm]]/Tablo2[[#This Row],[Et Kalınlığı 4]]&lt;75,Tablo2[[#This Row],[ÇAP mm]]*0.015/2,"Anlaşmaya bağlıdır.")</f>
        <v/>
      </c>
      <c r="AG35" s="64">
        <f>Tablo2[[#This Row],[ÇAP mm]]*0.02</f>
        <v/>
      </c>
      <c r="AH35" s="520">
        <f>IF(Tablo2[[#This Row],[ÇAP mm]]/Tablo2[[#This Row],[Et Kalınlığı 5]]&lt;75,Tablo2[[#This Row],[ÇAP mm]]*0.015/2,"Anlaşmaya bağlıdır.")</f>
        <v/>
      </c>
      <c r="AI35" s="520">
        <f>Tablo2[[#This Row],[ÇAP mm]]*0.02</f>
        <v/>
      </c>
      <c r="AJ35" s="11">
        <f>IF(40*Tablo2[[#This Row],[Et Kalınlığı ]]&lt;485,Tablo2[[#This Row],[Et Kalınlığı ]]*40,485)</f>
        <v/>
      </c>
      <c r="AK35" s="5">
        <f>1940*POWER(ROUND(AJ35,-1),0.2)/POWER(Tablo2[[#This Row],[Tensile Mpa]],0.9)</f>
        <v/>
      </c>
      <c r="AL35" s="5">
        <f>IF(40*Tablo2[[#This Row],[Et Kalınlığı 2]]&lt;485,Tablo2[[#This Row],[Et Kalınlığı ]]*40,485)</f>
        <v/>
      </c>
      <c r="AM35" s="5">
        <f>1940*POWER(ROUND(Tablo1[[#This Row],[Axc mm22]],-1),0.2)/POWER(Tablo2[[#This Row],[Tensile Mpa]],0.9)</f>
        <v/>
      </c>
      <c r="AN35" s="5">
        <f>IF(40*Tablo2[[#This Row],[Et Kalınlığı 3]]&lt;485,Tablo2[[#This Row],[Et Kalınlığı ]]*40,485)</f>
        <v/>
      </c>
      <c r="AO35" s="5">
        <f>1940*POWER(ROUND(Tablo1[[#This Row],[Axc mm23]],-1),0.2)/POWER(Tablo2[[#This Row],[Tensile Mpa]],0.9)</f>
        <v/>
      </c>
      <c r="AP35" s="5">
        <f>IF(40*Tablo2[[#This Row],[Et Kalınlığı 4]]&lt;485,Tablo2[[#This Row],[Et Kalınlığı 4]]*40,485)</f>
        <v/>
      </c>
      <c r="AQ35" s="12">
        <f>1940*POWER(ROUND(Tablo1[[#This Row],[Axc mm24]],-1),0.2)/POWER(Tablo2[[#This Row],[Tensile Mpa]],0.9)</f>
        <v/>
      </c>
      <c r="AR35" s="5">
        <f>IF(40*Tablo2[[#This Row],[Et Kalınlığı 5]]&lt;485,Tablo2[[#This Row],[Et Kalınlığı 4]]*40,485)</f>
        <v/>
      </c>
      <c r="AS35" s="64">
        <f>1940*POWER(ROUND(Tablo1[[#This Row],[Axc mm25]],-1),0.2)/POWER(Tablo2[[#This Row],[Tensile Mpa]],0.9)</f>
        <v/>
      </c>
    </row>
    <row r="36">
      <c r="B36" s="43" t="inlineStr">
        <is>
          <t>16"</t>
        </is>
      </c>
      <c r="C36" s="1100" t="n">
        <v>406.4</v>
      </c>
      <c r="D36" s="1100" t="inlineStr">
        <is>
          <t>X60</t>
        </is>
      </c>
      <c r="E36" s="44" t="n">
        <v>60200</v>
      </c>
      <c r="F36" s="45" t="n">
        <v>520</v>
      </c>
      <c r="G36" s="49" t="n">
        <v>5.16</v>
      </c>
      <c r="H36" s="59">
        <f>2*Tablo2[[#This Row],[SMYS Psi]]*Tablo2[[#This Row],[Et Kalınlığı ]]/Tablo2[[#This Row],[ÇAP mm]]/14.50377</f>
        <v/>
      </c>
      <c r="I36" s="514" t="n">
        <v>6.35</v>
      </c>
      <c r="J36" s="59">
        <f>2*Tablo2[[#This Row],[SMYS Psi]]*Tablo2[[#This Row],[Et Kalınlığı 2]]/Tablo2[[#This Row],[ÇAP mm]]/14.50377</f>
        <v/>
      </c>
      <c r="K36" s="514" t="n">
        <v>7.92</v>
      </c>
      <c r="L36" s="59">
        <f>2*Tablo2[[#This Row],[SMYS Psi]]*Tablo2[[#This Row],[Et Kalınlığı 3]]/Tablo2[[#This Row],[ÇAP mm]]/14.50377</f>
        <v/>
      </c>
      <c r="M36" s="514" t="n">
        <v>9.529999999999999</v>
      </c>
      <c r="N36" s="52">
        <f>2*Tablo2[[#This Row],[SMYS Psi]]*Tablo2[[#This Row],[Et Kalınlığı 4]]/Tablo2[[#This Row],[ÇAP mm]]/14.50377</f>
        <v/>
      </c>
      <c r="O36" s="514" t="n">
        <v>10.31</v>
      </c>
      <c r="P36" s="59">
        <f>2*Tablo2[[#This Row],[SMYS Psi]]*Tablo2[[#This Row],[Et Kalınlığı 5]]/Tablo2[[#This Row],[ÇAP mm]]/14.50377</f>
        <v/>
      </c>
      <c r="Q36" s="17">
        <f>IF(Tablo2[[#This Row],[ÇAP mm]]*0.005-1.6&lt;0,Tablo2[[#This Row],[ÇAP mm]]*1.005,Tablo2[[#This Row],[ÇAP mm]]+1.6)</f>
        <v/>
      </c>
      <c r="R36" s="3">
        <f>IF(Tablo2[[#This Row],[ÇAP mm]]*0.005-1.6&lt;0,Tablo2[[#This Row],[ÇAP mm]]*0.995,Tablo2[[#This Row],[ÇAP mm]]-1.6)</f>
        <v/>
      </c>
      <c r="S36" s="3">
        <f>IF(Tablo2[[#This Row],[ÇAP mm]]*0.0075-3.2&lt;0,Tablo2[[#This Row],[ÇAP mm]]*1.0075,Tablo2[[#This Row],[ÇAP mm]]+3.2)</f>
        <v/>
      </c>
      <c r="T36" s="19">
        <f>IF(Tablo2[[#This Row],[ÇAP mm]]*0.005-3.2&lt;0,Tablo2[[#This Row],[ÇAP mm]]*0.9925,Tablo2[[#This Row],[ÇAP mm]]-3.2)</f>
        <v/>
      </c>
      <c r="U36" s="173">
        <f>Tablo2[[#This Row],[ÇAP mm]]/Tablo2[[#This Row],[Et Kalınlığı ]]</f>
        <v/>
      </c>
      <c r="V36" s="60">
        <f>Tablo2[[#This Row],[ÇAP mm]]/Tablo2[[#This Row],[Et Kalınlığı 2]]</f>
        <v/>
      </c>
      <c r="W36" s="60">
        <f>Tablo2[[#This Row],[ÇAP mm]]/Tablo2[[#This Row],[Et Kalınlığı 3]]</f>
        <v/>
      </c>
      <c r="X36" s="61">
        <f>Tablo2[[#This Row],[ÇAP mm]]/Tablo2[[#This Row],[Et Kalınlığı 4]]</f>
        <v/>
      </c>
      <c r="Y36" s="174">
        <f>Tablo2[[#This Row],[ÇAP mm]]/Tablo2[[#This Row],[Et Kalınlığı 5]]</f>
        <v/>
      </c>
      <c r="Z36" s="520">
        <f>Tablo2[[#This Row],[ÇAP mm]]*0.015/2</f>
        <v/>
      </c>
      <c r="AA36" s="520">
        <f>Tablo2[[#This Row],[ÇAP mm]]*0.02</f>
        <v/>
      </c>
      <c r="AB36" s="520">
        <f>Tablo2[[#This Row],[ÇAP mm]]*0.015/2</f>
        <v/>
      </c>
      <c r="AC36" s="520">
        <f>Tablo2[[#This Row],[ÇAP mm]]*0.02</f>
        <v/>
      </c>
      <c r="AD36" s="520">
        <f>Tablo2[[#This Row],[ÇAP mm]]*0.015/2</f>
        <v/>
      </c>
      <c r="AE36" s="520">
        <f>Tablo2[[#This Row],[ÇAP mm]]*0.02</f>
        <v/>
      </c>
      <c r="AF36" s="520">
        <f>IF(Tablo2[[#This Row],[ÇAP mm]]/Tablo2[[#This Row],[Et Kalınlığı 4]]&lt;75,Tablo2[[#This Row],[ÇAP mm]]*0.015/2,"Anlaşmaya bağlıdır.")</f>
        <v/>
      </c>
      <c r="AG36" s="64">
        <f>Tablo2[[#This Row],[ÇAP mm]]*0.02</f>
        <v/>
      </c>
      <c r="AH36" s="520">
        <f>IF(Tablo2[[#This Row],[ÇAP mm]]/Tablo2[[#This Row],[Et Kalınlığı 5]]&lt;75,Tablo2[[#This Row],[ÇAP mm]]*0.015/2,"Anlaşmaya bağlıdır.")</f>
        <v/>
      </c>
      <c r="AI36" s="520">
        <f>Tablo2[[#This Row],[ÇAP mm]]*0.02</f>
        <v/>
      </c>
      <c r="AJ36" s="11">
        <f>IF(40*Tablo2[[#This Row],[Et Kalınlığı ]]&lt;485,Tablo2[[#This Row],[Et Kalınlığı ]]*40,485)</f>
        <v/>
      </c>
      <c r="AK36" s="5">
        <f>1940*POWER(ROUND(AJ36,-1),0.2)/POWER(Tablo2[[#This Row],[Tensile Mpa]],0.9)</f>
        <v/>
      </c>
      <c r="AL36" s="5">
        <f>IF(40*Tablo2[[#This Row],[Et Kalınlığı 2]]&lt;485,Tablo2[[#This Row],[Et Kalınlığı ]]*40,485)</f>
        <v/>
      </c>
      <c r="AM36" s="5">
        <f>1940*POWER(ROUND(Tablo1[[#This Row],[Axc mm22]],-1),0.2)/POWER(Tablo2[[#This Row],[Tensile Mpa]],0.9)</f>
        <v/>
      </c>
      <c r="AN36" s="5">
        <f>IF(40*Tablo2[[#This Row],[Et Kalınlığı 3]]&lt;485,Tablo2[[#This Row],[Et Kalınlığı ]]*40,485)</f>
        <v/>
      </c>
      <c r="AO36" s="5">
        <f>1940*POWER(ROUND(Tablo1[[#This Row],[Axc mm23]],-1),0.2)/POWER(Tablo2[[#This Row],[Tensile Mpa]],0.9)</f>
        <v/>
      </c>
      <c r="AP36" s="5">
        <f>IF(40*Tablo2[[#This Row],[Et Kalınlığı 4]]&lt;485,Tablo2[[#This Row],[Et Kalınlığı 4]]*40,485)</f>
        <v/>
      </c>
      <c r="AQ36" s="12">
        <f>1940*POWER(ROUND(Tablo1[[#This Row],[Axc mm24]],-1),0.2)/POWER(Tablo2[[#This Row],[Tensile Mpa]],0.9)</f>
        <v/>
      </c>
      <c r="AR36" s="5">
        <f>IF(40*Tablo2[[#This Row],[Et Kalınlığı 5]]&lt;485,Tablo2[[#This Row],[Et Kalınlığı 4]]*40,485)</f>
        <v/>
      </c>
      <c r="AS36" s="64">
        <f>1940*POWER(ROUND(Tablo1[[#This Row],[Axc mm25]],-1),0.2)/POWER(Tablo2[[#This Row],[Tensile Mpa]],0.9)</f>
        <v/>
      </c>
    </row>
    <row r="37">
      <c r="B37" s="43" t="inlineStr">
        <is>
          <t>18"</t>
        </is>
      </c>
      <c r="C37" s="1100" t="n">
        <v>457</v>
      </c>
      <c r="D37" s="1100" t="inlineStr">
        <is>
          <t>X65</t>
        </is>
      </c>
      <c r="E37" s="44" t="n">
        <v>65300</v>
      </c>
      <c r="F37" s="45" t="n">
        <v>535</v>
      </c>
      <c r="G37" s="49" t="n">
        <v>5.56</v>
      </c>
      <c r="H37" s="59">
        <f>2*Tablo2[[#This Row],[SMYS Psi]]*Tablo2[[#This Row],[Et Kalınlığı ]]/Tablo2[[#This Row],[ÇAP mm]]/14.50377</f>
        <v/>
      </c>
      <c r="I37" s="514" t="n">
        <v>6.35</v>
      </c>
      <c r="J37" s="59">
        <f>2*Tablo2[[#This Row],[SMYS Psi]]*Tablo2[[#This Row],[Et Kalınlığı 2]]/Tablo2[[#This Row],[ÇAP mm]]/14.50377</f>
        <v/>
      </c>
      <c r="K37" s="514" t="n">
        <v>7.92</v>
      </c>
      <c r="L37" s="59">
        <f>2*Tablo2[[#This Row],[SMYS Psi]]*Tablo2[[#This Row],[Et Kalınlığı 3]]/Tablo2[[#This Row],[ÇAP mm]]/14.50377</f>
        <v/>
      </c>
      <c r="M37" s="514" t="n">
        <v>9.529999999999999</v>
      </c>
      <c r="N37" s="52">
        <f>2*Tablo2[[#This Row],[SMYS Psi]]*Tablo2[[#This Row],[Et Kalınlığı 4]]/Tablo2[[#This Row],[ÇAP mm]]/14.50377</f>
        <v/>
      </c>
      <c r="O37" s="514" t="n">
        <v>10.31</v>
      </c>
      <c r="P37" s="59">
        <f>2*Tablo2[[#This Row],[SMYS Psi]]*Tablo2[[#This Row],[Et Kalınlığı 5]]/Tablo2[[#This Row],[ÇAP mm]]/14.50377</f>
        <v/>
      </c>
      <c r="Q37" s="17">
        <f>IF(Tablo2[[#This Row],[ÇAP mm]]*0.005-1.6&lt;0,Tablo2[[#This Row],[ÇAP mm]]*1.005,Tablo2[[#This Row],[ÇAP mm]]+1.6)</f>
        <v/>
      </c>
      <c r="R37" s="3">
        <f>IF(Tablo2[[#This Row],[ÇAP mm]]*0.005-1.6&lt;0,Tablo2[[#This Row],[ÇAP mm]]*0.995,Tablo2[[#This Row],[ÇAP mm]]-1.6)</f>
        <v/>
      </c>
      <c r="S37" s="3">
        <f>IF(Tablo2[[#This Row],[ÇAP mm]]*0.0075-3.2&lt;0,Tablo2[[#This Row],[ÇAP mm]]*1.0075,Tablo2[[#This Row],[ÇAP mm]]+3.2)</f>
        <v/>
      </c>
      <c r="T37" s="19">
        <f>IF(Tablo2[[#This Row],[ÇAP mm]]*0.005-3.2&lt;0,Tablo2[[#This Row],[ÇAP mm]]*0.9925,Tablo2[[#This Row],[ÇAP mm]]-3.2)</f>
        <v/>
      </c>
      <c r="U37" s="173">
        <f>Tablo2[[#This Row],[ÇAP mm]]/Tablo2[[#This Row],[Et Kalınlığı ]]</f>
        <v/>
      </c>
      <c r="V37" s="60">
        <f>Tablo2[[#This Row],[ÇAP mm]]/Tablo2[[#This Row],[Et Kalınlığı 2]]</f>
        <v/>
      </c>
      <c r="W37" s="60">
        <f>Tablo2[[#This Row],[ÇAP mm]]/Tablo2[[#This Row],[Et Kalınlığı 3]]</f>
        <v/>
      </c>
      <c r="X37" s="61">
        <f>Tablo2[[#This Row],[ÇAP mm]]/Tablo2[[#This Row],[Et Kalınlığı 4]]</f>
        <v/>
      </c>
      <c r="Y37" s="174">
        <f>Tablo2[[#This Row],[ÇAP mm]]/Tablo2[[#This Row],[Et Kalınlığı 5]]</f>
        <v/>
      </c>
      <c r="Z37" s="520">
        <f>Tablo2[[#This Row],[ÇAP mm]]*0.015/2</f>
        <v/>
      </c>
      <c r="AA37" s="520">
        <f>Tablo2[[#This Row],[ÇAP mm]]*0.02</f>
        <v/>
      </c>
      <c r="AB37" s="520">
        <f>Tablo2[[#This Row],[ÇAP mm]]*0.015/2</f>
        <v/>
      </c>
      <c r="AC37" s="520">
        <f>Tablo2[[#This Row],[ÇAP mm]]*0.02</f>
        <v/>
      </c>
      <c r="AD37" s="520">
        <f>Tablo2[[#This Row],[ÇAP mm]]*0.015/2</f>
        <v/>
      </c>
      <c r="AE37" s="520">
        <f>Tablo2[[#This Row],[ÇAP mm]]*0.02</f>
        <v/>
      </c>
      <c r="AF37" s="520">
        <f>IF(Tablo2[[#This Row],[ÇAP mm]]/Tablo2[[#This Row],[Et Kalınlığı 4]]&lt;75,Tablo2[[#This Row],[ÇAP mm]]*0.015/2,"Anlaşmaya bağlıdır.")</f>
        <v/>
      </c>
      <c r="AG37" s="64">
        <f>Tablo2[[#This Row],[ÇAP mm]]*0.02</f>
        <v/>
      </c>
      <c r="AH37" s="520">
        <f>IF(Tablo2[[#This Row],[ÇAP mm]]/Tablo2[[#This Row],[Et Kalınlığı 5]]&lt;75,Tablo2[[#This Row],[ÇAP mm]]*0.015/2,"Anlaşmaya bağlıdır.")</f>
        <v/>
      </c>
      <c r="AI37" s="520">
        <f>Tablo2[[#This Row],[ÇAP mm]]*0.02</f>
        <v/>
      </c>
      <c r="AJ37" s="11">
        <f>IF(40*Tablo2[[#This Row],[Et Kalınlığı ]]&lt;485,Tablo2[[#This Row],[Et Kalınlığı ]]*40,485)</f>
        <v/>
      </c>
      <c r="AK37" s="5">
        <f>1940*POWER(ROUND(AJ37,-1),0.2)/POWER(Tablo2[[#This Row],[Tensile Mpa]],0.9)</f>
        <v/>
      </c>
      <c r="AL37" s="5">
        <f>IF(40*Tablo2[[#This Row],[Et Kalınlığı 2]]&lt;485,Tablo2[[#This Row],[Et Kalınlığı ]]*40,485)</f>
        <v/>
      </c>
      <c r="AM37" s="5">
        <f>1940*POWER(ROUND(Tablo1[[#This Row],[Axc mm22]],-1),0.2)/POWER(Tablo2[[#This Row],[Tensile Mpa]],0.9)</f>
        <v/>
      </c>
      <c r="AN37" s="5">
        <f>IF(40*Tablo2[[#This Row],[Et Kalınlığı 3]]&lt;485,Tablo2[[#This Row],[Et Kalınlığı ]]*40,485)</f>
        <v/>
      </c>
      <c r="AO37" s="5">
        <f>1940*POWER(ROUND(Tablo1[[#This Row],[Axc mm23]],-1),0.2)/POWER(Tablo2[[#This Row],[Tensile Mpa]],0.9)</f>
        <v/>
      </c>
      <c r="AP37" s="5">
        <f>IF(40*Tablo2[[#This Row],[Et Kalınlığı 4]]&lt;485,Tablo2[[#This Row],[Et Kalınlığı 4]]*40,485)</f>
        <v/>
      </c>
      <c r="AQ37" s="12">
        <f>1940*POWER(ROUND(Tablo1[[#This Row],[Axc mm24]],-1),0.2)/POWER(Tablo2[[#This Row],[Tensile Mpa]],0.9)</f>
        <v/>
      </c>
      <c r="AR37" s="5">
        <f>IF(40*Tablo2[[#This Row],[Et Kalınlığı 5]]&lt;485,Tablo2[[#This Row],[Et Kalınlığı 4]]*40,485)</f>
        <v/>
      </c>
      <c r="AS37" s="64">
        <f>1940*POWER(ROUND(Tablo1[[#This Row],[Axc mm25]],-1),0.2)/POWER(Tablo2[[#This Row],[Tensile Mpa]],0.9)</f>
        <v/>
      </c>
    </row>
    <row r="38">
      <c r="B38" s="43" t="inlineStr">
        <is>
          <t>20"</t>
        </is>
      </c>
      <c r="C38" s="1100" t="n">
        <v>508</v>
      </c>
      <c r="D38" s="1100" t="inlineStr">
        <is>
          <t>X65</t>
        </is>
      </c>
      <c r="E38" s="44" t="n">
        <v>65300</v>
      </c>
      <c r="F38" s="45" t="n">
        <v>535</v>
      </c>
      <c r="G38" s="49" t="n">
        <v>6.35</v>
      </c>
      <c r="H38" s="59">
        <f>2*Tablo2[[#This Row],[SMYS Psi]]*Tablo2[[#This Row],[Et Kalınlığı ]]/Tablo2[[#This Row],[ÇAP mm]]/14.50377</f>
        <v/>
      </c>
      <c r="I38" s="514" t="n">
        <v>7.14</v>
      </c>
      <c r="J38" s="59">
        <f>2*Tablo2[[#This Row],[SMYS Psi]]*Tablo2[[#This Row],[Et Kalınlığı 2]]/Tablo2[[#This Row],[ÇAP mm]]/14.50377</f>
        <v/>
      </c>
      <c r="K38" s="514" t="n">
        <v>8.74</v>
      </c>
      <c r="L38" s="59">
        <f>2*Tablo2[[#This Row],[SMYS Psi]]*Tablo2[[#This Row],[Et Kalınlığı 3]]/Tablo2[[#This Row],[ÇAP mm]]/14.50377</f>
        <v/>
      </c>
      <c r="M38" s="514" t="n">
        <v>10.31</v>
      </c>
      <c r="N38" s="52">
        <f>2*Tablo2[[#This Row],[SMYS Psi]]*Tablo2[[#This Row],[Et Kalınlığı 4]]/Tablo2[[#This Row],[ÇAP mm]]/14.50377</f>
        <v/>
      </c>
      <c r="O38" s="514" t="n">
        <v>11.13</v>
      </c>
      <c r="P38" s="59">
        <f>2*Tablo2[[#This Row],[SMYS Psi]]*Tablo2[[#This Row],[Et Kalınlığı 5]]/Tablo2[[#This Row],[ÇAP mm]]/14.50377</f>
        <v/>
      </c>
      <c r="Q38" s="17">
        <f>IF(Tablo2[[#This Row],[ÇAP mm]]*0.005-1.6&lt;0,Tablo2[[#This Row],[ÇAP mm]]*1.005,Tablo2[[#This Row],[ÇAP mm]]+1.6)</f>
        <v/>
      </c>
      <c r="R38" s="3">
        <f>IF(Tablo2[[#This Row],[ÇAP mm]]*0.005-1.6&lt;0,Tablo2[[#This Row],[ÇAP mm]]*0.995,Tablo2[[#This Row],[ÇAP mm]]-1.6)</f>
        <v/>
      </c>
      <c r="S38" s="3">
        <f>IF(Tablo2[[#This Row],[ÇAP mm]]*0.0075-3.2&lt;0,Tablo2[[#This Row],[ÇAP mm]]*1.0075,Tablo2[[#This Row],[ÇAP mm]]+3.2)</f>
        <v/>
      </c>
      <c r="T38" s="19">
        <f>IF(Tablo2[[#This Row],[ÇAP mm]]*0.005-3.2&lt;0,Tablo2[[#This Row],[ÇAP mm]]*0.9925,Tablo2[[#This Row],[ÇAP mm]]-3.2)</f>
        <v/>
      </c>
      <c r="U38" s="173">
        <f>Tablo2[[#This Row],[ÇAP mm]]/Tablo2[[#This Row],[Et Kalınlığı ]]</f>
        <v/>
      </c>
      <c r="V38" s="60">
        <f>Tablo2[[#This Row],[ÇAP mm]]/Tablo2[[#This Row],[Et Kalınlığı 2]]</f>
        <v/>
      </c>
      <c r="W38" s="60">
        <f>Tablo2[[#This Row],[ÇAP mm]]/Tablo2[[#This Row],[Et Kalınlığı 3]]</f>
        <v/>
      </c>
      <c r="X38" s="61">
        <f>Tablo2[[#This Row],[ÇAP mm]]/Tablo2[[#This Row],[Et Kalınlığı 4]]</f>
        <v/>
      </c>
      <c r="Y38" s="174">
        <f>Tablo2[[#This Row],[ÇAP mm]]/Tablo2[[#This Row],[Et Kalınlığı 5]]</f>
        <v/>
      </c>
      <c r="Z38" s="520">
        <f>Tablo2[[#This Row],[ÇAP mm]]*0.015/2</f>
        <v/>
      </c>
      <c r="AA38" s="520">
        <f>Tablo2[[#This Row],[ÇAP mm]]*0.02</f>
        <v/>
      </c>
      <c r="AB38" s="520">
        <f>Tablo2[[#This Row],[ÇAP mm]]*0.015/2</f>
        <v/>
      </c>
      <c r="AC38" s="520">
        <f>Tablo2[[#This Row],[ÇAP mm]]*0.02</f>
        <v/>
      </c>
      <c r="AD38" s="520">
        <f>Tablo2[[#This Row],[ÇAP mm]]*0.015/2</f>
        <v/>
      </c>
      <c r="AE38" s="520">
        <f>Tablo2[[#This Row],[ÇAP mm]]*0.02</f>
        <v/>
      </c>
      <c r="AF38" s="520">
        <f>IF(Tablo2[[#This Row],[ÇAP mm]]/Tablo2[[#This Row],[Et Kalınlığı 4]]&lt;75,Tablo2[[#This Row],[ÇAP mm]]*0.015/2,"Anlaşmaya bağlıdır.")</f>
        <v/>
      </c>
      <c r="AG38" s="64">
        <f>Tablo2[[#This Row],[ÇAP mm]]*0.02</f>
        <v/>
      </c>
      <c r="AH38" s="520">
        <f>IF(Tablo2[[#This Row],[ÇAP mm]]/Tablo2[[#This Row],[Et Kalınlığı 5]]&lt;75,Tablo2[[#This Row],[ÇAP mm]]*0.015/2,"Anlaşmaya bağlıdır.")</f>
        <v/>
      </c>
      <c r="AI38" s="520">
        <f>Tablo2[[#This Row],[ÇAP mm]]*0.02</f>
        <v/>
      </c>
      <c r="AJ38" s="11">
        <f>IF(40*Tablo2[[#This Row],[Et Kalınlığı ]]&lt;485,Tablo2[[#This Row],[Et Kalınlığı ]]*40,485)</f>
        <v/>
      </c>
      <c r="AK38" s="5">
        <f>1940*POWER(ROUND(AJ38,-1),0.2)/POWER(Tablo2[[#This Row],[Tensile Mpa]],0.9)</f>
        <v/>
      </c>
      <c r="AL38" s="5">
        <f>IF(40*Tablo2[[#This Row],[Et Kalınlığı 2]]&lt;485,Tablo2[[#This Row],[Et Kalınlığı ]]*40,485)</f>
        <v/>
      </c>
      <c r="AM38" s="5">
        <f>1940*POWER(ROUND(Tablo1[[#This Row],[Axc mm22]],-1),0.2)/POWER(Tablo2[[#This Row],[Tensile Mpa]],0.9)</f>
        <v/>
      </c>
      <c r="AN38" s="5">
        <f>IF(40*Tablo2[[#This Row],[Et Kalınlığı 3]]&lt;485,Tablo2[[#This Row],[Et Kalınlığı ]]*40,485)</f>
        <v/>
      </c>
      <c r="AO38" s="5">
        <f>1940*POWER(ROUND(Tablo1[[#This Row],[Axc mm23]],-1),0.2)/POWER(Tablo2[[#This Row],[Tensile Mpa]],0.9)</f>
        <v/>
      </c>
      <c r="AP38" s="5">
        <f>IF(40*Tablo2[[#This Row],[Et Kalınlığı 4]]&lt;485,Tablo2[[#This Row],[Et Kalınlığı 4]]*40,485)</f>
        <v/>
      </c>
      <c r="AQ38" s="12">
        <f>1940*POWER(ROUND(Tablo1[[#This Row],[Axc mm24]],-1),0.2)/POWER(Tablo2[[#This Row],[Tensile Mpa]],0.9)</f>
        <v/>
      </c>
      <c r="AR38" s="5">
        <f>IF(40*Tablo2[[#This Row],[Et Kalınlığı 5]]&lt;485,Tablo2[[#This Row],[Et Kalınlığı 4]]*40,485)</f>
        <v/>
      </c>
      <c r="AS38" s="64">
        <f>1940*POWER(ROUND(Tablo1[[#This Row],[Axc mm25]],-1),0.2)/POWER(Tablo2[[#This Row],[Tensile Mpa]],0.9)</f>
        <v/>
      </c>
    </row>
    <row r="39">
      <c r="B39" s="43" t="inlineStr">
        <is>
          <t>22"</t>
        </is>
      </c>
      <c r="C39" s="1100" t="n">
        <v>559</v>
      </c>
      <c r="D39" s="1100" t="inlineStr">
        <is>
          <t>X65</t>
        </is>
      </c>
      <c r="E39" s="44" t="n">
        <v>65300</v>
      </c>
      <c r="F39" s="45" t="n">
        <v>535</v>
      </c>
      <c r="G39" s="49" t="n">
        <v>7.14</v>
      </c>
      <c r="H39" s="59">
        <f>2*Tablo2[[#This Row],[SMYS Psi]]*Tablo2[[#This Row],[Et Kalınlığı ]]/Tablo2[[#This Row],[ÇAP mm]]/14.50377</f>
        <v/>
      </c>
      <c r="I39" s="514" t="n">
        <v>7.92</v>
      </c>
      <c r="J39" s="59">
        <f>2*Tablo2[[#This Row],[SMYS Psi]]*Tablo2[[#This Row],[Et Kalınlığı 2]]/Tablo2[[#This Row],[ÇAP mm]]/14.50377</f>
        <v/>
      </c>
      <c r="K39" s="514" t="n">
        <v>9.529999999999999</v>
      </c>
      <c r="L39" s="59">
        <f>2*Tablo2[[#This Row],[SMYS Psi]]*Tablo2[[#This Row],[Et Kalınlığı 3]]/Tablo2[[#This Row],[ÇAP mm]]/14.50377</f>
        <v/>
      </c>
      <c r="M39" s="514" t="n">
        <v>11.13</v>
      </c>
      <c r="N39" s="52">
        <f>2*Tablo2[[#This Row],[SMYS Psi]]*Tablo2[[#This Row],[Et Kalınlığı 4]]/Tablo2[[#This Row],[ÇAP mm]]/14.50377</f>
        <v/>
      </c>
      <c r="O39" s="514" t="n">
        <v>11.97</v>
      </c>
      <c r="P39" s="59">
        <f>2*Tablo2[[#This Row],[SMYS Psi]]*Tablo2[[#This Row],[Et Kalınlığı 5]]/Tablo2[[#This Row],[ÇAP mm]]/14.50377</f>
        <v/>
      </c>
      <c r="Q39" s="17">
        <f>IF(Tablo2[[#This Row],[ÇAP mm]]*0.005-1.6&lt;0,Tablo2[[#This Row],[ÇAP mm]]*1.005,Tablo2[[#This Row],[ÇAP mm]]+1.6)</f>
        <v/>
      </c>
      <c r="R39" s="3">
        <f>IF(Tablo2[[#This Row],[ÇAP mm]]*0.005-1.6&lt;0,Tablo2[[#This Row],[ÇAP mm]]*0.995,Tablo2[[#This Row],[ÇAP mm]]-1.6)</f>
        <v/>
      </c>
      <c r="S39" s="3">
        <f>IF(Tablo2[[#This Row],[ÇAP mm]]*0.0075-3.2&lt;0,Tablo2[[#This Row],[ÇAP mm]]*1.0075,Tablo2[[#This Row],[ÇAP mm]]+3.2)</f>
        <v/>
      </c>
      <c r="T39" s="19">
        <f>IF(Tablo2[[#This Row],[ÇAP mm]]*0.005-3.2&lt;0,Tablo2[[#This Row],[ÇAP mm]]*0.9925,Tablo2[[#This Row],[ÇAP mm]]-3.2)</f>
        <v/>
      </c>
      <c r="U39" s="173">
        <f>Tablo2[[#This Row],[ÇAP mm]]/Tablo2[[#This Row],[Et Kalınlığı ]]</f>
        <v/>
      </c>
      <c r="V39" s="60">
        <f>Tablo2[[#This Row],[ÇAP mm]]/Tablo2[[#This Row],[Et Kalınlığı 2]]</f>
        <v/>
      </c>
      <c r="W39" s="60">
        <f>Tablo2[[#This Row],[ÇAP mm]]/Tablo2[[#This Row],[Et Kalınlığı 3]]</f>
        <v/>
      </c>
      <c r="X39" s="61">
        <f>Tablo2[[#This Row],[ÇAP mm]]/Tablo2[[#This Row],[Et Kalınlığı 4]]</f>
        <v/>
      </c>
      <c r="Y39" s="174">
        <f>Tablo2[[#This Row],[ÇAP mm]]/Tablo2[[#This Row],[Et Kalınlığı 5]]</f>
        <v/>
      </c>
      <c r="Z39" s="520">
        <f>Tablo2[[#This Row],[ÇAP mm]]*0.015/2</f>
        <v/>
      </c>
      <c r="AA39" s="520">
        <f>Tablo2[[#This Row],[ÇAP mm]]*0.02</f>
        <v/>
      </c>
      <c r="AB39" s="520">
        <f>Tablo2[[#This Row],[ÇAP mm]]*0.015/2</f>
        <v/>
      </c>
      <c r="AC39" s="520">
        <f>Tablo2[[#This Row],[ÇAP mm]]*0.02</f>
        <v/>
      </c>
      <c r="AD39" s="520">
        <f>Tablo2[[#This Row],[ÇAP mm]]*0.015/2</f>
        <v/>
      </c>
      <c r="AE39" s="520">
        <f>Tablo2[[#This Row],[ÇAP mm]]*0.02</f>
        <v/>
      </c>
      <c r="AF39" s="520">
        <f>IF(Tablo2[[#This Row],[ÇAP mm]]/Tablo2[[#This Row],[Et Kalınlığı 4]]&lt;75,Tablo2[[#This Row],[ÇAP mm]]*0.015/2,"Anlaşmaya bağlıdır.")</f>
        <v/>
      </c>
      <c r="AG39" s="64">
        <f>Tablo2[[#This Row],[ÇAP mm]]*0.02</f>
        <v/>
      </c>
      <c r="AH39" s="520">
        <f>IF(Tablo2[[#This Row],[ÇAP mm]]/Tablo2[[#This Row],[Et Kalınlığı 5]]&lt;75,Tablo2[[#This Row],[ÇAP mm]]*0.015/2,"Anlaşmaya bağlıdır.")</f>
        <v/>
      </c>
      <c r="AI39" s="520">
        <f>Tablo2[[#This Row],[ÇAP mm]]*0.02</f>
        <v/>
      </c>
      <c r="AJ39" s="11">
        <f>IF(40*Tablo2[[#This Row],[Et Kalınlığı ]]&lt;485,Tablo2[[#This Row],[Et Kalınlığı ]]*40,485)</f>
        <v/>
      </c>
      <c r="AK39" s="5">
        <f>1940*POWER(ROUND(AJ39,-1),0.2)/POWER(Tablo2[[#This Row],[Tensile Mpa]],0.9)</f>
        <v/>
      </c>
      <c r="AL39" s="5">
        <f>IF(40*Tablo2[[#This Row],[Et Kalınlığı 2]]&lt;485,Tablo2[[#This Row],[Et Kalınlığı ]]*40,485)</f>
        <v/>
      </c>
      <c r="AM39" s="5">
        <f>1940*POWER(ROUND(Tablo1[[#This Row],[Axc mm22]],-1),0.2)/POWER(Tablo2[[#This Row],[Tensile Mpa]],0.9)</f>
        <v/>
      </c>
      <c r="AN39" s="5">
        <f>IF(40*Tablo2[[#This Row],[Et Kalınlığı 3]]&lt;485,Tablo2[[#This Row],[Et Kalınlığı ]]*40,485)</f>
        <v/>
      </c>
      <c r="AO39" s="5">
        <f>1940*POWER(ROUND(Tablo1[[#This Row],[Axc mm23]],-1),0.2)/POWER(Tablo2[[#This Row],[Tensile Mpa]],0.9)</f>
        <v/>
      </c>
      <c r="AP39" s="5">
        <f>IF(40*Tablo2[[#This Row],[Et Kalınlığı 4]]&lt;485,Tablo2[[#This Row],[Et Kalınlığı 4]]*40,485)</f>
        <v/>
      </c>
      <c r="AQ39" s="12">
        <f>1940*POWER(ROUND(Tablo1[[#This Row],[Axc mm24]],-1),0.2)/POWER(Tablo2[[#This Row],[Tensile Mpa]],0.9)</f>
        <v/>
      </c>
      <c r="AR39" s="5">
        <f>IF(40*Tablo2[[#This Row],[Et Kalınlığı 5]]&lt;485,Tablo2[[#This Row],[Et Kalınlığı 4]]*40,485)</f>
        <v/>
      </c>
      <c r="AS39" s="64">
        <f>1940*POWER(ROUND(Tablo1[[#This Row],[Axc mm25]],-1),0.2)/POWER(Tablo2[[#This Row],[Tensile Mpa]],0.9)</f>
        <v/>
      </c>
    </row>
    <row r="40">
      <c r="B40" s="43" t="inlineStr">
        <is>
          <t>24"</t>
        </is>
      </c>
      <c r="C40" s="1100" t="n">
        <v>610</v>
      </c>
      <c r="D40" s="1100" t="inlineStr">
        <is>
          <t>X65</t>
        </is>
      </c>
      <c r="E40" s="44" t="n">
        <v>65300</v>
      </c>
      <c r="F40" s="45" t="n">
        <v>535</v>
      </c>
      <c r="G40" s="49" t="n">
        <v>7.14</v>
      </c>
      <c r="H40" s="59">
        <f>2*Tablo2[[#This Row],[SMYS Psi]]*Tablo2[[#This Row],[Et Kalınlığı ]]/Tablo2[[#This Row],[ÇAP mm]]/14.50377</f>
        <v/>
      </c>
      <c r="I40" s="514" t="n">
        <v>8.74</v>
      </c>
      <c r="J40" s="59">
        <f>2*Tablo2[[#This Row],[SMYS Psi]]*Tablo2[[#This Row],[Et Kalınlığı 2]]/Tablo2[[#This Row],[ÇAP mm]]/14.50377</f>
        <v/>
      </c>
      <c r="K40" s="514" t="n">
        <v>10.31</v>
      </c>
      <c r="L40" s="59">
        <f>2*Tablo2[[#This Row],[SMYS Psi]]*Tablo2[[#This Row],[Et Kalınlığı 3]]/Tablo2[[#This Row],[ÇAP mm]]/14.50377</f>
        <v/>
      </c>
      <c r="M40" s="514" t="n">
        <v>11.97</v>
      </c>
      <c r="N40" s="52">
        <f>2*Tablo2[[#This Row],[SMYS Psi]]*Tablo2[[#This Row],[Et Kalınlığı 4]]/Tablo2[[#This Row],[ÇAP mm]]/14.50377</f>
        <v/>
      </c>
      <c r="O40" s="514" t="n">
        <v>12.7</v>
      </c>
      <c r="P40" s="59">
        <f>2*Tablo2[[#This Row],[SMYS Psi]]*Tablo2[[#This Row],[Et Kalınlığı 5]]/Tablo2[[#This Row],[ÇAP mm]]/14.50377</f>
        <v/>
      </c>
      <c r="Q40" s="17">
        <f>IF(Tablo2[[#This Row],[ÇAP mm]]*0.005-1.6&lt;0,Tablo2[[#This Row],[ÇAP mm]]*1.005,Tablo2[[#This Row],[ÇAP mm]]+1.6)</f>
        <v/>
      </c>
      <c r="R40" s="3">
        <f>IF(Tablo2[[#This Row],[ÇAP mm]]*0.005-1.6&lt;0,Tablo2[[#This Row],[ÇAP mm]]*0.995,Tablo2[[#This Row],[ÇAP mm]]-1.6)</f>
        <v/>
      </c>
      <c r="S40" s="3">
        <f>IF(Tablo2[[#This Row],[ÇAP mm]]*0.0075-3.2&lt;0,Tablo2[[#This Row],[ÇAP mm]]*1.0075,Tablo2[[#This Row],[ÇAP mm]]+3.2)</f>
        <v/>
      </c>
      <c r="T40" s="19">
        <f>IF(Tablo2[[#This Row],[ÇAP mm]]*0.005-3.2&lt;0,Tablo2[[#This Row],[ÇAP mm]]*0.9925,Tablo2[[#This Row],[ÇAP mm]]-3.2)</f>
        <v/>
      </c>
      <c r="U40" s="173">
        <f>Tablo2[[#This Row],[ÇAP mm]]/Tablo2[[#This Row],[Et Kalınlığı ]]</f>
        <v/>
      </c>
      <c r="V40" s="60">
        <f>Tablo2[[#This Row],[ÇAP mm]]/Tablo2[[#This Row],[Et Kalınlığı 2]]</f>
        <v/>
      </c>
      <c r="W40" s="60">
        <f>Tablo2[[#This Row],[ÇAP mm]]/Tablo2[[#This Row],[Et Kalınlığı 3]]</f>
        <v/>
      </c>
      <c r="X40" s="61">
        <f>Tablo2[[#This Row],[ÇAP mm]]/Tablo2[[#This Row],[Et Kalınlığı 4]]</f>
        <v/>
      </c>
      <c r="Y40" s="174">
        <f>Tablo2[[#This Row],[ÇAP mm]]/Tablo2[[#This Row],[Et Kalınlığı 5]]</f>
        <v/>
      </c>
      <c r="Z40" s="520">
        <f>Tablo2[[#This Row],[ÇAP mm]]*0.015/2</f>
        <v/>
      </c>
      <c r="AA40" s="520">
        <f>Tablo2[[#This Row],[ÇAP mm]]*0.02</f>
        <v/>
      </c>
      <c r="AB40" s="520">
        <f>Tablo2[[#This Row],[ÇAP mm]]*0.015/2</f>
        <v/>
      </c>
      <c r="AC40" s="520">
        <f>Tablo2[[#This Row],[ÇAP mm]]*0.02</f>
        <v/>
      </c>
      <c r="AD40" s="520">
        <f>Tablo2[[#This Row],[ÇAP mm]]*0.015/2</f>
        <v/>
      </c>
      <c r="AE40" s="520">
        <f>Tablo2[[#This Row],[ÇAP mm]]*0.02</f>
        <v/>
      </c>
      <c r="AF40" s="520">
        <f>IF(Tablo2[[#This Row],[ÇAP mm]]/Tablo2[[#This Row],[Et Kalınlığı 4]]&lt;75,Tablo2[[#This Row],[ÇAP mm]]*0.015/2,"Anlaşmaya bağlıdır.")</f>
        <v/>
      </c>
      <c r="AG40" s="64">
        <f>Tablo2[[#This Row],[ÇAP mm]]*0.02</f>
        <v/>
      </c>
      <c r="AH40" s="520">
        <f>IF(Tablo2[[#This Row],[ÇAP mm]]/Tablo2[[#This Row],[Et Kalınlığı 4]]&lt;75,Tablo2[[#This Row],[ÇAP mm]]*0.015/2,"Anlaşmaya bağlıdır.")</f>
        <v/>
      </c>
      <c r="AI40" s="520">
        <f>Tablo2[[#This Row],[ÇAP mm]]*0.02</f>
        <v/>
      </c>
      <c r="AJ40" s="11">
        <f>IF(40*Tablo2[[#This Row],[Et Kalınlığı ]]&lt;485,Tablo2[[#This Row],[Et Kalınlığı ]]*40,485)</f>
        <v/>
      </c>
      <c r="AK40" s="5">
        <f>1940*POWER(ROUND(AJ40,-1),0.2)/POWER(Tablo2[[#This Row],[Tensile Mpa]],0.9)</f>
        <v/>
      </c>
      <c r="AL40" s="5">
        <f>IF(40*Tablo2[[#This Row],[Et Kalınlığı 2]]&lt;485,Tablo2[[#This Row],[Et Kalınlığı ]]*40,485)</f>
        <v/>
      </c>
      <c r="AM40" s="5">
        <f>1940*POWER(ROUND(Tablo1[[#This Row],[Axc mm22]],-1),0.2)/POWER(Tablo2[[#This Row],[Tensile Mpa]],0.9)</f>
        <v/>
      </c>
      <c r="AN40" s="5">
        <f>IF(40*Tablo2[[#This Row],[Et Kalınlığı 3]]&lt;485,Tablo2[[#This Row],[Et Kalınlığı ]]*40,485)</f>
        <v/>
      </c>
      <c r="AO40" s="5">
        <f>1940*POWER(ROUND(Tablo1[[#This Row],[Axc mm23]],-1),0.2)/POWER(Tablo2[[#This Row],[Tensile Mpa]],0.9)</f>
        <v/>
      </c>
      <c r="AP40" s="5">
        <f>IF(40*Tablo2[[#This Row],[Et Kalınlığı 4]]&lt;485,Tablo2[[#This Row],[Et Kalınlığı 4]]*40,485)</f>
        <v/>
      </c>
      <c r="AQ40" s="12">
        <f>1940*POWER(ROUND(Tablo1[[#This Row],[Axc mm24]],-1),0.2)/POWER(Tablo2[[#This Row],[Tensile Mpa]],0.9)</f>
        <v/>
      </c>
      <c r="AR40" s="5">
        <f>IF(40*Tablo2[[#This Row],[Et Kalınlığı 5]]&lt;485,Tablo2[[#This Row],[Et Kalınlığı 4]]*40,485)</f>
        <v/>
      </c>
      <c r="AS40" s="64">
        <f>1940*POWER(ROUND(Tablo1[[#This Row],[Axc mm25]],-1),0.2)/POWER(Tablo2[[#This Row],[Tensile Mpa]],0.9)</f>
        <v/>
      </c>
    </row>
    <row r="41">
      <c r="B41" s="43" t="inlineStr">
        <is>
          <t>30"</t>
        </is>
      </c>
      <c r="C41" s="1100" t="n">
        <v>762</v>
      </c>
      <c r="D41" s="1100" t="inlineStr">
        <is>
          <t>X65</t>
        </is>
      </c>
      <c r="E41" s="44" t="n">
        <v>65300</v>
      </c>
      <c r="F41" s="45" t="n">
        <v>535</v>
      </c>
      <c r="G41" s="49" t="n">
        <v>9.529999999999999</v>
      </c>
      <c r="H41" s="59">
        <f>2*Tablo2[[#This Row],[SMYS Psi]]*Tablo2[[#This Row],[Et Kalınlığı ]]/Tablo2[[#This Row],[ÇAP mm]]/14.50377</f>
        <v/>
      </c>
      <c r="I41" s="514" t="n">
        <v>11.13</v>
      </c>
      <c r="J41" s="59">
        <f>2*Tablo2[[#This Row],[SMYS Psi]]*Tablo2[[#This Row],[Et Kalınlığı 2]]/Tablo2[[#This Row],[ÇAP mm]]/14.50377</f>
        <v/>
      </c>
      <c r="K41" s="514" t="n">
        <v>12.7</v>
      </c>
      <c r="L41" s="59">
        <f>2*Tablo2[[#This Row],[SMYS Psi]]*Tablo2[[#This Row],[Et Kalınlığı 3]]/Tablo2[[#This Row],[ÇAP mm]]/14.50377</f>
        <v/>
      </c>
      <c r="M41" s="514" t="n">
        <v>14.27</v>
      </c>
      <c r="N41" s="52">
        <f>2*Tablo2[[#This Row],[SMYS Psi]]*Tablo2[[#This Row],[Et Kalınlığı 4]]/Tablo2[[#This Row],[ÇAP mm]]/14.50377</f>
        <v/>
      </c>
      <c r="O41" s="514" t="n">
        <v>15.88</v>
      </c>
      <c r="P41" s="59">
        <f>2*Tablo2[[#This Row],[SMYS Psi]]*Tablo2[[#This Row],[Et Kalınlığı 5]]/Tablo2[[#This Row],[ÇAP mm]]/14.50377</f>
        <v/>
      </c>
      <c r="Q41" s="17">
        <f>Tablo2[[#This Row],[ÇAP mm]]+1.6</f>
        <v/>
      </c>
      <c r="R41" s="3">
        <f>Tablo2[[#This Row],[ÇAP mm]]-1.6</f>
        <v/>
      </c>
      <c r="S41" s="3">
        <f>IF(Tablo2[[#This Row],[ÇAP mm]]*0.005-4&lt;0,Tablo2[[#This Row],[ÇAP mm]]*1.005,Tablo2[[#This Row],[ÇAP mm]]+4)</f>
        <v/>
      </c>
      <c r="T41" s="19">
        <f>IF(Tablo2[[#This Row],[ÇAP mm]]*0.005-4&lt;0,Tablo2[[#This Row],[ÇAP mm]]*0.995,Tablo2[[#This Row],[ÇAP mm]]+4)</f>
        <v/>
      </c>
      <c r="U41" s="173">
        <f>Tablo2[[#This Row],[ÇAP mm]]/Tablo2[[#This Row],[Et Kalınlığı ]]</f>
        <v/>
      </c>
      <c r="V41" s="60">
        <f>Tablo2[[#This Row],[ÇAP mm]]/Tablo2[[#This Row],[Et Kalınlığı 2]]</f>
        <v/>
      </c>
      <c r="W41" s="60">
        <f>Tablo2[[#This Row],[ÇAP mm]]/Tablo2[[#This Row],[Et Kalınlığı 3]]</f>
        <v/>
      </c>
      <c r="X41" s="61">
        <f>Tablo2[[#This Row],[ÇAP mm]]/Tablo2[[#This Row],[Et Kalınlığı 4]]</f>
        <v/>
      </c>
      <c r="Y41" s="174">
        <f>Tablo2[[#This Row],[ÇAP mm]]/Tablo2[[#This Row],[Et Kalınlığı 5]]</f>
        <v/>
      </c>
      <c r="Z41">
        <f>IF(Tablo2[[#This Row],[ÇAP mm]]/Tablo2[[#This Row],[Et Kalınlığı ]]&lt;75,Tablo2[[#This Row],[ÇAP mm]]*0.01/2,"Anlaşmaya bağlıdır.")</f>
        <v/>
      </c>
      <c r="AA41">
        <f>IF(Tablo2[[#This Row],[ÇAP mm]]/Tablo2[[#This Row],[Et Kalınlığı ]]&lt;75,Tablo2[[#This Row],[ÇAP mm]]*0.015,"Anlaşmaya bağlıdır.")</f>
        <v/>
      </c>
      <c r="AB41" s="520">
        <f>IF(Tablo2[[#This Row],[ÇAP mm]]/Tablo2[[#This Row],[Et Kalınlığı 2]]&lt;75,Tablo2[[#This Row],[ÇAP mm]]*0.01/2,"Anlaşmaya bağlıdır.")</f>
        <v/>
      </c>
      <c r="AC41" s="520">
        <f>IF(Tablo2[[#This Row],[ÇAP mm]]/Tablo2[[#This Row],[Et Kalınlığı 2]]&lt;75,Tablo2[[#This Row],[ÇAP mm]]*0.015,"Anlaşmaya bağlıdır.")</f>
        <v/>
      </c>
      <c r="AD41" s="520">
        <f>IF(Tablo2[[#This Row],[ÇAP mm]]/Tablo2[[#This Row],[Et Kalınlığı 3]]&lt;75,Tablo2[[#This Row],[ÇAP mm]]*0.01/2,"Anlaşmaya bağlıdır.")</f>
        <v/>
      </c>
      <c r="AE41" s="520">
        <f>IF(Tablo2[[#This Row],[ÇAP mm]]/Tablo2[[#This Row],[Et Kalınlığı 3]]&lt;75,Tablo2[[#This Row],[ÇAP mm]]*0.015,"Anlaşmaya bağlıdır.")</f>
        <v/>
      </c>
      <c r="AF41" s="520">
        <f>IF(Tablo2[[#This Row],[ÇAP mm]]/Tablo2[[#This Row],[Et Kalınlığı 4]]&lt;75,Tablo2[[#This Row],[ÇAP mm]]*0.015/2,"Anlaşmaya bağlıdır.")</f>
        <v/>
      </c>
      <c r="AG41" s="64">
        <f>IF(Tablo2[[#This Row],[ÇAP mm]]/Tablo2[[#This Row],[Et Kalınlığı 4]]&lt;75,Tablo2[[#This Row],[ÇAP mm]]*0.015,"Anlaşmaya bağlıdır.")</f>
        <v/>
      </c>
      <c r="AH41" s="520">
        <f>IF(Tablo2[[#This Row],[ÇAP mm]]/Tablo2[[#This Row],[Et Kalınlığı 4]]&lt;75,Tablo2[[#This Row],[ÇAP mm]]*0.015/2,"Anlaşmaya bağlıdır.")</f>
        <v/>
      </c>
      <c r="AI41" s="520">
        <f>IF(Tablo2[[#This Row],[ÇAP mm]]/Tablo2[[#This Row],[Et Kalınlığı 5]]&lt;75,Tablo2[[#This Row],[ÇAP mm]]*0.015,"Anlaşmaya bağlıdır.")</f>
        <v/>
      </c>
      <c r="AJ41" s="11">
        <f>IF(40*Tablo2[[#This Row],[Et Kalınlığı ]]&lt;485,Tablo2[[#This Row],[Et Kalınlığı ]]*40,485)</f>
        <v/>
      </c>
      <c r="AK41" s="5">
        <f>1940*POWER(ROUND(AJ41,-1),0.2)/POWER(Tablo2[[#This Row],[Tensile Mpa]],0.9)</f>
        <v/>
      </c>
      <c r="AL41" s="5">
        <f>IF(40*Tablo2[[#This Row],[Et Kalınlığı 2]]&lt;485,Tablo2[[#This Row],[Et Kalınlığı ]]*40,485)</f>
        <v/>
      </c>
      <c r="AM41" s="5">
        <f>1940*POWER(ROUND(Tablo1[[#This Row],[Axc mm22]],-1),0.2)/POWER(Tablo2[[#This Row],[Tensile Mpa]],0.9)</f>
        <v/>
      </c>
      <c r="AN41" s="5">
        <f>IF(40*Tablo2[[#This Row],[Et Kalınlığı 3]]&lt;485,Tablo2[[#This Row],[Et Kalınlığı ]]*40,485)</f>
        <v/>
      </c>
      <c r="AO41" s="5">
        <f>1940*POWER(ROUND(Tablo1[[#This Row],[Axc mm23]],-1),0.2)/POWER(Tablo2[[#This Row],[Tensile Mpa]],0.9)</f>
        <v/>
      </c>
      <c r="AP41" s="5">
        <f>IF(40*Tablo2[[#This Row],[Et Kalınlığı 4]]&lt;485,Tablo2[[#This Row],[Et Kalınlığı 4]]*40,485)</f>
        <v/>
      </c>
      <c r="AQ41" s="12">
        <f>1940*POWER(ROUND(Tablo1[[#This Row],[Axc mm24]],-1),0.2)/POWER(Tablo2[[#This Row],[Tensile Mpa]],0.9)</f>
        <v/>
      </c>
      <c r="AR41" s="5">
        <f>IF(40*Tablo2[[#This Row],[Et Kalınlığı 5]]&lt;485,Tablo2[[#This Row],[Et Kalınlığı 4]]*40,485)</f>
        <v/>
      </c>
      <c r="AS41" s="64">
        <f>1940*POWER(ROUND(Tablo1[[#This Row],[Axc mm25]],-1),0.2)/POWER(Tablo2[[#This Row],[Tensile Mpa]],0.9)</f>
        <v/>
      </c>
    </row>
    <row r="42">
      <c r="B42" s="43" t="inlineStr">
        <is>
          <t>32"</t>
        </is>
      </c>
      <c r="C42" s="1100" t="n">
        <v>813</v>
      </c>
      <c r="D42" s="1100" t="inlineStr">
        <is>
          <t>X65</t>
        </is>
      </c>
      <c r="E42" s="44" t="n">
        <v>65300</v>
      </c>
      <c r="F42" s="45" t="n">
        <v>535</v>
      </c>
      <c r="G42" s="49" t="n">
        <v>9.529999999999999</v>
      </c>
      <c r="H42" s="59">
        <f>2*Tablo2[[#This Row],[SMYS Psi]]*Tablo2[[#This Row],[Et Kalınlığı ]]/Tablo2[[#This Row],[ÇAP mm]]/14.50377</f>
        <v/>
      </c>
      <c r="I42" s="514" t="n">
        <v>11.91</v>
      </c>
      <c r="J42" s="59">
        <f>2*Tablo2[[#This Row],[SMYS Psi]]*Tablo2[[#This Row],[Et Kalınlığı 2]]/Tablo2[[#This Row],[ÇAP mm]]/14.50377</f>
        <v/>
      </c>
      <c r="K42" s="514" t="n">
        <v>14.27</v>
      </c>
      <c r="L42" s="59">
        <f>2*Tablo2[[#This Row],[SMYS Psi]]*Tablo2[[#This Row],[Et Kalınlığı 3]]/Tablo2[[#This Row],[ÇAP mm]]/14.50377</f>
        <v/>
      </c>
      <c r="M42" s="514" t="n">
        <v>15.88</v>
      </c>
      <c r="N42" s="52">
        <f>2*Tablo2[[#This Row],[SMYS Psi]]*Tablo2[[#This Row],[Et Kalınlığı 4]]/Tablo2[[#This Row],[ÇAP mm]]/14.50377</f>
        <v/>
      </c>
      <c r="O42" s="514" t="n">
        <v>17.48</v>
      </c>
      <c r="P42" s="59">
        <f>2*Tablo2[[#This Row],[SMYS Psi]]*Tablo2[[#This Row],[Et Kalınlığı 5]]/Tablo2[[#This Row],[ÇAP mm]]/14.50377</f>
        <v/>
      </c>
      <c r="Q42" s="17">
        <f>Tablo2[[#This Row],[ÇAP mm]]+1.6</f>
        <v/>
      </c>
      <c r="R42" s="3">
        <f>Tablo2[[#This Row],[ÇAP mm]]-1.6</f>
        <v/>
      </c>
      <c r="S42" s="1100">
        <f>IF(Tablo2[[#This Row],[ÇAP mm]]*0.005-4&lt;0,Tablo2[[#This Row],[ÇAP mm]]*1.005,Tablo2[[#This Row],[ÇAP mm]]+4)</f>
        <v/>
      </c>
      <c r="T42" s="18">
        <f>IF(Tablo2[[#This Row],[ÇAP mm]]*0.005-4&lt;0,Tablo2[[#This Row],[ÇAP mm]]*0.995,Tablo2[[#This Row],[ÇAP mm]]-4)</f>
        <v/>
      </c>
      <c r="U42" s="173">
        <f>Tablo2[[#This Row],[ÇAP mm]]/Tablo2[[#This Row],[Et Kalınlığı ]]</f>
        <v/>
      </c>
      <c r="V42" s="60">
        <f>Tablo2[[#This Row],[ÇAP mm]]/Tablo2[[#This Row],[Et Kalınlığı 2]]</f>
        <v/>
      </c>
      <c r="W42" s="60">
        <f>Tablo2[[#This Row],[ÇAP mm]]/Tablo2[[#This Row],[Et Kalınlığı 3]]</f>
        <v/>
      </c>
      <c r="X42" s="61">
        <f>Tablo2[[#This Row],[ÇAP mm]]/Tablo2[[#This Row],[Et Kalınlığı 4]]</f>
        <v/>
      </c>
      <c r="Y42" s="174">
        <f>Tablo2[[#This Row],[ÇAP mm]]/Tablo2[[#This Row],[Et Kalınlığı 5]]</f>
        <v/>
      </c>
      <c r="Z42">
        <f>IF(Tablo2[[#This Row],[ÇAP mm]]/Tablo2[[#This Row],[Et Kalınlığı ]]&lt;75,Tablo2[[#This Row],[ÇAP mm]]*0.01/2,"Anlaşmaya bağlıdır.")</f>
        <v/>
      </c>
      <c r="AA42">
        <f>IF(Tablo2[[#This Row],[ÇAP mm]]/Tablo2[[#This Row],[Et Kalınlığı ]]&lt;75,Tablo2[[#This Row],[ÇAP mm]]*0.015/2,"Anlaşmaya bağlıdır.")</f>
        <v/>
      </c>
      <c r="AB42" s="520">
        <f>IF(Tablo2[[#This Row],[ÇAP mm]]/Tablo2[[#This Row],[Et Kalınlığı 2]]&lt;75,Tablo2[[#This Row],[ÇAP mm]]*0.01/2,"Anlaşmaya bağlıdır.")</f>
        <v/>
      </c>
      <c r="AC42" s="520">
        <f>IF(Tablo2[[#This Row],[ÇAP mm]]/Tablo2[[#This Row],[Et Kalınlığı 2]]&lt;75,Tablo2[[#This Row],[ÇAP mm]]*0.015,"Anlaşmaya bağlıdır.")</f>
        <v/>
      </c>
      <c r="AD42" s="520">
        <f>IF(Tablo2[[#This Row],[ÇAP mm]]/Tablo2[[#This Row],[Et Kalınlığı 3]]&lt;75,Tablo2[[#This Row],[ÇAP mm]]*0.01/2,"Anlaşmaya bağlıdır.")</f>
        <v/>
      </c>
      <c r="AE42" s="520">
        <f>IF(Tablo2[[#This Row],[ÇAP mm]]/Tablo2[[#This Row],[Et Kalınlığı 3]]&lt;75,Tablo2[[#This Row],[ÇAP mm]]*0.015,"Anlaşmaya bağlıdır.")</f>
        <v/>
      </c>
      <c r="AF42" s="520">
        <f>IF(Tablo2[[#This Row],[ÇAP mm]]/Tablo2[[#This Row],[Et Kalınlığı 4]]&lt;75,Tablo2[[#This Row],[ÇAP mm]]*0.015/2,"Anlaşmaya bağlıdır.")</f>
        <v/>
      </c>
      <c r="AG42" s="64">
        <f>IF(Tablo2[[#This Row],[ÇAP mm]]/Tablo2[[#This Row],[Et Kalınlığı 4]]&lt;75,Tablo2[[#This Row],[ÇAP mm]]*0.015,"Anlaşmaya bağlıdır.")</f>
        <v/>
      </c>
      <c r="AH42" s="520">
        <f>IF(Tablo2[[#This Row],[ÇAP mm]]/Tablo2[[#This Row],[Et Kalınlığı 4]]&lt;75,Tablo2[[#This Row],[ÇAP mm]]*0.015/2,"Anlaşmaya bağlıdır.")</f>
        <v/>
      </c>
      <c r="AI42" s="520">
        <f>IF(Tablo2[[#This Row],[ÇAP mm]]/Tablo2[[#This Row],[Et Kalınlığı 5]]&lt;75,Tablo2[[#This Row],[ÇAP mm]]*0.015,"Anlaşmaya bağlıdır.")</f>
        <v/>
      </c>
      <c r="AJ42" s="11">
        <f>IF(40*Tablo2[[#This Row],[Et Kalınlığı ]]&lt;485,Tablo2[[#This Row],[Et Kalınlığı ]]*40,485)</f>
        <v/>
      </c>
      <c r="AK42" s="5">
        <f>1940*POWER(ROUND(AJ42,-1),0.2)/POWER(Tablo2[[#This Row],[Tensile Mpa]],0.9)</f>
        <v/>
      </c>
      <c r="AL42" s="5">
        <f>IF(40*Tablo2[[#This Row],[Et Kalınlığı 2]]&lt;485,Tablo2[[#This Row],[Et Kalınlığı ]]*40,485)</f>
        <v/>
      </c>
      <c r="AM42" s="5">
        <f>1940*POWER(ROUND(Tablo1[[#This Row],[Axc mm22]],-1),0.2)/POWER(Tablo2[[#This Row],[Tensile Mpa]],0.9)</f>
        <v/>
      </c>
      <c r="AN42" s="5">
        <f>IF(40*Tablo2[[#This Row],[Et Kalınlığı 3]]&lt;485,Tablo2[[#This Row],[Et Kalınlığı ]]*40,485)</f>
        <v/>
      </c>
      <c r="AO42" s="5">
        <f>1940*POWER(ROUND(Tablo1[[#This Row],[Axc mm23]],-1),0.2)/POWER(Tablo2[[#This Row],[Tensile Mpa]],0.9)</f>
        <v/>
      </c>
      <c r="AP42" s="5">
        <f>IF(40*Tablo2[[#This Row],[Et Kalınlığı 4]]&lt;485,Tablo2[[#This Row],[Et Kalınlığı 4]]*40,485)</f>
        <v/>
      </c>
      <c r="AQ42" s="12">
        <f>1940*POWER(ROUND(Tablo1[[#This Row],[Axc mm24]],-1),0.2)/POWER(Tablo2[[#This Row],[Tensile Mpa]],0.9)</f>
        <v/>
      </c>
      <c r="AR42" s="5">
        <f>IF(40*Tablo2[[#This Row],[Et Kalınlığı 5]]&lt;485,Tablo2[[#This Row],[Et Kalınlığı 4]]*40,485)</f>
        <v/>
      </c>
      <c r="AS42" s="64">
        <f>1940*POWER(ROUND(Tablo1[[#This Row],[Axc mm25]],-1),0.2)/POWER(Tablo2[[#This Row],[Tensile Mpa]],0.9)</f>
        <v/>
      </c>
    </row>
    <row r="43">
      <c r="B43" s="43" t="inlineStr">
        <is>
          <t>34"</t>
        </is>
      </c>
      <c r="C43" s="1100" t="n">
        <v>864</v>
      </c>
      <c r="D43" s="1100" t="inlineStr">
        <is>
          <t>X65</t>
        </is>
      </c>
      <c r="E43" s="44" t="n">
        <v>65300</v>
      </c>
      <c r="F43" s="45" t="n">
        <v>535</v>
      </c>
      <c r="G43" s="49" t="n">
        <v>10.31</v>
      </c>
      <c r="H43" s="59">
        <f>2*Tablo2[[#This Row],[SMYS Psi]]*Tablo2[[#This Row],[Et Kalınlığı ]]/Tablo2[[#This Row],[ÇAP mm]]/14.50377</f>
        <v/>
      </c>
      <c r="I43" s="514" t="n">
        <v>12.7</v>
      </c>
      <c r="J43" s="59">
        <f>2*Tablo2[[#This Row],[SMYS Psi]]*Tablo2[[#This Row],[Et Kalınlığı 2]]/Tablo2[[#This Row],[ÇAP mm]]/14.50377</f>
        <v/>
      </c>
      <c r="K43" s="514" t="n">
        <v>15.88</v>
      </c>
      <c r="L43" s="59">
        <f>2*Tablo2[[#This Row],[SMYS Psi]]*Tablo2[[#This Row],[Et Kalınlığı 3]]/Tablo2[[#This Row],[ÇAP mm]]/14.50377</f>
        <v/>
      </c>
      <c r="M43" s="514" t="n">
        <v>15.88</v>
      </c>
      <c r="N43" s="52">
        <f>2*Tablo2[[#This Row],[SMYS Psi]]*Tablo2[[#This Row],[Et Kalınlığı 4]]/Tablo2[[#This Row],[ÇAP mm]]/14.50377</f>
        <v/>
      </c>
      <c r="O43" s="514" t="n">
        <v>17.48</v>
      </c>
      <c r="P43" s="59">
        <f>2*Tablo2[[#This Row],[SMYS Psi]]*Tablo2[[#This Row],[Et Kalınlığı 5]]/Tablo2[[#This Row],[ÇAP mm]]/14.50377</f>
        <v/>
      </c>
      <c r="Q43" s="17">
        <f>Tablo2[[#This Row],[ÇAP mm]]+1.6</f>
        <v/>
      </c>
      <c r="R43" s="3">
        <f>Tablo2[[#This Row],[ÇAP mm]]-1.6</f>
        <v/>
      </c>
      <c r="S43" s="1100">
        <f>IF(Tablo2[[#This Row],[ÇAP mm]]*0.005-4&lt;0,Tablo2[[#This Row],[ÇAP mm]]*1.005,Tablo2[[#This Row],[ÇAP mm]]+4)</f>
        <v/>
      </c>
      <c r="T43" s="18">
        <f>IF(Tablo2[[#This Row],[ÇAP mm]]*0.005-4&lt;0,Tablo2[[#This Row],[ÇAP mm]]*0.995,Tablo2[[#This Row],[ÇAP mm]]-4)</f>
        <v/>
      </c>
      <c r="U43" s="173">
        <f>Tablo2[[#This Row],[ÇAP mm]]/Tablo2[[#This Row],[Et Kalınlığı ]]</f>
        <v/>
      </c>
      <c r="V43" s="60">
        <f>Tablo2[[#This Row],[ÇAP mm]]/Tablo2[[#This Row],[Et Kalınlığı 2]]</f>
        <v/>
      </c>
      <c r="W43" s="60">
        <f>Tablo2[[#This Row],[ÇAP mm]]/Tablo2[[#This Row],[Et Kalınlığı 3]]</f>
        <v/>
      </c>
      <c r="X43" s="61">
        <f>Tablo2[[#This Row],[ÇAP mm]]/Tablo2[[#This Row],[Et Kalınlığı 4]]</f>
        <v/>
      </c>
      <c r="Y43" s="174">
        <f>Tablo2[[#This Row],[ÇAP mm]]/Tablo2[[#This Row],[Et Kalınlığı 5]]</f>
        <v/>
      </c>
      <c r="Z43">
        <f>IF(Tablo2[[#This Row],[ÇAP mm]]/Tablo2[[#This Row],[Et Kalınlığı ]]&lt;75,Tablo2[[#This Row],[ÇAP mm]]*0.01/2,"Anlaşmaya bağlıdır.")</f>
        <v/>
      </c>
      <c r="AA43">
        <f>IF(Tablo2[[#This Row],[ÇAP mm]]/Tablo2[[#This Row],[Et Kalınlığı ]]&lt;75,Tablo2[[#This Row],[ÇAP mm]]*0.015/2,"Anlaşmaya bağlıdır.")</f>
        <v/>
      </c>
      <c r="AB43" s="520">
        <f>IF(Tablo2[[#This Row],[ÇAP mm]]/Tablo2[[#This Row],[Et Kalınlığı 2]]&lt;75,Tablo2[[#This Row],[ÇAP mm]]*0.01/2,"Anlaşmaya bağlıdır.")</f>
        <v/>
      </c>
      <c r="AC43" s="520">
        <f>IF(Tablo2[[#This Row],[ÇAP mm]]/Tablo2[[#This Row],[Et Kalınlığı 2]]&lt;75,Tablo2[[#This Row],[ÇAP mm]]*0.015,"Anlaşmaya bağlıdır.")</f>
        <v/>
      </c>
      <c r="AD43" s="520">
        <f>IF(Tablo2[[#This Row],[ÇAP mm]]/Tablo2[[#This Row],[Et Kalınlığı 3]]&lt;75,Tablo2[[#This Row],[ÇAP mm]]*0.01/2,"Anlaşmaya bağlıdır.")</f>
        <v/>
      </c>
      <c r="AE43" s="520">
        <f>IF(Tablo2[[#This Row],[ÇAP mm]]/Tablo2[[#This Row],[Et Kalınlığı 3]]&lt;75,Tablo2[[#This Row],[ÇAP mm]]*0.015,"Anlaşmaya bağlıdır.")</f>
        <v/>
      </c>
      <c r="AF43" s="520">
        <f>IF(Tablo2[[#This Row],[ÇAP mm]]/Tablo2[[#This Row],[Et Kalınlığı 4]]&lt;75,Tablo2[[#This Row],[ÇAP mm]]*0.015/2,"Anlaşmaya bağlıdır.")</f>
        <v/>
      </c>
      <c r="AG43" s="64">
        <f>IF(Tablo2[[#This Row],[ÇAP mm]]/Tablo2[[#This Row],[Et Kalınlığı 4]]&lt;75,Tablo2[[#This Row],[ÇAP mm]]*0.015,"Anlaşmaya bağlıdır.")</f>
        <v/>
      </c>
      <c r="AH43" s="520">
        <f>IF(Tablo2[[#This Row],[ÇAP mm]]/Tablo2[[#This Row],[Et Kalınlığı 4]]&lt;75,Tablo2[[#This Row],[ÇAP mm]]*0.015/2,"Anlaşmaya bağlıdır.")</f>
        <v/>
      </c>
      <c r="AI43" s="520">
        <f>IF(Tablo2[[#This Row],[ÇAP mm]]/Tablo2[[#This Row],[Et Kalınlığı 5]]&lt;75,Tablo2[[#This Row],[ÇAP mm]]*0.015,"Anlaşmaya bağlıdır.")</f>
        <v/>
      </c>
      <c r="AJ43" s="11">
        <f>IF(40*Tablo2[[#This Row],[Et Kalınlığı ]]&lt;485,Tablo2[[#This Row],[Et Kalınlığı ]]*40,485)</f>
        <v/>
      </c>
      <c r="AK43" s="5">
        <f>1940*POWER(ROUND(AJ43,-1),0.2)/POWER(Tablo2[[#This Row],[Tensile Mpa]],0.9)</f>
        <v/>
      </c>
      <c r="AL43" s="5">
        <f>IF(40*Tablo2[[#This Row],[Et Kalınlığı 2]]&lt;485,Tablo2[[#This Row],[Et Kalınlığı ]]*40,485)</f>
        <v/>
      </c>
      <c r="AM43" s="5">
        <f>1940*POWER(ROUND(Tablo1[[#This Row],[Axc mm22]],-1),0.2)/POWER(Tablo2[[#This Row],[Tensile Mpa]],0.9)</f>
        <v/>
      </c>
      <c r="AN43" s="5">
        <f>IF(40*Tablo2[[#This Row],[Et Kalınlığı 3]]&lt;485,Tablo2[[#This Row],[Et Kalınlığı ]]*40,485)</f>
        <v/>
      </c>
      <c r="AO43" s="5">
        <f>1940*POWER(ROUND(Tablo1[[#This Row],[Axc mm23]],-1),0.2)/POWER(Tablo2[[#This Row],[Tensile Mpa]],0.9)</f>
        <v/>
      </c>
      <c r="AP43" s="5">
        <f>IF(40*Tablo2[[#This Row],[Et Kalınlığı 4]]&lt;485,Tablo2[[#This Row],[Et Kalınlığı 4]]*40,485)</f>
        <v/>
      </c>
      <c r="AQ43" s="12">
        <f>1940*POWER(ROUND(Tablo1[[#This Row],[Axc mm24]],-1),0.2)/POWER(Tablo2[[#This Row],[Tensile Mpa]],0.9)</f>
        <v/>
      </c>
      <c r="AR43" s="5">
        <f>IF(40*Tablo2[[#This Row],[Et Kalınlığı 5]]&lt;485,Tablo2[[#This Row],[Et Kalınlığı 4]]*40,485)</f>
        <v/>
      </c>
      <c r="AS43" s="64">
        <f>1940*POWER(ROUND(Tablo1[[#This Row],[Axc mm25]],-1),0.2)/POWER(Tablo2[[#This Row],[Tensile Mpa]],0.9)</f>
        <v/>
      </c>
    </row>
    <row r="44">
      <c r="B44" s="43" t="inlineStr">
        <is>
          <t>36"</t>
        </is>
      </c>
      <c r="C44" s="1100" t="n">
        <v>914</v>
      </c>
      <c r="D44" s="1100" t="inlineStr">
        <is>
          <t>X65</t>
        </is>
      </c>
      <c r="E44" s="44" t="n">
        <v>65300</v>
      </c>
      <c r="F44" s="45" t="n">
        <v>535</v>
      </c>
      <c r="G44" s="49" t="n">
        <v>11.13</v>
      </c>
      <c r="H44" s="59">
        <f>2*Tablo2[[#This Row],[SMYS Psi]]*Tablo2[[#This Row],[Et Kalınlığı ]]/Tablo2[[#This Row],[ÇAP mm]]/14.50377</f>
        <v/>
      </c>
      <c r="I44" s="514" t="n">
        <v>12.7</v>
      </c>
      <c r="J44" s="59">
        <f>2*Tablo2[[#This Row],[SMYS Psi]]*Tablo2[[#This Row],[Et Kalınlığı 2]]/Tablo2[[#This Row],[ÇAP mm]]/14.50377</f>
        <v/>
      </c>
      <c r="K44" s="514" t="n">
        <v>15.88</v>
      </c>
      <c r="L44" s="59">
        <f>2*Tablo2[[#This Row],[SMYS Psi]]*Tablo2[[#This Row],[Et Kalınlığı 3]]/Tablo2[[#This Row],[ÇAP mm]]/14.50377</f>
        <v/>
      </c>
      <c r="M44" s="514" t="n">
        <v>17.48</v>
      </c>
      <c r="N44" s="52">
        <f>2*Tablo2[[#This Row],[SMYS Psi]]*Tablo2[[#This Row],[Et Kalınlığı 4]]/Tablo2[[#This Row],[ÇAP mm]]/14.50377</f>
        <v/>
      </c>
      <c r="O44" s="514" t="n">
        <v>19.05</v>
      </c>
      <c r="P44" s="59">
        <f>2*Tablo2[[#This Row],[SMYS Psi]]*Tablo2[[#This Row],[Et Kalınlığı 5]]/Tablo2[[#This Row],[ÇAP mm]]/14.50377</f>
        <v/>
      </c>
      <c r="Q44" s="17">
        <f>Tablo2[[#This Row],[ÇAP mm]]+1.6</f>
        <v/>
      </c>
      <c r="R44" s="3">
        <f>Tablo2[[#This Row],[ÇAP mm]]-1.6</f>
        <v/>
      </c>
      <c r="S44" s="1100">
        <f>IF(Tablo2[[#This Row],[ÇAP mm]]*0.005-4&lt;0,Tablo2[[#This Row],[ÇAP mm]]*1.005,Tablo2[[#This Row],[ÇAP mm]]+4)</f>
        <v/>
      </c>
      <c r="T44" s="18">
        <f>IF(Tablo2[[#This Row],[ÇAP mm]]*0.005-4&lt;0,Tablo2[[#This Row],[ÇAP mm]]*0.995,Tablo2[[#This Row],[ÇAP mm]]-4)</f>
        <v/>
      </c>
      <c r="U44" s="173">
        <f>Tablo2[[#This Row],[ÇAP mm]]/Tablo2[[#This Row],[Et Kalınlığı ]]</f>
        <v/>
      </c>
      <c r="V44" s="60">
        <f>Tablo2[[#This Row],[ÇAP mm]]/Tablo2[[#This Row],[Et Kalınlığı 2]]</f>
        <v/>
      </c>
      <c r="W44" s="60">
        <f>Tablo2[[#This Row],[ÇAP mm]]/Tablo2[[#This Row],[Et Kalınlığı 3]]</f>
        <v/>
      </c>
      <c r="X44" s="61">
        <f>Tablo2[[#This Row],[ÇAP mm]]/Tablo2[[#This Row],[Et Kalınlığı 4]]</f>
        <v/>
      </c>
      <c r="Y44" s="174">
        <f>Tablo2[[#This Row],[ÇAP mm]]/Tablo2[[#This Row],[Et Kalınlığı 5]]</f>
        <v/>
      </c>
      <c r="Z44">
        <f>IF(Tablo2[[#This Row],[ÇAP mm]]/Tablo2[[#This Row],[Et Kalınlığı ]]&lt;75,Tablo2[[#This Row],[ÇAP mm]]*0.01/2,"Anlaşmaya bağlıdır.")</f>
        <v/>
      </c>
      <c r="AA44">
        <f>IF(Tablo2[[#This Row],[ÇAP mm]]/Tablo2[[#This Row],[Et Kalınlığı ]]&lt;75,Tablo2[[#This Row],[ÇAP mm]]*0.015/2,"Anlaşmaya bağlıdır.")</f>
        <v/>
      </c>
      <c r="AB44" s="520">
        <f>IF(Tablo2[[#This Row],[ÇAP mm]]/Tablo2[[#This Row],[Et Kalınlığı 2]]&lt;75,Tablo2[[#This Row],[ÇAP mm]]*0.01/2,"Anlaşmaya bağlıdır.")</f>
        <v/>
      </c>
      <c r="AC44" s="520">
        <f>IF(Tablo2[[#This Row],[ÇAP mm]]/Tablo2[[#This Row],[Et Kalınlığı 2]]&lt;75,Tablo2[[#This Row],[ÇAP mm]]*0.015,"Anlaşmaya bağlıdır.")</f>
        <v/>
      </c>
      <c r="AD44" s="520">
        <f>IF(Tablo2[[#This Row],[ÇAP mm]]/Tablo2[[#This Row],[Et Kalınlığı 3]]&lt;75,Tablo2[[#This Row],[ÇAP mm]]*0.01/2,"Anlaşmaya bağlıdır.")</f>
        <v/>
      </c>
      <c r="AE44" s="520">
        <f>IF(Tablo2[[#This Row],[ÇAP mm]]/Tablo2[[#This Row],[Et Kalınlığı 3]]&lt;75,Tablo2[[#This Row],[ÇAP mm]]*0.015,"Anlaşmaya bağlıdır.")</f>
        <v/>
      </c>
      <c r="AF44" s="520">
        <f>IF(Tablo2[[#This Row],[ÇAP mm]]/Tablo2[[#This Row],[Et Kalınlığı 4]]&lt;75,Tablo2[[#This Row],[ÇAP mm]]*0.015/2,"Anlaşmaya bağlıdır.")</f>
        <v/>
      </c>
      <c r="AG44" s="64">
        <f>IF(Tablo2[[#This Row],[ÇAP mm]]/Tablo2[[#This Row],[Et Kalınlığı 4]]&lt;75,Tablo2[[#This Row],[ÇAP mm]]*0.015,"Anlaşmaya bağlıdır.")</f>
        <v/>
      </c>
      <c r="AH44" s="520">
        <f>IF(Tablo2[[#This Row],[ÇAP mm]]/Tablo2[[#This Row],[Et Kalınlığı 4]]&lt;75,Tablo2[[#This Row],[ÇAP mm]]*0.015/2,"Anlaşmaya bağlıdır.")</f>
        <v/>
      </c>
      <c r="AI44" s="520">
        <f>IF(Tablo2[[#This Row],[ÇAP mm]]/Tablo2[[#This Row],[Et Kalınlığı 5]]&lt;75,Tablo2[[#This Row],[ÇAP mm]]*0.015,"Anlaşmaya bağlıdır.")</f>
        <v/>
      </c>
      <c r="AJ44" s="11">
        <f>IF(40*Tablo2[[#This Row],[Et Kalınlığı ]]&lt;485,Tablo2[[#This Row],[Et Kalınlığı ]]*40,485)</f>
        <v/>
      </c>
      <c r="AK44" s="5">
        <f>1940*POWER(ROUND(AJ44,-1),0.2)/POWER(Tablo2[[#This Row],[Tensile Mpa]],0.9)</f>
        <v/>
      </c>
      <c r="AL44" s="5">
        <f>IF(40*Tablo2[[#This Row],[Et Kalınlığı 2]]&lt;485,Tablo2[[#This Row],[Et Kalınlığı ]]*40,485)</f>
        <v/>
      </c>
      <c r="AM44" s="5">
        <f>1940*POWER(ROUND(Tablo1[[#This Row],[Axc mm22]],-1),0.2)/POWER(Tablo2[[#This Row],[Tensile Mpa]],0.9)</f>
        <v/>
      </c>
      <c r="AN44" s="5">
        <f>IF(40*Tablo2[[#This Row],[Et Kalınlığı 3]]&lt;485,Tablo2[[#This Row],[Et Kalınlığı ]]*40,485)</f>
        <v/>
      </c>
      <c r="AO44" s="5">
        <f>1940*POWER(ROUND(Tablo1[[#This Row],[Axc mm23]],-1),0.2)/POWER(Tablo2[[#This Row],[Tensile Mpa]],0.9)</f>
        <v/>
      </c>
      <c r="AP44" s="5">
        <f>IF(40*Tablo2[[#This Row],[Et Kalınlığı 4]]&lt;485,Tablo2[[#This Row],[Et Kalınlığı 4]]*40,485)</f>
        <v/>
      </c>
      <c r="AQ44" s="12">
        <f>1940*POWER(ROUND(Tablo1[[#This Row],[Axc mm24]],-1),0.2)/POWER(Tablo2[[#This Row],[Tensile Mpa]],0.9)</f>
        <v/>
      </c>
      <c r="AR44" s="5">
        <f>IF(40*Tablo2[[#This Row],[Et Kalınlığı 5]]&lt;485,Tablo2[[#This Row],[Et Kalınlığı 4]]*40,485)</f>
        <v/>
      </c>
      <c r="AS44" s="64">
        <f>1940*POWER(ROUND(Tablo1[[#This Row],[Axc mm25]],-1),0.2)/POWER(Tablo2[[#This Row],[Tensile Mpa]],0.9)</f>
        <v/>
      </c>
    </row>
    <row r="45">
      <c r="B45" s="43" t="inlineStr">
        <is>
          <t>38"</t>
        </is>
      </c>
      <c r="C45" s="1100" t="n">
        <v>965</v>
      </c>
      <c r="D45" s="1100" t="inlineStr">
        <is>
          <t>X65</t>
        </is>
      </c>
      <c r="E45" s="44" t="n">
        <v>65300</v>
      </c>
      <c r="F45" s="45" t="n">
        <v>535</v>
      </c>
      <c r="G45" s="49" t="n">
        <v>11.91</v>
      </c>
      <c r="H45" s="59">
        <f>2*Tablo2[[#This Row],[SMYS Psi]]*Tablo2[[#This Row],[Et Kalınlığı ]]/Tablo2[[#This Row],[ÇAP mm]]/14.50377</f>
        <v/>
      </c>
      <c r="I45" s="514" t="n">
        <v>14.27</v>
      </c>
      <c r="J45" s="59">
        <f>2*Tablo2[[#This Row],[SMYS Psi]]*Tablo2[[#This Row],[Et Kalınlığı 2]]/Tablo2[[#This Row],[ÇAP mm]]/14.50377</f>
        <v/>
      </c>
      <c r="K45" s="514" t="n">
        <v>17.48</v>
      </c>
      <c r="L45" s="59">
        <f>2*Tablo2[[#This Row],[SMYS Psi]]*Tablo2[[#This Row],[Et Kalınlığı 3]]/Tablo2[[#This Row],[ÇAP mm]]/14.50377</f>
        <v/>
      </c>
      <c r="M45" s="514" t="n">
        <v>19.05</v>
      </c>
      <c r="N45" s="52">
        <f>2*Tablo2[[#This Row],[SMYS Psi]]*Tablo2[[#This Row],[Et Kalınlığı 4]]/Tablo2[[#This Row],[ÇAP mm]]/14.50377</f>
        <v/>
      </c>
      <c r="O45" s="514" t="n">
        <v>20.62</v>
      </c>
      <c r="P45" s="59">
        <f>2*Tablo2[[#This Row],[SMYS Psi]]*Tablo2[[#This Row],[Et Kalınlığı 5]]/Tablo2[[#This Row],[ÇAP mm]]/14.50377</f>
        <v/>
      </c>
      <c r="Q45" s="17">
        <f>Tablo2[[#This Row],[ÇAP mm]]+1.6</f>
        <v/>
      </c>
      <c r="R45" s="3">
        <f>Tablo2[[#This Row],[ÇAP mm]]-1.6</f>
        <v/>
      </c>
      <c r="S45" s="1100">
        <f>IF(Tablo2[[#This Row],[ÇAP mm]]*0.005-4&lt;0,Tablo2[[#This Row],[ÇAP mm]]*1.005,Tablo2[[#This Row],[ÇAP mm]]+4)</f>
        <v/>
      </c>
      <c r="T45" s="18">
        <f>IF(Tablo2[[#This Row],[ÇAP mm]]*0.005-4&lt;0,Tablo2[[#This Row],[ÇAP mm]]*0.995,Tablo2[[#This Row],[ÇAP mm]]-4)</f>
        <v/>
      </c>
      <c r="U45" s="173">
        <f>Tablo2[[#This Row],[ÇAP mm]]/Tablo2[[#This Row],[Et Kalınlığı ]]</f>
        <v/>
      </c>
      <c r="V45" s="60">
        <f>Tablo2[[#This Row],[ÇAP mm]]/Tablo2[[#This Row],[Et Kalınlığı 2]]</f>
        <v/>
      </c>
      <c r="W45" s="60">
        <f>Tablo2[[#This Row],[ÇAP mm]]/Tablo2[[#This Row],[Et Kalınlığı 3]]</f>
        <v/>
      </c>
      <c r="X45" s="61">
        <f>Tablo2[[#This Row],[ÇAP mm]]/Tablo2[[#This Row],[Et Kalınlığı 4]]</f>
        <v/>
      </c>
      <c r="Y45" s="174">
        <f>Tablo2[[#This Row],[ÇAP mm]]/Tablo2[[#This Row],[Et Kalınlığı 5]]</f>
        <v/>
      </c>
      <c r="Z45">
        <f>IF(Tablo2[[#This Row],[ÇAP mm]]/Tablo2[[#This Row],[Et Kalınlığı ]]&lt;75,Tablo2[[#This Row],[ÇAP mm]]*0.01/2,"Anlaşmaya bağlıdır.")</f>
        <v/>
      </c>
      <c r="AA45">
        <f>IF(Tablo2[[#This Row],[ÇAP mm]]/Tablo2[[#This Row],[Et Kalınlığı ]]&lt;75,Tablo2[[#This Row],[ÇAP mm]]*0.015/2,"Anlaşmaya bağlıdır.")</f>
        <v/>
      </c>
      <c r="AB45" s="520">
        <f>IF(Tablo2[[#This Row],[ÇAP mm]]/Tablo2[[#This Row],[Et Kalınlığı 2]]&lt;75,Tablo2[[#This Row],[ÇAP mm]]*0.01/2,"Anlaşmaya bağlıdır.")</f>
        <v/>
      </c>
      <c r="AC45" s="520">
        <f>IF(Tablo2[[#This Row],[ÇAP mm]]/Tablo2[[#This Row],[Et Kalınlığı 2]]&lt;75,Tablo2[[#This Row],[ÇAP mm]]*0.015,"Anlaşmaya bağlıdır.")</f>
        <v/>
      </c>
      <c r="AD45" s="520">
        <f>IF(Tablo2[[#This Row],[ÇAP mm]]/Tablo2[[#This Row],[Et Kalınlığı 3]]&lt;75,Tablo2[[#This Row],[ÇAP mm]]*0.01/2,"Anlaşmaya bağlıdır.")</f>
        <v/>
      </c>
      <c r="AE45" s="520">
        <f>IF(Tablo2[[#This Row],[ÇAP mm]]/Tablo2[[#This Row],[Et Kalınlığı 3]]&lt;75,Tablo2[[#This Row],[ÇAP mm]]*0.015,"Anlaşmaya bağlıdır.")</f>
        <v/>
      </c>
      <c r="AF45" s="520">
        <f>IF(Tablo2[[#This Row],[ÇAP mm]]/Tablo2[[#This Row],[Et Kalınlığı 4]]&lt;75,Tablo2[[#This Row],[ÇAP mm]]*0.015/2,"Anlaşmaya bağlıdır.")</f>
        <v/>
      </c>
      <c r="AG45" s="64">
        <f>IF(Tablo2[[#This Row],[ÇAP mm]]/Tablo2[[#This Row],[Et Kalınlığı 4]]&lt;75,Tablo2[[#This Row],[ÇAP mm]]*0.015,"Anlaşmaya bağlıdır.")</f>
        <v/>
      </c>
      <c r="AH45" s="520">
        <f>IF(Tablo2[[#This Row],[ÇAP mm]]/Tablo2[[#This Row],[Et Kalınlığı 4]]&lt;75,Tablo2[[#This Row],[ÇAP mm]]*0.015/2,"Anlaşmaya bağlıdır.")</f>
        <v/>
      </c>
      <c r="AI45" s="520">
        <f>IF(Tablo2[[#This Row],[ÇAP mm]]/Tablo2[[#This Row],[Et Kalınlığı 5]]&lt;75,Tablo2[[#This Row],[ÇAP mm]]*0.015,"Anlaşmaya bağlıdır.")</f>
        <v/>
      </c>
      <c r="AJ45" s="11">
        <f>IF(40*Tablo2[[#This Row],[Et Kalınlığı ]]&lt;485,Tablo2[[#This Row],[Et Kalınlığı ]]*40,485)</f>
        <v/>
      </c>
      <c r="AK45" s="5">
        <f>1940*POWER(ROUND(AJ45,-1),0.2)/POWER(Tablo2[[#This Row],[Tensile Mpa]],0.9)</f>
        <v/>
      </c>
      <c r="AL45" s="5">
        <f>IF(40*Tablo2[[#This Row],[Et Kalınlığı 2]]&lt;485,Tablo2[[#This Row],[Et Kalınlığı ]]*40,485)</f>
        <v/>
      </c>
      <c r="AM45" s="5">
        <f>1940*POWER(ROUND(Tablo1[[#This Row],[Axc mm22]],-1),0.2)/POWER(Tablo2[[#This Row],[Tensile Mpa]],0.9)</f>
        <v/>
      </c>
      <c r="AN45" s="5">
        <f>IF(40*Tablo2[[#This Row],[Et Kalınlığı 3]]&lt;485,Tablo2[[#This Row],[Et Kalınlığı ]]*40,485)</f>
        <v/>
      </c>
      <c r="AO45" s="5">
        <f>1940*POWER(ROUND(Tablo1[[#This Row],[Axc mm23]],-1),0.2)/POWER(Tablo2[[#This Row],[Tensile Mpa]],0.9)</f>
        <v/>
      </c>
      <c r="AP45" s="5">
        <f>IF(40*Tablo2[[#This Row],[Et Kalınlığı 4]]&lt;485,Tablo2[[#This Row],[Et Kalınlığı 4]]*40,485)</f>
        <v/>
      </c>
      <c r="AQ45" s="12">
        <f>1940*POWER(ROUND(Tablo1[[#This Row],[Axc mm24]],-1),0.2)/POWER(Tablo2[[#This Row],[Tensile Mpa]],0.9)</f>
        <v/>
      </c>
      <c r="AR45" s="5">
        <f>IF(40*Tablo2[[#This Row],[Et Kalınlığı 5]]&lt;485,Tablo2[[#This Row],[Et Kalınlığı 4]]*40,485)</f>
        <v/>
      </c>
      <c r="AS45" s="64">
        <f>1940*POWER(ROUND(Tablo1[[#This Row],[Axc mm25]],-1),0.2)/POWER(Tablo2[[#This Row],[Tensile Mpa]],0.9)</f>
        <v/>
      </c>
    </row>
    <row r="46">
      <c r="B46" s="43" t="inlineStr">
        <is>
          <t>40"</t>
        </is>
      </c>
      <c r="C46" s="1100" t="n">
        <v>1016</v>
      </c>
      <c r="D46" s="1100" t="inlineStr">
        <is>
          <t>X65</t>
        </is>
      </c>
      <c r="E46" s="44" t="n">
        <v>65300</v>
      </c>
      <c r="F46" s="45" t="n">
        <v>535</v>
      </c>
      <c r="G46" s="49" t="n">
        <v>11.91</v>
      </c>
      <c r="H46" s="59">
        <f>2*Tablo2[[#This Row],[SMYS Psi]]*Tablo2[[#This Row],[Et Kalınlığı ]]/Tablo2[[#This Row],[ÇAP mm]]/14.50377</f>
        <v/>
      </c>
      <c r="I46" s="514" t="n">
        <v>14.27</v>
      </c>
      <c r="J46" s="59">
        <f>2*Tablo2[[#This Row],[SMYS Psi]]*Tablo2[[#This Row],[Et Kalınlığı 2]]/Tablo2[[#This Row],[ÇAP mm]]/14.50377</f>
        <v/>
      </c>
      <c r="K46" s="514" t="n">
        <v>17.48</v>
      </c>
      <c r="L46" s="59">
        <f>2*Tablo2[[#This Row],[SMYS Psi]]*Tablo2[[#This Row],[Et Kalınlığı 3]]/Tablo2[[#This Row],[ÇAP mm]]/14.50377</f>
        <v/>
      </c>
      <c r="M46" s="514" t="n">
        <v>19.05</v>
      </c>
      <c r="N46" s="52">
        <f>2*Tablo2[[#This Row],[SMYS Psi]]*Tablo2[[#This Row],[Et Kalınlığı 4]]/Tablo2[[#This Row],[ÇAP mm]]/14.50377</f>
        <v/>
      </c>
      <c r="O46" s="514" t="n">
        <v>20.62</v>
      </c>
      <c r="P46" s="59">
        <f>2*Tablo2[[#This Row],[SMYS Psi]]*Tablo2[[#This Row],[Et Kalınlığı 5]]/Tablo2[[#This Row],[ÇAP mm]]/14.50377</f>
        <v/>
      </c>
      <c r="Q46" s="17">
        <f>Tablo2[[#This Row],[ÇAP mm]]+1.6</f>
        <v/>
      </c>
      <c r="R46" s="3">
        <f>Tablo2[[#This Row],[ÇAP mm]]-1.6</f>
        <v/>
      </c>
      <c r="S46" s="1100">
        <f>IF(Tablo2[[#This Row],[ÇAP mm]]*0.005-4&lt;0,Tablo2[[#This Row],[ÇAP mm]]*1.005,Tablo2[[#This Row],[ÇAP mm]]+4)</f>
        <v/>
      </c>
      <c r="T46" s="18">
        <f>IF(Tablo2[[#This Row],[ÇAP mm]]*0.005-4&lt;0,Tablo2[[#This Row],[ÇAP mm]]*0.995,Tablo2[[#This Row],[ÇAP mm]]-4)</f>
        <v/>
      </c>
      <c r="U46" s="173">
        <f>Tablo2[[#This Row],[ÇAP mm]]/Tablo2[[#This Row],[Et Kalınlığı ]]</f>
        <v/>
      </c>
      <c r="V46" s="60">
        <f>Tablo2[[#This Row],[ÇAP mm]]/Tablo2[[#This Row],[Et Kalınlığı 2]]</f>
        <v/>
      </c>
      <c r="W46" s="60">
        <f>Tablo2[[#This Row],[ÇAP mm]]/Tablo2[[#This Row],[Et Kalınlığı 3]]</f>
        <v/>
      </c>
      <c r="X46" s="61">
        <f>Tablo2[[#This Row],[ÇAP mm]]/Tablo2[[#This Row],[Et Kalınlığı 4]]</f>
        <v/>
      </c>
      <c r="Y46" s="174">
        <f>Tablo2[[#This Row],[ÇAP mm]]/Tablo2[[#This Row],[Et Kalınlığı 5]]</f>
        <v/>
      </c>
      <c r="Z46">
        <f>IF(Tablo2[[#This Row],[ÇAP mm]]/Tablo2[[#This Row],[Et Kalınlığı ]]&lt;75,Tablo2[[#This Row],[ÇAP mm]]*0.01/2,"Anlaşmaya bağlıdır.")</f>
        <v/>
      </c>
      <c r="AA46">
        <f>IF(Tablo2[[#This Row],[ÇAP mm]]/Tablo2[[#This Row],[Et Kalınlığı ]]&lt;75,Tablo2[[#This Row],[ÇAP mm]]*0.015/2,"Anlaşmaya bağlıdır.")</f>
        <v/>
      </c>
      <c r="AB46" s="520">
        <f>IF(Tablo2[[#This Row],[ÇAP mm]]/Tablo2[[#This Row],[Et Kalınlığı 2]]&lt;75,Tablo2[[#This Row],[ÇAP mm]]*0.01/2,"Anlaşmaya bağlıdır.")</f>
        <v/>
      </c>
      <c r="AC46" s="520">
        <f>IF(Tablo2[[#This Row],[ÇAP mm]]/Tablo2[[#This Row],[Et Kalınlığı 2]]&lt;75,Tablo2[[#This Row],[ÇAP mm]]*0.015,"Anlaşmaya bağlıdır.")</f>
        <v/>
      </c>
      <c r="AD46" s="520">
        <f>IF(Tablo2[[#This Row],[ÇAP mm]]/Tablo2[[#This Row],[Et Kalınlığı 3]]&lt;75,Tablo2[[#This Row],[ÇAP mm]]*0.01/2,"Anlaşmaya bağlıdır.")</f>
        <v/>
      </c>
      <c r="AE46" s="520">
        <f>IF(Tablo2[[#This Row],[ÇAP mm]]/Tablo2[[#This Row],[Et Kalınlığı 3]]&lt;75,Tablo2[[#This Row],[ÇAP mm]]*0.015,"Anlaşmaya bağlıdır.")</f>
        <v/>
      </c>
      <c r="AF46" s="520">
        <f>IF(Tablo2[[#This Row],[ÇAP mm]]/Tablo2[[#This Row],[Et Kalınlığı 4]]&lt;75,Tablo2[[#This Row],[ÇAP mm]]*0.015/2,"Anlaşmaya bağlıdır.")</f>
        <v/>
      </c>
      <c r="AG46" s="64">
        <f>IF(Tablo2[[#This Row],[ÇAP mm]]/Tablo2[[#This Row],[Et Kalınlığı 4]]&lt;75,Tablo2[[#This Row],[ÇAP mm]]*0.015,"Anlaşmaya bağlıdır.")</f>
        <v/>
      </c>
      <c r="AH46" s="520">
        <f>IF(Tablo2[[#This Row],[ÇAP mm]]/Tablo2[[#This Row],[Et Kalınlığı 4]]&lt;75,Tablo2[[#This Row],[ÇAP mm]]*0.015/2,"Anlaşmaya bağlıdır.")</f>
        <v/>
      </c>
      <c r="AI46" s="520">
        <f>IF(Tablo2[[#This Row],[ÇAP mm]]/Tablo2[[#This Row],[Et Kalınlığı 5]]&lt;75,Tablo2[[#This Row],[ÇAP mm]]*0.015,"Anlaşmaya bağlıdır.")</f>
        <v/>
      </c>
      <c r="AJ46" s="11">
        <f>IF(40*Tablo2[[#This Row],[Et Kalınlığı ]]&lt;485,Tablo2[[#This Row],[Et Kalınlığı ]]*40,485)</f>
        <v/>
      </c>
      <c r="AK46" s="5">
        <f>1940*POWER(ROUND(AJ46,-1),0.2)/POWER(Tablo2[[#This Row],[Tensile Mpa]],0.9)</f>
        <v/>
      </c>
      <c r="AL46" s="5">
        <f>IF(40*Tablo2[[#This Row],[Et Kalınlığı 2]]&lt;485,Tablo2[[#This Row],[Et Kalınlığı ]]*40,485)</f>
        <v/>
      </c>
      <c r="AM46" s="5">
        <f>1940*POWER(ROUND(Tablo1[[#This Row],[Axc mm22]],-1),0.2)/POWER(Tablo2[[#This Row],[Tensile Mpa]],0.9)</f>
        <v/>
      </c>
      <c r="AN46" s="5">
        <f>IF(40*Tablo2[[#This Row],[Et Kalınlığı 3]]&lt;485,Tablo2[[#This Row],[Et Kalınlığı ]]*40,485)</f>
        <v/>
      </c>
      <c r="AO46" s="5">
        <f>1940*POWER(ROUND(Tablo1[[#This Row],[Axc mm23]],-1),0.2)/POWER(Tablo2[[#This Row],[Tensile Mpa]],0.9)</f>
        <v/>
      </c>
      <c r="AP46" s="5">
        <f>IF(40*Tablo2[[#This Row],[Et Kalınlığı 4]]&lt;485,Tablo2[[#This Row],[Et Kalınlığı 4]]*40,485)</f>
        <v/>
      </c>
      <c r="AQ46" s="12">
        <f>1940*POWER(ROUND(Tablo1[[#This Row],[Axc mm24]],-1),0.2)/POWER(Tablo2[[#This Row],[Tensile Mpa]],0.9)</f>
        <v/>
      </c>
      <c r="AR46" s="5">
        <f>IF(40*Tablo2[[#This Row],[Et Kalınlığı 5]]&lt;485,Tablo2[[#This Row],[Et Kalınlığı 4]]*40,485)</f>
        <v/>
      </c>
      <c r="AS46" s="64">
        <f>1940*POWER(ROUND(Tablo1[[#This Row],[Axc mm25]],-1),0.2)/POWER(Tablo2[[#This Row],[Tensile Mpa]],0.9)</f>
        <v/>
      </c>
    </row>
    <row r="47">
      <c r="B47" s="43" t="inlineStr">
        <is>
          <t>42"</t>
        </is>
      </c>
      <c r="C47" s="1100" t="n">
        <v>1067</v>
      </c>
      <c r="D47" s="1100" t="inlineStr">
        <is>
          <t>X65</t>
        </is>
      </c>
      <c r="E47" s="44" t="n">
        <v>65300</v>
      </c>
      <c r="F47" s="45" t="n">
        <v>535</v>
      </c>
      <c r="G47" s="49" t="n">
        <v>12.7</v>
      </c>
      <c r="H47" s="59">
        <f>2*Tablo2[[#This Row],[SMYS Psi]]*Tablo2[[#This Row],[Et Kalınlığı ]]/Tablo2[[#This Row],[ÇAP mm]]/14.50377</f>
        <v/>
      </c>
      <c r="I47" s="514" t="n">
        <v>15.88</v>
      </c>
      <c r="J47" s="59">
        <f>2*Tablo2[[#This Row],[SMYS Psi]]*Tablo2[[#This Row],[Et Kalınlığı 2]]/Tablo2[[#This Row],[ÇAP mm]]/14.50377</f>
        <v/>
      </c>
      <c r="K47" s="514" t="n">
        <v>19.05</v>
      </c>
      <c r="L47" s="59">
        <f>2*Tablo2[[#This Row],[SMYS Psi]]*Tablo2[[#This Row],[Et Kalınlığı 3]]/Tablo2[[#This Row],[ÇAP mm]]/14.50377</f>
        <v/>
      </c>
      <c r="M47" s="514" t="n">
        <v>20.62</v>
      </c>
      <c r="N47" s="52">
        <f>2*Tablo2[[#This Row],[SMYS Psi]]*Tablo2[[#This Row],[Et Kalınlığı 4]]/Tablo2[[#This Row],[ÇAP mm]]/14.50377</f>
        <v/>
      </c>
      <c r="O47" s="514" t="n">
        <v>22.23</v>
      </c>
      <c r="P47" s="59">
        <f>2*Tablo2[[#This Row],[SMYS Psi]]*Tablo2[[#This Row],[Et Kalınlığı 5]]/Tablo2[[#This Row],[ÇAP mm]]/14.50377</f>
        <v/>
      </c>
      <c r="Q47" s="17">
        <f>Tablo2[[#This Row],[ÇAP mm]]+1.6</f>
        <v/>
      </c>
      <c r="R47" s="3">
        <f>Tablo2[[#This Row],[ÇAP mm]]-1.6</f>
        <v/>
      </c>
      <c r="S47" s="1100">
        <f>IF(Tablo2[[#This Row],[ÇAP mm]]*0.005-4&lt;0,Tablo2[[#This Row],[ÇAP mm]]*1.005,Tablo2[[#This Row],[ÇAP mm]]+4)</f>
        <v/>
      </c>
      <c r="T47" s="18">
        <f>IF(Tablo2[[#This Row],[ÇAP mm]]*0.005-4&lt;0,Tablo2[[#This Row],[ÇAP mm]]*0.995,Tablo2[[#This Row],[ÇAP mm]]-4)</f>
        <v/>
      </c>
      <c r="U47" s="173">
        <f>Tablo2[[#This Row],[ÇAP mm]]/Tablo2[[#This Row],[Et Kalınlığı ]]</f>
        <v/>
      </c>
      <c r="V47" s="60">
        <f>Tablo2[[#This Row],[ÇAP mm]]/Tablo2[[#This Row],[Et Kalınlığı 2]]</f>
        <v/>
      </c>
      <c r="W47" s="60">
        <f>Tablo2[[#This Row],[ÇAP mm]]/Tablo2[[#This Row],[Et Kalınlığı 3]]</f>
        <v/>
      </c>
      <c r="X47" s="61">
        <f>Tablo2[[#This Row],[ÇAP mm]]/Tablo2[[#This Row],[Et Kalınlığı 4]]</f>
        <v/>
      </c>
      <c r="Y47" s="174">
        <f>Tablo2[[#This Row],[ÇAP mm]]/Tablo2[[#This Row],[Et Kalınlığı 5]]</f>
        <v/>
      </c>
      <c r="Z47">
        <f>IF(Tablo2[[#This Row],[ÇAP mm]]/Tablo2[[#This Row],[Et Kalınlığı ]]&lt;75,Tablo2[[#This Row],[ÇAP mm]]*0.01/2,"Anlaşmaya bağlıdır.")</f>
        <v/>
      </c>
      <c r="AA47">
        <f>IF(Tablo2[[#This Row],[ÇAP mm]]/Tablo2[[#This Row],[Et Kalınlığı ]]&lt;75,Tablo2[[#This Row],[ÇAP mm]]*0.015/2,"Anlaşmaya bağlıdır.")</f>
        <v/>
      </c>
      <c r="AB47" s="520">
        <f>IF(Tablo2[[#This Row],[ÇAP mm]]/Tablo2[[#This Row],[Et Kalınlığı 2]]&lt;75,Tablo2[[#This Row],[ÇAP mm]]*0.01/2,"Anlaşmaya bağlıdır.")</f>
        <v/>
      </c>
      <c r="AC47" s="520">
        <f>IF(Tablo2[[#This Row],[ÇAP mm]]/Tablo2[[#This Row],[Et Kalınlığı 2]]&lt;75,Tablo2[[#This Row],[ÇAP mm]]*0.015,"Anlaşmaya bağlıdır.")</f>
        <v/>
      </c>
      <c r="AD47" s="520">
        <f>IF(Tablo2[[#This Row],[ÇAP mm]]/Tablo2[[#This Row],[Et Kalınlığı 3]]&lt;75,Tablo2[[#This Row],[ÇAP mm]]*0.01/2,"Anlaşmaya bağlıdır.")</f>
        <v/>
      </c>
      <c r="AE47" s="520">
        <f>IF(Tablo2[[#This Row],[ÇAP mm]]/Tablo2[[#This Row],[Et Kalınlığı 3]]&lt;75,Tablo2[[#This Row],[ÇAP mm]]*0.015,"Anlaşmaya bağlıdır.")</f>
        <v/>
      </c>
      <c r="AF47" s="520">
        <f>IF(Tablo2[[#This Row],[ÇAP mm]]/Tablo2[[#This Row],[Et Kalınlığı 4]]&lt;75,Tablo2[[#This Row],[ÇAP mm]]*0.015/2,"Anlaşmaya bağlıdır.")</f>
        <v/>
      </c>
      <c r="AG47" s="64">
        <f>IF(Tablo2[[#This Row],[ÇAP mm]]/Tablo2[[#This Row],[Et Kalınlığı 4]]&lt;75,Tablo2[[#This Row],[ÇAP mm]]*0.015,"Anlaşmaya bağlıdır.")</f>
        <v/>
      </c>
      <c r="AH47" s="520">
        <f>IF(Tablo2[[#This Row],[ÇAP mm]]/Tablo2[[#This Row],[Et Kalınlığı 4]]&lt;75,Tablo2[[#This Row],[ÇAP mm]]*0.015/2,"Anlaşmaya bağlıdır.")</f>
        <v/>
      </c>
      <c r="AI47" s="520">
        <f>IF(Tablo2[[#This Row],[ÇAP mm]]/Tablo2[[#This Row],[Et Kalınlığı 5]]&lt;75,Tablo2[[#This Row],[ÇAP mm]]*0.015,"Anlaşmaya bağlıdır.")</f>
        <v/>
      </c>
      <c r="AJ47" s="11">
        <f>IF(40*Tablo2[[#This Row],[Et Kalınlığı ]]&lt;485,Tablo2[[#This Row],[Et Kalınlığı ]]*40,485)</f>
        <v/>
      </c>
      <c r="AK47" s="5">
        <f>1940*POWER(ROUND(AJ47,-1),0.2)/POWER(Tablo2[[#This Row],[Tensile Mpa]],0.9)</f>
        <v/>
      </c>
      <c r="AL47" s="5">
        <f>IF(40*Tablo2[[#This Row],[Et Kalınlığı 2]]&lt;485,Tablo2[[#This Row],[Et Kalınlığı ]]*40,485)</f>
        <v/>
      </c>
      <c r="AM47" s="5">
        <f>1940*POWER(ROUND(Tablo1[[#This Row],[Axc mm22]],-1),0.2)/POWER(Tablo2[[#This Row],[Tensile Mpa]],0.9)</f>
        <v/>
      </c>
      <c r="AN47" s="5">
        <f>IF(40*Tablo2[[#This Row],[Et Kalınlığı 3]]&lt;485,Tablo2[[#This Row],[Et Kalınlığı ]]*40,485)</f>
        <v/>
      </c>
      <c r="AO47" s="5">
        <f>1940*POWER(ROUND(Tablo1[[#This Row],[Axc mm23]],-1),0.2)/POWER(Tablo2[[#This Row],[Tensile Mpa]],0.9)</f>
        <v/>
      </c>
      <c r="AP47" s="5">
        <f>IF(40*Tablo2[[#This Row],[Et Kalınlığı 4]]&lt;485,Tablo2[[#This Row],[Et Kalınlığı 4]]*40,485)</f>
        <v/>
      </c>
      <c r="AQ47" s="12">
        <f>1940*POWER(ROUND(Tablo1[[#This Row],[Axc mm24]],-1),0.2)/POWER(Tablo2[[#This Row],[Tensile Mpa]],0.9)</f>
        <v/>
      </c>
      <c r="AR47" s="5">
        <f>IF(40*Tablo2[[#This Row],[Et Kalınlığı 5]]&lt;485,Tablo2[[#This Row],[Et Kalınlığı 4]]*40,485)</f>
        <v/>
      </c>
      <c r="AS47" s="64">
        <f>1940*POWER(ROUND(Tablo1[[#This Row],[Axc mm25]],-1),0.2)/POWER(Tablo2[[#This Row],[Tensile Mpa]],0.9)</f>
        <v/>
      </c>
    </row>
    <row r="48">
      <c r="B48" s="43" t="inlineStr">
        <is>
          <t>44"</t>
        </is>
      </c>
      <c r="C48" s="1100" t="n">
        <v>1118</v>
      </c>
      <c r="D48" s="1100" t="inlineStr">
        <is>
          <t>X65</t>
        </is>
      </c>
      <c r="E48" s="44" t="n">
        <v>65300</v>
      </c>
      <c r="F48" s="45" t="n">
        <v>535</v>
      </c>
      <c r="G48" s="49" t="n">
        <v>14.27</v>
      </c>
      <c r="H48" s="59">
        <f>2*Tablo2[[#This Row],[SMYS Psi]]*Tablo2[[#This Row],[Et Kalınlığı ]]/Tablo2[[#This Row],[ÇAP mm]]/14.50377</f>
        <v/>
      </c>
      <c r="I48" s="514" t="n">
        <v>15.88</v>
      </c>
      <c r="J48" s="59">
        <f>2*Tablo2[[#This Row],[SMYS Psi]]*Tablo2[[#This Row],[Et Kalınlığı 2]]/Tablo2[[#This Row],[ÇAP mm]]/14.50377</f>
        <v/>
      </c>
      <c r="K48" s="514" t="n">
        <v>19.05</v>
      </c>
      <c r="L48" s="59">
        <f>2*Tablo2[[#This Row],[SMYS Psi]]*Tablo2[[#This Row],[Et Kalınlığı 3]]/Tablo2[[#This Row],[ÇAP mm]]/14.50377</f>
        <v/>
      </c>
      <c r="M48" s="514" t="n">
        <v>20.62</v>
      </c>
      <c r="N48" s="52">
        <f>2*Tablo2[[#This Row],[SMYS Psi]]*Tablo2[[#This Row],[Et Kalınlığı 4]]/Tablo2[[#This Row],[ÇAP mm]]/14.50377</f>
        <v/>
      </c>
      <c r="O48" s="514" t="n">
        <v>22.23</v>
      </c>
      <c r="P48" s="59">
        <f>2*Tablo2[[#This Row],[SMYS Psi]]*Tablo2[[#This Row],[Et Kalınlığı 5]]/Tablo2[[#This Row],[ÇAP mm]]/14.50377</f>
        <v/>
      </c>
      <c r="Q48" s="17">
        <f>Tablo2[[#This Row],[ÇAP mm]]+1.6</f>
        <v/>
      </c>
      <c r="R48" s="3">
        <f>Tablo2[[#This Row],[ÇAP mm]]-1.6</f>
        <v/>
      </c>
      <c r="S48" s="1100">
        <f>IF(Tablo2[[#This Row],[ÇAP mm]]*0.005-4&lt;0,Tablo2[[#This Row],[ÇAP mm]]*1.005,Tablo2[[#This Row],[ÇAP mm]]+4)</f>
        <v/>
      </c>
      <c r="T48" s="18">
        <f>IF(Tablo2[[#This Row],[ÇAP mm]]*0.005-4&lt;0,Tablo2[[#This Row],[ÇAP mm]]*0.995,Tablo2[[#This Row],[ÇAP mm]]-4)</f>
        <v/>
      </c>
      <c r="U48" s="173">
        <f>Tablo2[[#This Row],[ÇAP mm]]/Tablo2[[#This Row],[Et Kalınlığı ]]</f>
        <v/>
      </c>
      <c r="V48" s="60">
        <f>Tablo2[[#This Row],[ÇAP mm]]/Tablo2[[#This Row],[Et Kalınlığı 2]]</f>
        <v/>
      </c>
      <c r="W48" s="60">
        <f>Tablo2[[#This Row],[ÇAP mm]]/Tablo2[[#This Row],[Et Kalınlığı 3]]</f>
        <v/>
      </c>
      <c r="X48" s="61">
        <f>Tablo2[[#This Row],[ÇAP mm]]/Tablo2[[#This Row],[Et Kalınlığı 4]]</f>
        <v/>
      </c>
      <c r="Y48" s="174">
        <f>Tablo2[[#This Row],[ÇAP mm]]/Tablo2[[#This Row],[Et Kalınlığı 5]]</f>
        <v/>
      </c>
      <c r="Z48">
        <f>IF(Tablo2[[#This Row],[ÇAP mm]]/Tablo2[[#This Row],[Et Kalınlığı ]]&lt;75,Tablo2[[#This Row],[ÇAP mm]]*0.01/2,"Anlaşmaya bağlıdır.")</f>
        <v/>
      </c>
      <c r="AA48">
        <f>IF(Tablo2[[#This Row],[ÇAP mm]]/Tablo2[[#This Row],[Et Kalınlığı ]]&lt;75,Tablo2[[#This Row],[ÇAP mm]]*0.015/2,"Anlaşmaya bağlıdır.")</f>
        <v/>
      </c>
      <c r="AB48" s="520">
        <f>IF(Tablo2[[#This Row],[ÇAP mm]]/Tablo2[[#This Row],[Et Kalınlığı 2]]&lt;75,Tablo2[[#This Row],[ÇAP mm]]*0.01/2,"Anlaşmaya bağlıdır.")</f>
        <v/>
      </c>
      <c r="AC48" s="520">
        <f>IF(Tablo2[[#This Row],[ÇAP mm]]/Tablo2[[#This Row],[Et Kalınlığı 2]]&lt;75,Tablo2[[#This Row],[ÇAP mm]]*0.015,"Anlaşmaya bağlıdır.")</f>
        <v/>
      </c>
      <c r="AD48" s="520">
        <f>IF(Tablo2[[#This Row],[ÇAP mm]]/Tablo2[[#This Row],[Et Kalınlığı 3]]&lt;75,Tablo2[[#This Row],[ÇAP mm]]*0.01/2,"Anlaşmaya bağlıdır.")</f>
        <v/>
      </c>
      <c r="AE48" s="520">
        <f>IF(Tablo2[[#This Row],[ÇAP mm]]/Tablo2[[#This Row],[Et Kalınlığı 3]]&lt;75,Tablo2[[#This Row],[ÇAP mm]]*0.015,"Anlaşmaya bağlıdır.")</f>
        <v/>
      </c>
      <c r="AF48" s="520">
        <f>IF(Tablo2[[#This Row],[ÇAP mm]]/Tablo2[[#This Row],[Et Kalınlığı 4]]&lt;75,Tablo2[[#This Row],[ÇAP mm]]*0.015/2,"Anlaşmaya bağlıdır.")</f>
        <v/>
      </c>
      <c r="AG48" s="64">
        <f>IF(Tablo2[[#This Row],[ÇAP mm]]/Tablo2[[#This Row],[Et Kalınlığı 4]]&lt;75,Tablo2[[#This Row],[ÇAP mm]]*0.015,"Anlaşmaya bağlıdır.")</f>
        <v/>
      </c>
      <c r="AH48" s="520">
        <f>IF(Tablo2[[#This Row],[ÇAP mm]]/Tablo2[[#This Row],[Et Kalınlığı 4]]&lt;75,Tablo2[[#This Row],[ÇAP mm]]*0.015/2,"Anlaşmaya bağlıdır.")</f>
        <v/>
      </c>
      <c r="AI48" s="520">
        <f>IF(Tablo2[[#This Row],[ÇAP mm]]/Tablo2[[#This Row],[Et Kalınlığı 5]]&lt;75,Tablo2[[#This Row],[ÇAP mm]]*0.015,"Anlaşmaya bağlıdır.")</f>
        <v/>
      </c>
      <c r="AJ48" s="11">
        <f>IF(40*Tablo2[[#This Row],[Et Kalınlığı ]]&lt;485,Tablo2[[#This Row],[Et Kalınlığı ]]*40,485)</f>
        <v/>
      </c>
      <c r="AK48" s="5">
        <f>1940*POWER(ROUND(AJ48,-1),0.2)/POWER(Tablo2[[#This Row],[Tensile Mpa]],0.9)</f>
        <v/>
      </c>
      <c r="AL48" s="5">
        <f>IF(40*Tablo2[[#This Row],[Et Kalınlığı 2]]&lt;485,Tablo2[[#This Row],[Et Kalınlığı ]]*40,485)</f>
        <v/>
      </c>
      <c r="AM48" s="5">
        <f>1940*POWER(ROUND(Tablo1[[#This Row],[Axc mm22]],-1),0.2)/POWER(Tablo2[[#This Row],[Tensile Mpa]],0.9)</f>
        <v/>
      </c>
      <c r="AN48" s="5">
        <f>IF(40*Tablo2[[#This Row],[Et Kalınlığı 3]]&lt;485,Tablo2[[#This Row],[Et Kalınlığı ]]*40,485)</f>
        <v/>
      </c>
      <c r="AO48" s="5">
        <f>1940*POWER(ROUND(Tablo1[[#This Row],[Axc mm23]],-1),0.2)/POWER(Tablo2[[#This Row],[Tensile Mpa]],0.9)</f>
        <v/>
      </c>
      <c r="AP48" s="5">
        <f>IF(40*Tablo2[[#This Row],[Et Kalınlığı 4]]&lt;485,Tablo2[[#This Row],[Et Kalınlığı 4]]*40,485)</f>
        <v/>
      </c>
      <c r="AQ48" s="12">
        <f>1940*POWER(ROUND(Tablo1[[#This Row],[Axc mm24]],-1),0.2)/POWER(Tablo2[[#This Row],[Tensile Mpa]],0.9)</f>
        <v/>
      </c>
      <c r="AR48" s="5">
        <f>IF(40*Tablo2[[#This Row],[Et Kalınlığı 5]]&lt;485,Tablo2[[#This Row],[Et Kalınlığı 4]]*40,485)</f>
        <v/>
      </c>
      <c r="AS48" s="64">
        <f>1940*POWER(ROUND(Tablo1[[#This Row],[Axc mm25]],-1),0.2)/POWER(Tablo2[[#This Row],[Tensile Mpa]],0.9)</f>
        <v/>
      </c>
    </row>
    <row r="49">
      <c r="B49" s="43" t="inlineStr">
        <is>
          <t>46"</t>
        </is>
      </c>
      <c r="C49" s="1100" t="n">
        <v>1168</v>
      </c>
      <c r="D49" s="1100" t="inlineStr">
        <is>
          <t>X65</t>
        </is>
      </c>
      <c r="E49" s="44" t="n">
        <v>65300</v>
      </c>
      <c r="F49" s="45" t="n">
        <v>535</v>
      </c>
      <c r="G49" s="49" t="n">
        <v>14.27</v>
      </c>
      <c r="H49" s="59">
        <f>2*Tablo2[[#This Row],[SMYS Psi]]*Tablo2[[#This Row],[Et Kalınlığı ]]/Tablo2[[#This Row],[ÇAP mm]]/14.50377</f>
        <v/>
      </c>
      <c r="I49" s="514" t="n">
        <v>17.48</v>
      </c>
      <c r="J49" s="59">
        <f>2*Tablo2[[#This Row],[SMYS Psi]]*Tablo2[[#This Row],[Et Kalınlığı 2]]/Tablo2[[#This Row],[ÇAP mm]]/14.50377</f>
        <v/>
      </c>
      <c r="K49" s="514" t="n">
        <v>20.62</v>
      </c>
      <c r="L49" s="59">
        <f>2*Tablo2[[#This Row],[SMYS Psi]]*Tablo2[[#This Row],[Et Kalınlığı 3]]/Tablo2[[#This Row],[ÇAP mm]]/14.50377</f>
        <v/>
      </c>
      <c r="M49" s="514" t="n">
        <v>22.23</v>
      </c>
      <c r="N49" s="52">
        <f>2*Tablo2[[#This Row],[SMYS Psi]]*Tablo2[[#This Row],[Et Kalınlığı 4]]/Tablo2[[#This Row],[ÇAP mm]]/14.50377</f>
        <v/>
      </c>
      <c r="O49" s="514" t="n">
        <v>23.83</v>
      </c>
      <c r="P49" s="59">
        <f>2*Tablo2[[#This Row],[SMYS Psi]]*Tablo2[[#This Row],[Et Kalınlığı 5]]/Tablo2[[#This Row],[ÇAP mm]]/14.50377</f>
        <v/>
      </c>
      <c r="Q49" s="17">
        <f>Tablo2[[#This Row],[ÇAP mm]]+1.6</f>
        <v/>
      </c>
      <c r="R49" s="3">
        <f>Tablo2[[#This Row],[ÇAP mm]]-1.6</f>
        <v/>
      </c>
      <c r="S49" s="1100">
        <f>IF(Tablo2[[#This Row],[ÇAP mm]]*0.005-4&lt;0,Tablo2[[#This Row],[ÇAP mm]]*1.005,Tablo2[[#This Row],[ÇAP mm]]+4)</f>
        <v/>
      </c>
      <c r="T49" s="18">
        <f>IF(Tablo2[[#This Row],[ÇAP mm]]*0.005-4&lt;0,Tablo2[[#This Row],[ÇAP mm]]*0.995,Tablo2[[#This Row],[ÇAP mm]]-4)</f>
        <v/>
      </c>
      <c r="U49" s="173">
        <f>Tablo2[[#This Row],[ÇAP mm]]/Tablo2[[#This Row],[Et Kalınlığı ]]</f>
        <v/>
      </c>
      <c r="V49" s="60">
        <f>Tablo2[[#This Row],[ÇAP mm]]/Tablo2[[#This Row],[Et Kalınlığı 2]]</f>
        <v/>
      </c>
      <c r="W49" s="60">
        <f>Tablo2[[#This Row],[ÇAP mm]]/Tablo2[[#This Row],[Et Kalınlığı 3]]</f>
        <v/>
      </c>
      <c r="X49" s="61">
        <f>Tablo2[[#This Row],[ÇAP mm]]/Tablo2[[#This Row],[Et Kalınlığı 4]]</f>
        <v/>
      </c>
      <c r="Y49" s="174">
        <f>Tablo2[[#This Row],[ÇAP mm]]/Tablo2[[#This Row],[Et Kalınlığı 5]]</f>
        <v/>
      </c>
      <c r="Z49">
        <f>IF(Tablo2[[#This Row],[ÇAP mm]]/Tablo2[[#This Row],[Et Kalınlığı ]]&lt;75,Tablo2[[#This Row],[ÇAP mm]]*0.01/2,"Anlaşmaya bağlıdır.")</f>
        <v/>
      </c>
      <c r="AA49">
        <f>IF(Tablo2[[#This Row],[ÇAP mm]]/Tablo2[[#This Row],[Et Kalınlığı ]]&lt;75,Tablo2[[#This Row],[ÇAP mm]]*0.015/2,"Anlaşmaya bağlıdır.")</f>
        <v/>
      </c>
      <c r="AB49" s="520">
        <f>IF(Tablo2[[#This Row],[ÇAP mm]]/Tablo2[[#This Row],[Et Kalınlığı 2]]&lt;75,Tablo2[[#This Row],[ÇAP mm]]*0.01/2,"Anlaşmaya bağlıdır.")</f>
        <v/>
      </c>
      <c r="AC49" s="520">
        <f>IF(Tablo2[[#This Row],[ÇAP mm]]/Tablo2[[#This Row],[Et Kalınlığı 2]]&lt;75,Tablo2[[#This Row],[ÇAP mm]]*0.015,"Anlaşmaya bağlıdır.")</f>
        <v/>
      </c>
      <c r="AD49" s="520">
        <f>IF(Tablo2[[#This Row],[ÇAP mm]]/Tablo2[[#This Row],[Et Kalınlığı 3]]&lt;75,Tablo2[[#This Row],[ÇAP mm]]*0.01/2,"Anlaşmaya bağlıdır.")</f>
        <v/>
      </c>
      <c r="AE49" s="520">
        <f>IF(Tablo2[[#This Row],[ÇAP mm]]/Tablo2[[#This Row],[Et Kalınlığı 3]]&lt;75,Tablo2[[#This Row],[ÇAP mm]]*0.015,"Anlaşmaya bağlıdır.")</f>
        <v/>
      </c>
      <c r="AF49" s="520">
        <f>IF(Tablo2[[#This Row],[ÇAP mm]]/Tablo2[[#This Row],[Et Kalınlığı 4]]&lt;75,Tablo2[[#This Row],[ÇAP mm]]*0.015/2,"Anlaşmaya bağlıdır.")</f>
        <v/>
      </c>
      <c r="AG49" s="64">
        <f>IF(Tablo2[[#This Row],[ÇAP mm]]/Tablo2[[#This Row],[Et Kalınlığı 4]]&lt;75,Tablo2[[#This Row],[ÇAP mm]]*0.015,"Anlaşmaya bağlıdır.")</f>
        <v/>
      </c>
      <c r="AH49" s="520">
        <f>IF(Tablo2[[#This Row],[ÇAP mm]]/Tablo2[[#This Row],[Et Kalınlığı 4]]&lt;75,Tablo2[[#This Row],[ÇAP mm]]*0.015/2,"Anlaşmaya bağlıdır.")</f>
        <v/>
      </c>
      <c r="AI49" s="520">
        <f>IF(Tablo2[[#This Row],[ÇAP mm]]/Tablo2[[#This Row],[Et Kalınlığı 5]]&lt;75,Tablo2[[#This Row],[ÇAP mm]]*0.015,"Anlaşmaya bağlıdır.")</f>
        <v/>
      </c>
      <c r="AJ49" s="11">
        <f>IF(40*Tablo2[[#This Row],[Et Kalınlığı ]]&lt;485,Tablo2[[#This Row],[Et Kalınlığı ]]*40,485)</f>
        <v/>
      </c>
      <c r="AK49" s="5">
        <f>1940*POWER(ROUND(AJ49,-1),0.2)/POWER(Tablo2[[#This Row],[Tensile Mpa]],0.9)</f>
        <v/>
      </c>
      <c r="AL49" s="5">
        <f>IF(40*Tablo2[[#This Row],[Et Kalınlığı 2]]&lt;485,Tablo2[[#This Row],[Et Kalınlığı ]]*40,485)</f>
        <v/>
      </c>
      <c r="AM49" s="5">
        <f>1940*POWER(ROUND(Tablo1[[#This Row],[Axc mm22]],-1),0.2)/POWER(Tablo2[[#This Row],[Tensile Mpa]],0.9)</f>
        <v/>
      </c>
      <c r="AN49" s="5">
        <f>IF(40*Tablo2[[#This Row],[Et Kalınlığı 3]]&lt;485,Tablo2[[#This Row],[Et Kalınlığı ]]*40,485)</f>
        <v/>
      </c>
      <c r="AO49" s="5">
        <f>1940*POWER(ROUND(Tablo1[[#This Row],[Axc mm23]],-1),0.2)/POWER(Tablo2[[#This Row],[Tensile Mpa]],0.9)</f>
        <v/>
      </c>
      <c r="AP49" s="5">
        <f>IF(40*Tablo2[[#This Row],[Et Kalınlığı 4]]&lt;485,Tablo2[[#This Row],[Et Kalınlığı 4]]*40,485)</f>
        <v/>
      </c>
      <c r="AQ49" s="12">
        <f>1940*POWER(ROUND(Tablo1[[#This Row],[Axc mm24]],-1),0.2)/POWER(Tablo2[[#This Row],[Tensile Mpa]],0.9)</f>
        <v/>
      </c>
      <c r="AR49" s="5">
        <f>IF(40*Tablo2[[#This Row],[Et Kalınlığı 5]]&lt;485,Tablo2[[#This Row],[Et Kalınlığı 4]]*40,485)</f>
        <v/>
      </c>
      <c r="AS49" s="64">
        <f>1940*POWER(ROUND(Tablo1[[#This Row],[Axc mm25]],-1),0.2)/POWER(Tablo2[[#This Row],[Tensile Mpa]],0.9)</f>
        <v/>
      </c>
    </row>
    <row r="50">
      <c r="B50" s="43" t="inlineStr">
        <is>
          <t>48"</t>
        </is>
      </c>
      <c r="C50" s="1100" t="n">
        <v>1219</v>
      </c>
      <c r="D50" s="1100" t="inlineStr">
        <is>
          <t>X65</t>
        </is>
      </c>
      <c r="E50" s="44" t="n">
        <v>65300</v>
      </c>
      <c r="F50" s="45" t="n">
        <v>535</v>
      </c>
      <c r="G50" s="49" t="n">
        <v>14.27</v>
      </c>
      <c r="H50" s="59">
        <f>2*Tablo2[[#This Row],[SMYS Psi]]*Tablo2[[#This Row],[Et Kalınlığı ]]/Tablo2[[#This Row],[ÇAP mm]]/14.50377</f>
        <v/>
      </c>
      <c r="I50" s="514" t="n">
        <v>17.48</v>
      </c>
      <c r="J50" s="59">
        <f>2*Tablo2[[#This Row],[SMYS Psi]]*Tablo2[[#This Row],[Et Kalınlığı 2]]/Tablo2[[#This Row],[ÇAP mm]]/14.50377</f>
        <v/>
      </c>
      <c r="K50" s="514" t="n">
        <v>20.62</v>
      </c>
      <c r="L50" s="59">
        <f>2*Tablo2[[#This Row],[SMYS Psi]]*Tablo2[[#This Row],[Et Kalınlığı 3]]/Tablo2[[#This Row],[ÇAP mm]]/14.50377</f>
        <v/>
      </c>
      <c r="M50" s="514" t="n">
        <v>22.23</v>
      </c>
      <c r="N50" s="52">
        <f>2*Tablo2[[#This Row],[SMYS Psi]]*Tablo2[[#This Row],[Et Kalınlığı 4]]/Tablo2[[#This Row],[ÇAP mm]]/14.50377</f>
        <v/>
      </c>
      <c r="O50" s="514" t="n">
        <v>23.83</v>
      </c>
      <c r="P50" s="59">
        <f>2*Tablo2[[#This Row],[SMYS Psi]]*Tablo2[[#This Row],[Et Kalınlığı 5]]/Tablo2[[#This Row],[ÇAP mm]]/14.50377</f>
        <v/>
      </c>
      <c r="Q50" s="17">
        <f>Tablo2[[#This Row],[ÇAP mm]]+1.6</f>
        <v/>
      </c>
      <c r="R50" s="3">
        <f>Tablo2[[#This Row],[ÇAP mm]]-1.6</f>
        <v/>
      </c>
      <c r="S50" s="1100">
        <f>IF(Tablo2[[#This Row],[ÇAP mm]]*0.005-4&lt;0,Tablo2[[#This Row],[ÇAP mm]]*1.005,Tablo2[[#This Row],[ÇAP mm]]+4)</f>
        <v/>
      </c>
      <c r="T50" s="18">
        <f>IF(Tablo2[[#This Row],[ÇAP mm]]*0.005-4&lt;0,Tablo2[[#This Row],[ÇAP mm]]*0.995,Tablo2[[#This Row],[ÇAP mm]]-4)</f>
        <v/>
      </c>
      <c r="U50" s="173">
        <f>Tablo2[[#This Row],[ÇAP mm]]/Tablo2[[#This Row],[Et Kalınlığı ]]</f>
        <v/>
      </c>
      <c r="V50" s="60">
        <f>Tablo2[[#This Row],[ÇAP mm]]/Tablo2[[#This Row],[Et Kalınlığı 2]]</f>
        <v/>
      </c>
      <c r="W50" s="60">
        <f>Tablo2[[#This Row],[ÇAP mm]]/Tablo2[[#This Row],[Et Kalınlığı 3]]</f>
        <v/>
      </c>
      <c r="X50" s="61">
        <f>Tablo2[[#This Row],[ÇAP mm]]/Tablo2[[#This Row],[Et Kalınlığı 4]]</f>
        <v/>
      </c>
      <c r="Y50" s="174">
        <f>Tablo2[[#This Row],[ÇAP mm]]/Tablo2[[#This Row],[Et Kalınlığı 5]]</f>
        <v/>
      </c>
      <c r="Z50">
        <f>IF(Tablo2[[#This Row],[ÇAP mm]]/Tablo2[[#This Row],[Et Kalınlığı ]]&lt;75,Tablo2[[#This Row],[ÇAP mm]]*0.01/2,"Anlaşmaya bağlıdır.")</f>
        <v/>
      </c>
      <c r="AA50">
        <f>IF(Tablo2[[#This Row],[ÇAP mm]]/Tablo2[[#This Row],[Et Kalınlığı ]]&lt;75,Tablo2[[#This Row],[ÇAP mm]]*0.015/2,"Anlaşmaya bağlıdır.")</f>
        <v/>
      </c>
      <c r="AB50" s="520">
        <f>IF(Tablo2[[#This Row],[ÇAP mm]]/Tablo2[[#This Row],[Et Kalınlığı 2]]&lt;75,Tablo2[[#This Row],[ÇAP mm]]*0.01/2,"Anlaşmaya bağlıdır.")</f>
        <v/>
      </c>
      <c r="AC50" s="520">
        <f>IF(Tablo2[[#This Row],[ÇAP mm]]/Tablo2[[#This Row],[Et Kalınlığı 2]]&lt;75,Tablo2[[#This Row],[ÇAP mm]]*0.015,"Anlaşmaya bağlıdır.")</f>
        <v/>
      </c>
      <c r="AD50" s="520">
        <f>IF(Tablo2[[#This Row],[ÇAP mm]]/Tablo2[[#This Row],[Et Kalınlığı 3]]&lt;75,Tablo2[[#This Row],[ÇAP mm]]*0.01/2,"Anlaşmaya bağlıdır.")</f>
        <v/>
      </c>
      <c r="AE50" s="520">
        <f>IF(Tablo2[[#This Row],[ÇAP mm]]/Tablo2[[#This Row],[Et Kalınlığı 3]]&lt;75,Tablo2[[#This Row],[ÇAP mm]]*0.015,"Anlaşmaya bağlıdır.")</f>
        <v/>
      </c>
      <c r="AF50" s="520">
        <f>IF(Tablo2[[#This Row],[ÇAP mm]]/Tablo2[[#This Row],[Et Kalınlığı 4]]&lt;75,Tablo2[[#This Row],[ÇAP mm]]*0.015/2,"Anlaşmaya bağlıdır.")</f>
        <v/>
      </c>
      <c r="AG50" s="64">
        <f>IF(Tablo2[[#This Row],[ÇAP mm]]/Tablo2[[#This Row],[Et Kalınlığı 4]]&lt;75,Tablo2[[#This Row],[ÇAP mm]]*0.015,"Anlaşmaya bağlıdır.")</f>
        <v/>
      </c>
      <c r="AH50" s="520">
        <f>IF(Tablo2[[#This Row],[ÇAP mm]]/Tablo2[[#This Row],[Et Kalınlığı 4]]&lt;75,Tablo2[[#This Row],[ÇAP mm]]*0.015/2,"Anlaşmaya bağlıdır.")</f>
        <v/>
      </c>
      <c r="AI50" s="520">
        <f>IF(Tablo2[[#This Row],[ÇAP mm]]/Tablo2[[#This Row],[Et Kalınlığı 5]]&lt;75,Tablo2[[#This Row],[ÇAP mm]]*0.015,"Anlaşmaya bağlıdır.")</f>
        <v/>
      </c>
      <c r="AJ50" s="11">
        <f>IF(40*Tablo2[[#This Row],[Et Kalınlığı ]]&lt;485,Tablo2[[#This Row],[Et Kalınlığı ]]*40,485)</f>
        <v/>
      </c>
      <c r="AK50" s="5">
        <f>1940*POWER(ROUND(AJ50,-1),0.2)/POWER(Tablo2[[#This Row],[Tensile Mpa]],0.9)</f>
        <v/>
      </c>
      <c r="AL50" s="5">
        <f>IF(40*Tablo2[[#This Row],[Et Kalınlığı 2]]&lt;485,Tablo2[[#This Row],[Et Kalınlığı ]]*40,485)</f>
        <v/>
      </c>
      <c r="AM50" s="5">
        <f>1940*POWER(ROUND(Tablo1[[#This Row],[Axc mm22]],-1),0.2)/POWER(Tablo2[[#This Row],[Tensile Mpa]],0.9)</f>
        <v/>
      </c>
      <c r="AN50" s="5">
        <f>IF(40*Tablo2[[#This Row],[Et Kalınlığı 3]]&lt;485,Tablo2[[#This Row],[Et Kalınlığı ]]*40,485)</f>
        <v/>
      </c>
      <c r="AO50" s="5">
        <f>1940*POWER(ROUND(Tablo1[[#This Row],[Axc mm23]],-1),0.2)/POWER(Tablo2[[#This Row],[Tensile Mpa]],0.9)</f>
        <v/>
      </c>
      <c r="AP50" s="5">
        <f>IF(40*Tablo2[[#This Row],[Et Kalınlığı 4]]&lt;485,Tablo2[[#This Row],[Et Kalınlığı 4]]*40,485)</f>
        <v/>
      </c>
      <c r="AQ50" s="12">
        <f>1940*POWER(ROUND(Tablo1[[#This Row],[Axc mm24]],-1),0.2)/POWER(Tablo2[[#This Row],[Tensile Mpa]],0.9)</f>
        <v/>
      </c>
      <c r="AR50" s="5">
        <f>IF(40*Tablo2[[#This Row],[Et Kalınlığı 5]]&lt;485,Tablo2[[#This Row],[Et Kalınlığı 4]]*40,485)</f>
        <v/>
      </c>
      <c r="AS50" s="64">
        <f>1940*POWER(ROUND(Tablo1[[#This Row],[Axc mm25]],-1),0.2)/POWER(Tablo2[[#This Row],[Tensile Mpa]],0.9)</f>
        <v/>
      </c>
    </row>
    <row r="51" ht="15.75" customHeight="1" s="510" thickBot="1">
      <c r="B51" s="43" t="inlineStr">
        <is>
          <t>52"</t>
        </is>
      </c>
      <c r="C51" s="1100" t="n">
        <v>1321</v>
      </c>
      <c r="D51" s="1100" t="inlineStr">
        <is>
          <t>X65</t>
        </is>
      </c>
      <c r="E51" s="44" t="n">
        <v>65300</v>
      </c>
      <c r="F51" s="45" t="n">
        <v>535</v>
      </c>
      <c r="G51" s="49" t="n">
        <v>15.88</v>
      </c>
      <c r="H51" s="59" t="n">
        <v>108.2214245470888</v>
      </c>
      <c r="I51" s="514" t="n">
        <v>19.05</v>
      </c>
      <c r="J51" s="59" t="n">
        <v>129.8248197494989</v>
      </c>
      <c r="K51" s="514" t="n">
        <v>22.23</v>
      </c>
      <c r="L51" s="53" t="n">
        <v>151.4963644635885</v>
      </c>
      <c r="M51" s="514" t="n">
        <v>23.83</v>
      </c>
      <c r="N51" s="52" t="n">
        <v>162.4002863323128</v>
      </c>
      <c r="O51" s="56" t="n">
        <v>26.97</v>
      </c>
      <c r="P51" s="59">
        <f>2*Tablo2[[#This Row],[SMYS Psi]]*Tablo2[[#This Row],[Et Kalınlığı 5]]/Tablo2[[#This Row],[ÇAP mm]]/14.50377</f>
        <v/>
      </c>
      <c r="Q51" s="17">
        <f>Tablo2[[#This Row],[ÇAP mm]]+1.6</f>
        <v/>
      </c>
      <c r="R51" s="3">
        <f>Tablo2[[#This Row],[ÇAP mm]]-1.6</f>
        <v/>
      </c>
      <c r="S51" s="1100">
        <f>IF(Tablo2[[#This Row],[ÇAP mm]]*0.005-4&lt;0,Tablo2[[#This Row],[ÇAP mm]]*1.005,Tablo2[[#This Row],[ÇAP mm]]+4)</f>
        <v/>
      </c>
      <c r="T51" s="18">
        <f>IF(Tablo2[[#This Row],[ÇAP mm]]*0.005-4&lt;0,Tablo2[[#This Row],[ÇAP mm]]*0.995,Tablo2[[#This Row],[ÇAP mm]]-4)</f>
        <v/>
      </c>
      <c r="U51" s="173">
        <f>Tablo2[[#This Row],[ÇAP mm]]/Tablo2[[#This Row],[Et Kalınlığı ]]</f>
        <v/>
      </c>
      <c r="V51" s="60">
        <f>Tablo2[[#This Row],[ÇAP mm]]/Tablo2[[#This Row],[Et Kalınlığı 2]]</f>
        <v/>
      </c>
      <c r="W51" s="60">
        <f>Tablo2[[#This Row],[ÇAP mm]]/Tablo2[[#This Row],[Et Kalınlığı 3]]</f>
        <v/>
      </c>
      <c r="X51" s="61">
        <f>Tablo2[[#This Row],[ÇAP mm]]/Tablo2[[#This Row],[Et Kalınlığı 4]]</f>
        <v/>
      </c>
      <c r="Y51" s="174">
        <f>Tablo2[[#This Row],[ÇAP mm]]/Tablo2[[#This Row],[Et Kalınlığı 5]]</f>
        <v/>
      </c>
      <c r="Z51">
        <f>IF(Tablo2[[#This Row],[ÇAP mm]]/Tablo2[[#This Row],[Et Kalınlığı ]]&lt;75,Tablo2[[#This Row],[ÇAP mm]]*0.01/2,"Anlaşmaya bağlıdır.")</f>
        <v/>
      </c>
      <c r="AA51">
        <f>IF(Tablo2[[#This Row],[ÇAP mm]]/Tablo2[[#This Row],[Et Kalınlığı ]]&lt;75,Tablo2[[#This Row],[ÇAP mm]]*0.015/2,"Anlaşmaya bağlıdır.")</f>
        <v/>
      </c>
      <c r="AB51" s="520">
        <f>IF(Tablo2[[#This Row],[ÇAP mm]]/Tablo2[[#This Row],[Et Kalınlığı 2]]&lt;75,Tablo2[[#This Row],[ÇAP mm]]*0.01/2,"Anlaşmaya bağlıdır.")</f>
        <v/>
      </c>
      <c r="AC51" s="520">
        <f>IF(Tablo2[[#This Row],[ÇAP mm]]/Tablo2[[#This Row],[Et Kalınlığı 2]]&lt;75,Tablo2[[#This Row],[ÇAP mm]]*0.015,"Anlaşmaya bağlıdır.")</f>
        <v/>
      </c>
      <c r="AD51" s="520">
        <f>IF(Tablo2[[#This Row],[ÇAP mm]]/Tablo2[[#This Row],[Et Kalınlığı 3]]&lt;75,Tablo2[[#This Row],[ÇAP mm]]*0.01/2,"Anlaşmaya bağlıdır.")</f>
        <v/>
      </c>
      <c r="AE51" s="520">
        <f>IF(Tablo2[[#This Row],[ÇAP mm]]/Tablo2[[#This Row],[Et Kalınlığı 3]]&lt;75,Tablo2[[#This Row],[ÇAP mm]]*0.015,"Anlaşmaya bağlıdır.")</f>
        <v/>
      </c>
      <c r="AF51" s="520">
        <f>IF(Tablo2[[#This Row],[ÇAP mm]]/Tablo2[[#This Row],[Et Kalınlığı 4]]&lt;75,Tablo2[[#This Row],[ÇAP mm]]*0.015/2,"Anlaşmaya bağlıdır.")</f>
        <v/>
      </c>
      <c r="AG51" s="64">
        <f>IF(Tablo2[[#This Row],[ÇAP mm]]/Tablo2[[#This Row],[Et Kalınlığı 4]]&lt;75,Tablo2[[#This Row],[ÇAP mm]]*0.015,"Anlaşmaya bağlıdır.")</f>
        <v/>
      </c>
      <c r="AH51" s="520">
        <f>IF(Tablo2[[#This Row],[ÇAP mm]]/Tablo2[[#This Row],[Et Kalınlığı 4]]&lt;75,Tablo2[[#This Row],[ÇAP mm]]*0.015/2,"Anlaşmaya bağlıdır.")</f>
        <v/>
      </c>
      <c r="AI51" s="520">
        <f>IF(Tablo2[[#This Row],[ÇAP mm]]/Tablo2[[#This Row],[Et Kalınlığı 5]]&lt;75,Tablo2[[#This Row],[ÇAP mm]]*0.015,"Anlaşmaya bağlıdır.")</f>
        <v/>
      </c>
      <c r="AJ51" s="11">
        <f>IF(40*Tablo2[[#This Row],[Et Kalınlığı ]]&lt;485,Tablo2[[#This Row],[Et Kalınlığı ]]*40,485)</f>
        <v/>
      </c>
      <c r="AK51" s="5">
        <f>1940*POWER(ROUND(AJ51,-1),0.2)/POWER(Tablo2[[#This Row],[Tensile Mpa]],0.9)</f>
        <v/>
      </c>
      <c r="AL51" s="5">
        <f>IF(40*Tablo2[[#This Row],[Et Kalınlığı 2]]&lt;485,Tablo2[[#This Row],[Et Kalınlığı ]]*40,485)</f>
        <v/>
      </c>
      <c r="AM51" s="5">
        <f>1940*POWER(ROUND(Tablo1[[#This Row],[Axc mm22]],-1),0.2)/POWER(Tablo2[[#This Row],[Tensile Mpa]],0.9)</f>
        <v/>
      </c>
      <c r="AN51" s="5">
        <f>IF(40*Tablo2[[#This Row],[Et Kalınlığı 3]]&lt;485,Tablo2[[#This Row],[Et Kalınlığı ]]*40,485)</f>
        <v/>
      </c>
      <c r="AO51" s="5">
        <f>1940*POWER(ROUND(Tablo1[[#This Row],[Axc mm23]],-1),0.2)/POWER(Tablo2[[#This Row],[Tensile Mpa]],0.9)</f>
        <v/>
      </c>
      <c r="AP51" s="5">
        <f>IF(40*Tablo2[[#This Row],[Et Kalınlığı 4]]&lt;485,Tablo2[[#This Row],[Et Kalınlığı 4]]*40,485)</f>
        <v/>
      </c>
      <c r="AQ51" s="12">
        <f>1940*POWER(ROUND(Tablo1[[#This Row],[Axc mm24]],-1),0.2)/POWER(Tablo2[[#This Row],[Tensile Mpa]],0.9)</f>
        <v/>
      </c>
      <c r="AR51" s="5">
        <f>IF(40*Tablo2[[#This Row],[Et Kalınlığı 5]]&lt;485,Tablo2[[#This Row],[Et Kalınlığı 4]]*40,485)</f>
        <v/>
      </c>
      <c r="AS51" s="64">
        <f>1940*POWER(ROUND(Tablo1[[#This Row],[Axc mm25]],-1),0.2)/POWER(Tablo2[[#This Row],[Tensile Mpa]],0.9)</f>
        <v/>
      </c>
    </row>
    <row r="52">
      <c r="B52" s="43" t="inlineStr">
        <is>
          <t>56"</t>
        </is>
      </c>
      <c r="C52" s="1100" t="n">
        <v>1422</v>
      </c>
      <c r="D52" s="1100" t="inlineStr">
        <is>
          <t>X65</t>
        </is>
      </c>
      <c r="E52" s="44" t="n">
        <v>65300</v>
      </c>
      <c r="F52" s="45" t="n">
        <v>535</v>
      </c>
      <c r="G52" s="49" t="n">
        <v>17.48</v>
      </c>
      <c r="H52" s="59" t="n">
        <v>110.6642634425381</v>
      </c>
      <c r="I52" s="514" t="n">
        <v>20.62</v>
      </c>
      <c r="J52" s="59" t="n">
        <v>130.5433130540696</v>
      </c>
      <c r="K52" s="514" t="n">
        <v>23.83</v>
      </c>
      <c r="L52" s="53" t="n">
        <v>150.8655261919727</v>
      </c>
      <c r="M52" s="514" t="n">
        <v>25.4</v>
      </c>
      <c r="N52" s="52" t="n">
        <v>160.8050509977384</v>
      </c>
      <c r="O52" s="53" t="n">
        <v>28.58</v>
      </c>
      <c r="P52" s="59">
        <f>2*Tablo2[[#This Row],[SMYS Psi]]*Tablo2[[#This Row],[Et Kalınlığı 5]]/Tablo2[[#This Row],[ÇAP mm]]/14.50377</f>
        <v/>
      </c>
      <c r="Q52" s="17">
        <f>Tablo2[[#This Row],[ÇAP mm]]+1.6</f>
        <v/>
      </c>
      <c r="R52" s="3">
        <f>Tablo2[[#This Row],[ÇAP mm]]-1.6</f>
        <v/>
      </c>
      <c r="S52" s="1100">
        <f>IF(Tablo2[[#This Row],[ÇAP mm]]*0.005-4&lt;0,Tablo2[[#This Row],[ÇAP mm]]*1.005,Tablo2[[#This Row],[ÇAP mm]]+4)</f>
        <v/>
      </c>
      <c r="T52" s="18">
        <f>IF(Tablo2[[#This Row],[ÇAP mm]]*0.005-4&lt;0,Tablo2[[#This Row],[ÇAP mm]]*0.995,Tablo2[[#This Row],[ÇAP mm]]-4)</f>
        <v/>
      </c>
      <c r="U52" s="173">
        <f>Tablo2[[#This Row],[ÇAP mm]]/Tablo2[[#This Row],[Et Kalınlığı ]]</f>
        <v/>
      </c>
      <c r="V52" s="60">
        <f>Tablo2[[#This Row],[ÇAP mm]]/Tablo2[[#This Row],[Et Kalınlığı 2]]</f>
        <v/>
      </c>
      <c r="W52" s="60">
        <f>Tablo2[[#This Row],[ÇAP mm]]/Tablo2[[#This Row],[Et Kalınlığı 3]]</f>
        <v/>
      </c>
      <c r="X52" s="61">
        <f>Tablo2[[#This Row],[ÇAP mm]]/Tablo2[[#This Row],[Et Kalınlığı 4]]</f>
        <v/>
      </c>
      <c r="Y52" s="174">
        <f>Tablo2[[#This Row],[ÇAP mm]]/Tablo2[[#This Row],[Et Kalınlığı 5]]</f>
        <v/>
      </c>
      <c r="Z52">
        <f>IF(Tablo2[[#This Row],[ÇAP mm]]/Tablo2[[#This Row],[Et Kalınlığı ]]&lt;75,Tablo2[[#This Row],[ÇAP mm]]*0.01/2,"Anlaşmaya bağlıdır.")</f>
        <v/>
      </c>
      <c r="AA52">
        <f>IF(Tablo2[[#This Row],[ÇAP mm]]/Tablo2[[#This Row],[Et Kalınlığı ]]&lt;75,Tablo2[[#This Row],[ÇAP mm]]*0.015/2,"Anlaşmaya bağlıdır.")</f>
        <v/>
      </c>
      <c r="AB52" s="520">
        <f>IF(Tablo2[[#This Row],[ÇAP mm]]/Tablo2[[#This Row],[Et Kalınlığı 2]]&lt;75,Tablo2[[#This Row],[ÇAP mm]]*0.01/2,"Anlaşmaya bağlıdır.")</f>
        <v/>
      </c>
      <c r="AC52" s="520">
        <f>IF(Tablo2[[#This Row],[ÇAP mm]]/Tablo2[[#This Row],[Et Kalınlığı 2]]&lt;75,Tablo2[[#This Row],[ÇAP mm]]*0.015,"Anlaşmaya bağlıdır.")</f>
        <v/>
      </c>
      <c r="AD52" s="520">
        <f>IF(Tablo2[[#This Row],[ÇAP mm]]/Tablo2[[#This Row],[Et Kalınlığı 3]]&lt;75,Tablo2[[#This Row],[ÇAP mm]]*0.01/2,"Anlaşmaya bağlıdır.")</f>
        <v/>
      </c>
      <c r="AE52" s="520">
        <f>IF(Tablo2[[#This Row],[ÇAP mm]]/Tablo2[[#This Row],[Et Kalınlığı 3]]&lt;75,Tablo2[[#This Row],[ÇAP mm]]*0.015,"Anlaşmaya bağlıdır.")</f>
        <v/>
      </c>
      <c r="AF52" s="520">
        <f>IF(Tablo2[[#This Row],[ÇAP mm]]/Tablo2[[#This Row],[Et Kalınlığı 4]]&lt;75,Tablo2[[#This Row],[ÇAP mm]]*0.015/2,"Anlaşmaya bağlıdır.")</f>
        <v/>
      </c>
      <c r="AG52" s="64">
        <f>IF(Tablo2[[#This Row],[ÇAP mm]]/Tablo2[[#This Row],[Et Kalınlığı 4]]&lt;75,Tablo2[[#This Row],[ÇAP mm]]*0.015,"Anlaşmaya bağlıdır.")</f>
        <v/>
      </c>
      <c r="AH52" s="520">
        <f>IF(Tablo2[[#This Row],[ÇAP mm]]/Tablo2[[#This Row],[Et Kalınlığı 4]]&lt;75,Tablo2[[#This Row],[ÇAP mm]]*0.015/2,"Anlaşmaya bağlıdır.")</f>
        <v/>
      </c>
      <c r="AI52" s="520">
        <f>IF(Tablo2[[#This Row],[ÇAP mm]]/Tablo2[[#This Row],[Et Kalınlığı 5]]&lt;75,Tablo2[[#This Row],[ÇAP mm]]*0.015,"Anlaşmaya bağlıdır.")</f>
        <v/>
      </c>
      <c r="AJ52" s="11">
        <f>IF(40*Tablo2[[#This Row],[Et Kalınlığı ]]&lt;485,Tablo2[[#This Row],[Et Kalınlığı ]]*40,485)</f>
        <v/>
      </c>
      <c r="AK52" s="5">
        <f>1940*POWER(ROUND(AJ52,-1),0.2)/POWER(Tablo2[[#This Row],[Tensile Mpa]],0.9)</f>
        <v/>
      </c>
      <c r="AL52" s="5">
        <f>IF(40*Tablo2[[#This Row],[Et Kalınlığı 2]]&lt;485,Tablo2[[#This Row],[Et Kalınlığı ]]*40,485)</f>
        <v/>
      </c>
      <c r="AM52" s="5">
        <f>1940*POWER(ROUND(Tablo1[[#This Row],[Axc mm22]],-1),0.2)/POWER(Tablo2[[#This Row],[Tensile Mpa]],0.9)</f>
        <v/>
      </c>
      <c r="AN52" s="5">
        <f>IF(40*Tablo2[[#This Row],[Et Kalınlığı 3]]&lt;485,Tablo2[[#This Row],[Et Kalınlığı ]]*40,485)</f>
        <v/>
      </c>
      <c r="AO52" s="5">
        <f>1940*POWER(ROUND(Tablo1[[#This Row],[Axc mm23]],-1),0.2)/POWER(Tablo2[[#This Row],[Tensile Mpa]],0.9)</f>
        <v/>
      </c>
      <c r="AP52" s="5">
        <f>IF(40*Tablo2[[#This Row],[Et Kalınlığı 4]]&lt;485,Tablo2[[#This Row],[Et Kalınlığı 4]]*40,485)</f>
        <v/>
      </c>
      <c r="AQ52" s="12">
        <f>1940*POWER(ROUND(Tablo1[[#This Row],[Axc mm24]],-1),0.2)/POWER(Tablo2[[#This Row],[Tensile Mpa]],0.9)</f>
        <v/>
      </c>
      <c r="AR52" s="5">
        <f>IF(40*Tablo2[[#This Row],[Et Kalınlığı 5]]&lt;485,Tablo2[[#This Row],[Et Kalınlığı 4]]*40,485)</f>
        <v/>
      </c>
      <c r="AS52" s="64">
        <f>1940*POWER(ROUND(Tablo1[[#This Row],[Axc mm25]],-1),0.2)/POWER(Tablo2[[#This Row],[Tensile Mpa]],0.9)</f>
        <v/>
      </c>
    </row>
    <row r="53" ht="15.75" customHeight="1" s="510" thickBot="1">
      <c r="B53" s="46" t="inlineStr">
        <is>
          <t>60"</t>
        </is>
      </c>
      <c r="C53" s="22" t="n">
        <v>1524</v>
      </c>
      <c r="D53" s="22" t="inlineStr">
        <is>
          <t>X65</t>
        </is>
      </c>
      <c r="E53" s="47" t="n">
        <v>65300</v>
      </c>
      <c r="F53" s="48" t="n">
        <v>535</v>
      </c>
      <c r="G53" s="54" t="n">
        <v>19.05</v>
      </c>
      <c r="H53" s="55" t="n">
        <v>112.5318811608189</v>
      </c>
      <c r="I53" s="56" t="n">
        <v>22.23</v>
      </c>
      <c r="J53" s="55" t="n">
        <v>131.316730614436</v>
      </c>
      <c r="K53" s="56" t="n">
        <v>25.4</v>
      </c>
      <c r="L53" s="57" t="n">
        <v>150.0425082144252</v>
      </c>
      <c r="M53" s="56" t="n">
        <v>26.97</v>
      </c>
      <c r="N53" s="58" t="n">
        <v>159.3167892339783</v>
      </c>
      <c r="O53" s="57" t="n">
        <v>30.18</v>
      </c>
      <c r="P53" s="55">
        <f>2*Tablo2[[#This Row],[SMYS Psi]]*Tablo2[[#This Row],[Et Kalınlığı 5]]/Tablo2[[#This Row],[ÇAP mm]]/14.50377</f>
        <v/>
      </c>
      <c r="Q53" s="20">
        <f>Tablo2[[#This Row],[ÇAP mm]]+1.6</f>
        <v/>
      </c>
      <c r="R53" s="21">
        <f>Tablo2[[#This Row],[ÇAP mm]]-1.6</f>
        <v/>
      </c>
      <c r="S53" s="22">
        <f>IF(Tablo2[[#This Row],[ÇAP mm]]*0.005-4&lt;0,Tablo2[[#This Row],[ÇAP mm]]*1.005,Tablo2[[#This Row],[ÇAP mm]]+4)</f>
        <v/>
      </c>
      <c r="T53" s="23">
        <f>IF(Tablo2[[#This Row],[ÇAP mm]]*0.005-4&lt;0,Tablo2[[#This Row],[ÇAP mm]]*0.995,Tablo2[[#This Row],[ÇAP mm]]-4)</f>
        <v/>
      </c>
      <c r="U53" s="46">
        <f>Tablo2[[#This Row],[ÇAP mm]]/Tablo2[[#This Row],[Et Kalınlığı ]]</f>
        <v/>
      </c>
      <c r="V53" s="62">
        <f>Tablo2[[#This Row],[ÇAP mm]]/Tablo2[[#This Row],[Et Kalınlığı 2]]</f>
        <v/>
      </c>
      <c r="W53" s="62">
        <f>Tablo2[[#This Row],[ÇAP mm]]/Tablo2[[#This Row],[Et Kalınlığı 3]]</f>
        <v/>
      </c>
      <c r="X53" s="63">
        <f>Tablo2[[#This Row],[ÇAP mm]]/Tablo2[[#This Row],[Et Kalınlığı 4]]</f>
        <v/>
      </c>
      <c r="Y53" s="175">
        <f>Tablo2[[#This Row],[ÇAP mm]]/Tablo2[[#This Row],[Et Kalınlığı 5]]</f>
        <v/>
      </c>
      <c r="Z53" s="9">
        <f>IF(Tablo2[[#This Row],[ÇAP mm]]/Tablo2[[#This Row],[Et Kalınlığı ]]&lt;75,Tablo2[[#This Row],[ÇAP mm]]*0.01/2,"Anlaşmaya bağlıdır.")</f>
        <v/>
      </c>
      <c r="AA53" s="9">
        <f>IF(Tablo2[[#This Row],[ÇAP mm]]/Tablo2[[#This Row],[Et Kalınlığı ]]&lt;75,Tablo2[[#This Row],[ÇAP mm]]*0.015/2,"Anlaşmaya bağlıdır.")</f>
        <v/>
      </c>
      <c r="AB53" s="10">
        <f>IF(Tablo2[[#This Row],[ÇAP mm]]/Tablo2[[#This Row],[Et Kalınlığı 2]]&lt;75,Tablo2[[#This Row],[ÇAP mm]]*0.01/2,"Anlaşmaya bağlıdır.")</f>
        <v/>
      </c>
      <c r="AC53" s="520">
        <f>IF(Tablo2[[#This Row],[ÇAP mm]]/Tablo2[[#This Row],[Et Kalınlığı 2]]&lt;75,Tablo2[[#This Row],[ÇAP mm]]*0.015,"Anlaşmaya bağlıdır.")</f>
        <v/>
      </c>
      <c r="AD53" s="10">
        <f>IF(Tablo2[[#This Row],[ÇAP mm]]/Tablo2[[#This Row],[Et Kalınlığı 3]]&lt;75,Tablo2[[#This Row],[ÇAP mm]]*0.01/2,"Anlaşmaya bağlıdır.")</f>
        <v/>
      </c>
      <c r="AE53" s="520">
        <f>IF(Tablo2[[#This Row],[ÇAP mm]]/Tablo2[[#This Row],[Et Kalınlığı 3]]&lt;75,Tablo2[[#This Row],[ÇAP mm]]*0.015,"Anlaşmaya bağlıdır.")</f>
        <v/>
      </c>
      <c r="AF53" s="520">
        <f>IF(Tablo2[[#This Row],[ÇAP mm]]/Tablo2[[#This Row],[Et Kalınlığı 4]]&lt;75,Tablo2[[#This Row],[ÇAP mm]]*0.015/2,"Anlaşmaya bağlıdır.")</f>
        <v/>
      </c>
      <c r="AG53" s="64">
        <f>IF(Tablo2[[#This Row],[ÇAP mm]]/Tablo2[[#This Row],[Et Kalınlığı 4]]&lt;75,Tablo2[[#This Row],[ÇAP mm]]*0.015,"Anlaşmaya bağlıdır.")</f>
        <v/>
      </c>
      <c r="AH53" s="520">
        <f>IF(Tablo2[[#This Row],[ÇAP mm]]/Tablo2[[#This Row],[Et Kalınlığı 4]]&lt;75,Tablo2[[#This Row],[ÇAP mm]]*0.015/2,"Anlaşmaya bağlıdır.")</f>
        <v/>
      </c>
      <c r="AI53" s="520">
        <f>IF(Tablo2[[#This Row],[ÇAP mm]]/Tablo2[[#This Row],[Et Kalınlığı 5]]&lt;75,Tablo2[[#This Row],[ÇAP mm]]*0.015,"Anlaşmaya bağlıdır.")</f>
        <v/>
      </c>
      <c r="AJ53" s="11">
        <f>IF(40*Tablo2[[#This Row],[Et Kalınlığı ]]&lt;485,Tablo2[[#This Row],[Et Kalınlığı ]]*40,485)</f>
        <v/>
      </c>
      <c r="AK53" s="13">
        <f>1940*POWER(ROUND(AJ53,-1),0.2)/POWER(Tablo2[[#This Row],[Tensile Mpa]],0.9)</f>
        <v/>
      </c>
      <c r="AL53" s="5">
        <f>IF(40*Tablo2[[#This Row],[Et Kalınlığı 2]]&lt;485,Tablo2[[#This Row],[Et Kalınlığı ]]*40,485)</f>
        <v/>
      </c>
      <c r="AM53" s="13">
        <f>1940*POWER(ROUND(Tablo1[[#This Row],[Axc mm22]],-1),0.2)/POWER(Tablo2[[#This Row],[Tensile Mpa]],0.9)</f>
        <v/>
      </c>
      <c r="AN53" s="5">
        <f>IF(40*Tablo2[[#This Row],[Et Kalınlığı 3]]&lt;485,Tablo2[[#This Row],[Et Kalınlığı ]]*40,485)</f>
        <v/>
      </c>
      <c r="AO53" s="13">
        <f>1940*POWER(ROUND(Tablo1[[#This Row],[Axc mm23]],-1),0.2)/POWER(Tablo2[[#This Row],[Tensile Mpa]],0.9)</f>
        <v/>
      </c>
      <c r="AP53" s="5">
        <f>IF(40*Tablo2[[#This Row],[Et Kalınlığı 4]]&lt;485,Tablo2[[#This Row],[Et Kalınlığı 4]]*40,485)</f>
        <v/>
      </c>
      <c r="AQ53" s="170">
        <f>1940*POWER(ROUND(Tablo1[[#This Row],[Axc mm24]],-1),0.2)/POWER(Tablo2[[#This Row],[Tensile Mpa]],0.9)</f>
        <v/>
      </c>
      <c r="AR53" s="13">
        <f>IF(40*Tablo2[[#This Row],[Et Kalınlığı 5]]&lt;485,Tablo2[[#This Row],[Et Kalınlığı 4]]*40,485)</f>
        <v/>
      </c>
      <c r="AS53" s="480">
        <f>1940*POWER(ROUND(Tablo1[[#This Row],[Axc mm25]],-1),0.2)/POWER(Tablo2[[#This Row],[Tensile Mpa]],0.9)</f>
        <v/>
      </c>
    </row>
    <row r="54">
      <c r="G54" s="514" t="n"/>
      <c r="H54" s="59" t="n">
        <v>104.4265275760362</v>
      </c>
      <c r="I54" s="514" t="n"/>
      <c r="J54" s="59" t="n">
        <v>125.0901436098381</v>
      </c>
      <c r="K54" s="514" t="n"/>
      <c r="L54" s="59" t="n">
        <v>150.0425082144252</v>
      </c>
      <c r="M54" s="514" t="n"/>
      <c r="N54" s="59" t="n">
        <v>159.3167892339783</v>
      </c>
      <c r="O54" s="59" t="n"/>
      <c r="P54" s="59" t="n"/>
    </row>
    <row r="55">
      <c r="AK55" s="5" t="n"/>
      <c r="AN55" s="5" t="n"/>
    </row>
    <row r="58">
      <c r="L58" s="289">
        <f>'Boru Seçim-Kontrol Aracı'!J8/'Boru Seçim-Kontrol Aracı'!J10</f>
        <v/>
      </c>
    </row>
    <row r="103">
      <c r="C103" s="30" t="n"/>
      <c r="D103" s="30" t="n"/>
      <c r="E103" s="30" t="n"/>
    </row>
  </sheetData>
  <mergeCells count="29">
    <mergeCell ref="AP18:AQ18"/>
    <mergeCell ref="AF18:AG18"/>
    <mergeCell ref="AR18:AS18"/>
    <mergeCell ref="K18:L18"/>
    <mergeCell ref="AF17:AI17"/>
    <mergeCell ref="Q17:T17"/>
    <mergeCell ref="O18:P18"/>
    <mergeCell ref="AH18:AI18"/>
    <mergeCell ref="AP17:AS17"/>
    <mergeCell ref="AB18:AC18"/>
    <mergeCell ref="X17:Y17"/>
    <mergeCell ref="AJ16:AS16"/>
    <mergeCell ref="Z17:AE17"/>
    <mergeCell ref="G18:H18"/>
    <mergeCell ref="I18:J18"/>
    <mergeCell ref="Z18:AA18"/>
    <mergeCell ref="AJ18:AK18"/>
    <mergeCell ref="O16:P16"/>
    <mergeCell ref="AL18:AM18"/>
    <mergeCell ref="M18:N18"/>
    <mergeCell ref="AN18:AO18"/>
    <mergeCell ref="Z16:AI16"/>
    <mergeCell ref="M17:N17"/>
    <mergeCell ref="O17:P17"/>
    <mergeCell ref="G16:N16"/>
    <mergeCell ref="G17:L17"/>
    <mergeCell ref="U17:W17"/>
    <mergeCell ref="AJ17:AO17"/>
    <mergeCell ref="AD18:AE18"/>
  </mergeCells>
  <pageMargins left="0.7" right="0.7" top="0.75" bottom="0.75" header="0.3" footer="0.3"/>
  <pageSetup orientation="portrait" paperSize="9" scale="19" horizontalDpi="360" verticalDpi="360"/>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7.xml><?xml version="1.0" encoding="utf-8"?>
<worksheet xmlns="http://schemas.openxmlformats.org/spreadsheetml/2006/main">
  <sheetPr codeName="Sayfa6" published="0">
    <tabColor theme="5" tint="-0.249977111117893"/>
    <outlinePr summaryBelow="1" summaryRight="1"/>
    <pageSetUpPr/>
  </sheetPr>
  <dimension ref="A1:BT88"/>
  <sheetViews>
    <sheetView showGridLines="0" topLeftCell="AI1" zoomScale="115" zoomScaleNormal="115" workbookViewId="0">
      <selection activeCell="AI27" sqref="A27:XFD27"/>
    </sheetView>
  </sheetViews>
  <sheetFormatPr baseColWidth="8" defaultColWidth="22.59765625" defaultRowHeight="11.25"/>
  <cols>
    <col width="20.71484375" bestFit="1" customWidth="1" style="567" min="1" max="1"/>
    <col width="21.92578125" bestFit="1" customWidth="1" style="567" min="2" max="2"/>
    <col width="22.05859375" bestFit="1" customWidth="1" style="567" min="3" max="3"/>
    <col width="23.26953125" bestFit="1" customWidth="1" style="567" min="4" max="4"/>
    <col width="13.71875" bestFit="1" customWidth="1" style="567" min="5" max="5"/>
    <col width="18.4296875" bestFit="1" customWidth="1" style="567" min="6" max="6"/>
    <col width="21.38671875" bestFit="1" customWidth="1" style="567" min="7" max="7"/>
    <col width="13.98828125" bestFit="1" customWidth="1" style="567" min="8" max="8"/>
    <col width="14.52734375" bestFit="1" customWidth="1" style="567" min="9" max="9"/>
    <col width="12.375" bestFit="1" customWidth="1" style="567" min="10" max="10"/>
    <col width="14.66015625" bestFit="1" customWidth="1" style="567" min="11" max="11"/>
    <col width="9.01171875" bestFit="1" customWidth="1" style="567" min="12" max="12"/>
    <col width="9.4140625" bestFit="1" customWidth="1" style="567" min="13" max="13"/>
    <col width="16.41015625" bestFit="1" customWidth="1" style="567" min="14" max="14"/>
    <col width="8.0703125" customWidth="1" style="567" min="15" max="15"/>
    <col width="7.3984375" customWidth="1" style="567" min="16" max="16"/>
    <col width="7.3984375" customWidth="1" style="567" min="17" max="17"/>
    <col width="2.6875" customWidth="1" style="567" min="18" max="19"/>
    <col width="8.609375" customWidth="1" style="567" min="20" max="20"/>
    <col width="5.6484375" customWidth="1" style="567" min="21" max="21"/>
    <col width="2.6875" customWidth="1" style="567" min="22" max="22"/>
    <col width="15.06640625" customWidth="1" style="567" min="23" max="23"/>
    <col width="22.46484375" bestFit="1" customWidth="1" style="567" min="24" max="24"/>
    <col width="4.83984375" bestFit="1" customWidth="1" style="567" min="25" max="25"/>
    <col width="12.10546875" bestFit="1" customWidth="1" style="567" min="26" max="26"/>
    <col width="11.97265625" bestFit="1" customWidth="1" style="567" min="27" max="27"/>
    <col width="16.0078125" bestFit="1" customWidth="1" style="567" min="28" max="28"/>
    <col width="16.0078125" customWidth="1" style="567" min="29" max="29"/>
    <col width="12.375" bestFit="1" customWidth="1" style="567" min="30" max="30"/>
    <col width="12.375" customWidth="1" style="567" min="31" max="31"/>
    <col width="17.62109375" bestFit="1" customWidth="1" style="567" min="32" max="34"/>
    <col width="22.46484375" bestFit="1" customWidth="1" style="567" min="35" max="35"/>
    <col width="23.9453125" customWidth="1" style="567" min="36" max="36"/>
    <col width="22.59765625" customWidth="1" style="567" min="37" max="37"/>
    <col width="4.83984375" customWidth="1" style="567" min="38" max="38"/>
    <col width="7.12890625" bestFit="1" customWidth="1" style="567" min="39" max="39"/>
    <col width="4.83984375" customWidth="1" style="567" min="40" max="41"/>
    <col width="5.37890625" customWidth="1" style="567" min="42" max="42"/>
    <col width="7.26171875" customWidth="1" style="567" min="43" max="43"/>
    <col width="4.83984375" customWidth="1" style="567" min="44" max="50"/>
    <col width="4.83984375" customWidth="1" style="1078" min="51" max="51"/>
    <col width="4.83984375" customWidth="1" style="567" min="52" max="72"/>
    <col width="22.59765625" customWidth="1" style="567" min="73" max="16384"/>
  </cols>
  <sheetData>
    <row r="1">
      <c r="J1" s="522" t="n"/>
      <c r="K1" s="522" t="n"/>
      <c r="N1" s="1206" t="inlineStr">
        <is>
          <t xml:space="preserve">Malzeme Cinsi </t>
        </is>
      </c>
      <c r="O1" s="1207" t="inlineStr">
        <is>
          <t>Çentik Darbe mukavemeti (J) (-28C)</t>
        </is>
      </c>
      <c r="P1" s="1208" t="n"/>
      <c r="Q1" s="1087" t="inlineStr">
        <is>
          <t>Sertlik HBW</t>
        </is>
      </c>
      <c r="T1" s="507" t="inlineStr">
        <is>
          <t>MSS SP-97</t>
        </is>
      </c>
      <c r="U1" s="568" t="inlineStr">
        <is>
          <t>OLET</t>
        </is>
      </c>
      <c r="V1" s="568" t="n"/>
    </row>
    <row r="2" ht="24" customHeight="1" s="510" thickBot="1">
      <c r="A2" s="548" t="inlineStr">
        <is>
          <t>FİTTİNG</t>
        </is>
      </c>
      <c r="B2" s="1078" t="inlineStr">
        <is>
          <t>Çap(inch)</t>
        </is>
      </c>
      <c r="C2" s="1078" t="inlineStr">
        <is>
          <t>Çap(mm)</t>
        </is>
      </c>
      <c r="D2" s="1078" t="inlineStr">
        <is>
          <t>Üretim Standardı</t>
        </is>
      </c>
      <c r="E2" s="1078" t="inlineStr">
        <is>
          <t>Üretim Standartı</t>
        </is>
      </c>
      <c r="F2" s="1078" t="inlineStr">
        <is>
          <t>Standart Gereği Testler</t>
        </is>
      </c>
      <c r="G2" s="1078" t="inlineStr">
        <is>
          <t>Malzeme Standardı Manuel</t>
        </is>
      </c>
      <c r="H2" s="1078" t="inlineStr">
        <is>
          <t>Üretim Standartı Manuel</t>
        </is>
      </c>
      <c r="I2" s="1078" t="inlineStr">
        <is>
          <t>Boyutlandırma Standardı</t>
        </is>
      </c>
      <c r="K2" s="747" t="n"/>
      <c r="N2" s="1209" t="n"/>
      <c r="O2" s="1210" t="inlineStr">
        <is>
          <t xml:space="preserve">(Malzeme)  (Kaynak) </t>
        </is>
      </c>
      <c r="P2" s="1211" t="n"/>
      <c r="Q2" s="1212" t="n"/>
      <c r="R2" s="538" t="n"/>
      <c r="S2" s="538" t="n"/>
      <c r="T2" s="507" t="inlineStr">
        <is>
          <t>ASME B16.11</t>
        </is>
      </c>
      <c r="U2" s="569" t="n"/>
      <c r="V2" s="569" t="n"/>
      <c r="X2" s="525" t="inlineStr">
        <is>
          <t>BORU DIŞ ÇAPI Anma (inch)</t>
        </is>
      </c>
      <c r="Y2" s="525" t="inlineStr">
        <is>
          <t xml:space="preserve">DN </t>
        </is>
      </c>
      <c r="Z2" s="525" t="inlineStr">
        <is>
          <t>Nominal (inch)</t>
        </is>
      </c>
      <c r="AA2" s="525" t="inlineStr">
        <is>
          <t>Nominal (mm)</t>
        </is>
      </c>
      <c r="AB2" s="525" t="inlineStr">
        <is>
          <t>Fitting Malzeme Standart</t>
        </is>
      </c>
      <c r="AC2" s="525" t="inlineStr">
        <is>
          <t>Fitting Üretim Standart</t>
        </is>
      </c>
      <c r="AD2" s="525" t="inlineStr">
        <is>
          <t>Flanş Malzeme Standart</t>
        </is>
      </c>
      <c r="AE2" s="525" t="inlineStr">
        <is>
          <t>Flanş Üretim Standart</t>
        </is>
      </c>
      <c r="AF2" s="525" t="inlineStr">
        <is>
          <t>HAT BORULARI F=0,72</t>
        </is>
      </c>
      <c r="AG2" s="525" t="inlineStr">
        <is>
          <t>HAT BORULARI F=0,60</t>
        </is>
      </c>
      <c r="AH2" s="525" t="inlineStr">
        <is>
          <t>HAT BORULARI F=0,50</t>
        </is>
      </c>
      <c r="AI2" s="525" t="inlineStr">
        <is>
          <t>İSTASYON BORULARI 75 bar</t>
        </is>
      </c>
      <c r="AJ2" s="525" t="inlineStr">
        <is>
          <t>İSTASYON BORULARI 82,5 bar</t>
        </is>
      </c>
      <c r="AL2" s="315" t="inlineStr">
        <is>
          <t>21,3</t>
        </is>
      </c>
      <c r="AM2" s="316" t="inlineStr">
        <is>
          <t>GRADE B</t>
        </is>
      </c>
      <c r="AN2" s="318" t="inlineStr">
        <is>
          <t xml:space="preserve">½" </t>
        </is>
      </c>
      <c r="AO2" s="317" t="inlineStr">
        <is>
          <t>¾"</t>
        </is>
      </c>
      <c r="AP2" s="318" t="inlineStr">
        <is>
          <t xml:space="preserve">1" </t>
        </is>
      </c>
      <c r="AQ2" s="317" t="inlineStr">
        <is>
          <t>1¼"</t>
        </is>
      </c>
      <c r="AR2" s="318" t="inlineStr">
        <is>
          <t xml:space="preserve">1½" </t>
        </is>
      </c>
      <c r="AS2" s="317" t="inlineStr">
        <is>
          <t xml:space="preserve">2" </t>
        </is>
      </c>
      <c r="AT2" s="318" t="inlineStr">
        <is>
          <t xml:space="preserve">2½" </t>
        </is>
      </c>
      <c r="AU2" s="317" t="inlineStr">
        <is>
          <t>3"</t>
        </is>
      </c>
      <c r="AV2" s="318" t="inlineStr">
        <is>
          <t>4"</t>
        </is>
      </c>
      <c r="AW2" s="317" t="inlineStr">
        <is>
          <t>5"</t>
        </is>
      </c>
      <c r="AX2" s="318" t="inlineStr">
        <is>
          <t>6"</t>
        </is>
      </c>
      <c r="AY2" s="317" t="inlineStr">
        <is>
          <t>8"</t>
        </is>
      </c>
      <c r="AZ2" s="318" t="inlineStr">
        <is>
          <t>10"</t>
        </is>
      </c>
      <c r="BA2" s="317" t="inlineStr">
        <is>
          <t>12"</t>
        </is>
      </c>
      <c r="BB2" s="318" t="inlineStr">
        <is>
          <t>14"</t>
        </is>
      </c>
      <c r="BC2" s="317" t="inlineStr">
        <is>
          <t>16"</t>
        </is>
      </c>
      <c r="BD2" s="318" t="inlineStr">
        <is>
          <t>18"</t>
        </is>
      </c>
      <c r="BE2" s="317" t="inlineStr">
        <is>
          <t>20"</t>
        </is>
      </c>
      <c r="BF2" s="318" t="inlineStr">
        <is>
          <t>22"</t>
        </is>
      </c>
      <c r="BG2" s="317" t="inlineStr">
        <is>
          <t>24"</t>
        </is>
      </c>
      <c r="BH2" s="318" t="inlineStr">
        <is>
          <t>30"</t>
        </is>
      </c>
      <c r="BI2" s="317" t="inlineStr">
        <is>
          <t>32"</t>
        </is>
      </c>
      <c r="BJ2" s="318" t="inlineStr">
        <is>
          <t>34"</t>
        </is>
      </c>
      <c r="BK2" s="317" t="inlineStr">
        <is>
          <t>36"</t>
        </is>
      </c>
      <c r="BL2" s="318" t="inlineStr">
        <is>
          <t>38"</t>
        </is>
      </c>
      <c r="BM2" s="317" t="inlineStr">
        <is>
          <t>40"</t>
        </is>
      </c>
      <c r="BN2" s="318" t="inlineStr">
        <is>
          <t>42"</t>
        </is>
      </c>
      <c r="BO2" s="317" t="inlineStr">
        <is>
          <t>44"</t>
        </is>
      </c>
      <c r="BP2" s="318" t="inlineStr">
        <is>
          <t>46"</t>
        </is>
      </c>
      <c r="BQ2" s="317" t="inlineStr">
        <is>
          <t>48"</t>
        </is>
      </c>
      <c r="BR2" s="318" t="inlineStr">
        <is>
          <t>52"</t>
        </is>
      </c>
      <c r="BS2" s="317" t="inlineStr">
        <is>
          <t>56"</t>
        </is>
      </c>
      <c r="BT2" s="319" t="inlineStr">
        <is>
          <t>60"</t>
        </is>
      </c>
    </row>
    <row r="3" ht="12" customHeight="1" s="510" thickBot="1">
      <c r="A3" s="589" t="inlineStr">
        <is>
          <t>KEP</t>
        </is>
      </c>
      <c r="B3" s="590" t="inlineStr">
        <is>
          <t xml:space="preserve">4" </t>
        </is>
      </c>
      <c r="C3" s="590">
        <f>VLOOKUP(Tablo15[[#This Row],[Çap(inch)]],Fitting_Flanş[[#All],[BORU DIŞ ÇAPI Anma (inch)]:[Nominal (mm)]],4,0)</f>
        <v/>
      </c>
      <c r="D3" s="590">
        <f>VLOOKUP(B3,Fitting_Flanş[#All],(IF(Tablo15[[#This Row],[FİTTİNG]]="FLANŞ",6,5)),FALSE)</f>
        <v/>
      </c>
      <c r="E3" s="589">
        <f>IF(Tablo15[[#This Row],[Çap(mm)]]&lt;406.4,$T$4,$T$3)</f>
        <v/>
      </c>
      <c r="F3" s="589" t="inlineStr">
        <is>
          <t>Tablo-1 / Tablo-2</t>
        </is>
      </c>
      <c r="G3" s="589" t="inlineStr">
        <is>
          <t>ASTM A234 WPB</t>
        </is>
      </c>
      <c r="H3" s="589" t="inlineStr">
        <is>
          <t>ASME B16.9</t>
        </is>
      </c>
      <c r="I3" s="589" t="n"/>
      <c r="K3" s="747" t="n"/>
      <c r="N3" s="565" t="inlineStr">
        <is>
          <t>ASTM A234 WPB</t>
        </is>
      </c>
      <c r="O3" s="566" t="n">
        <v>27</v>
      </c>
      <c r="P3" s="566" t="n">
        <v>27</v>
      </c>
      <c r="Q3" s="567" t="n">
        <v>235</v>
      </c>
      <c r="R3" s="539" t="n"/>
      <c r="S3" s="539" t="n"/>
      <c r="T3" s="507" t="inlineStr">
        <is>
          <t>MSS SP-75</t>
        </is>
      </c>
      <c r="U3" s="570" t="n"/>
      <c r="V3" s="570" t="n"/>
      <c r="X3" s="524" t="inlineStr">
        <is>
          <t xml:space="preserve">½"  </t>
        </is>
      </c>
      <c r="Y3" s="524" t="n">
        <v>15</v>
      </c>
      <c r="Z3" s="524" t="n">
        <v>0.84</v>
      </c>
      <c r="AA3" s="524" t="n">
        <v>21.3</v>
      </c>
      <c r="AB3" s="524" t="inlineStr">
        <is>
          <t xml:space="preserve">ASTM A234 WPB </t>
        </is>
      </c>
      <c r="AC3" s="524" t="inlineStr">
        <is>
          <t>ASME B16.9</t>
        </is>
      </c>
      <c r="AD3" s="524" t="inlineStr">
        <is>
          <t>ASTM A105</t>
        </is>
      </c>
      <c r="AE3" s="524" t="inlineStr">
        <is>
          <t>ASME B16.5</t>
        </is>
      </c>
      <c r="AF3" s="524" t="inlineStr">
        <is>
          <t> </t>
        </is>
      </c>
      <c r="AG3" s="524" t="inlineStr">
        <is>
          <t> </t>
        </is>
      </c>
      <c r="AH3" s="524" t="inlineStr">
        <is>
          <t> </t>
        </is>
      </c>
      <c r="AI3" s="524" t="n">
        <v>3.7</v>
      </c>
      <c r="AJ3" s="524" t="n">
        <v>3.7</v>
      </c>
      <c r="AL3" s="313" t="n">
        <v>26.7</v>
      </c>
      <c r="AM3" s="305" t="inlineStr">
        <is>
          <t>GRADE B</t>
        </is>
      </c>
      <c r="AN3" s="737" t="inlineStr">
        <is>
          <t>¾"</t>
        </is>
      </c>
      <c r="AO3" s="738" t="inlineStr">
        <is>
          <t>T</t>
        </is>
      </c>
      <c r="AP3" s="739" t="n"/>
      <c r="AQ3" s="739" t="n"/>
      <c r="AR3" s="739" t="n"/>
      <c r="AS3" s="739" t="n"/>
      <c r="AT3" s="739" t="n"/>
      <c r="AU3" s="739" t="n"/>
      <c r="AV3" s="739" t="n"/>
      <c r="AW3" s="739" t="n"/>
      <c r="AX3" s="739" t="n"/>
      <c r="AY3" s="739" t="n"/>
      <c r="AZ3" s="739" t="n"/>
      <c r="BA3" s="739" t="n"/>
      <c r="BB3" s="739" t="n"/>
      <c r="BC3" s="739" t="n"/>
      <c r="BD3" s="739" t="n"/>
      <c r="BE3" s="739" t="n"/>
      <c r="BF3" s="739" t="n"/>
      <c r="BG3" s="739" t="n"/>
      <c r="BH3" s="739" t="n"/>
      <c r="BI3" s="739" t="n"/>
      <c r="BJ3" s="739" t="n"/>
      <c r="BK3" s="739" t="n"/>
      <c r="BL3" s="739" t="n"/>
      <c r="BM3" s="739" t="n"/>
      <c r="BN3" s="739" t="n"/>
      <c r="BO3" s="739" t="n"/>
      <c r="BP3" s="739" t="n"/>
      <c r="BQ3" s="739" t="n"/>
      <c r="BR3" s="739" t="n"/>
      <c r="BS3" s="739" t="n"/>
      <c r="BT3" s="740" t="n"/>
    </row>
    <row r="4" ht="12" customHeight="1" s="510" thickBot="1">
      <c r="A4" s="591" t="inlineStr">
        <is>
          <t>TEE</t>
        </is>
      </c>
      <c r="B4" s="580" t="inlineStr">
        <is>
          <t xml:space="preserve">10" </t>
        </is>
      </c>
      <c r="C4" s="580">
        <f>VLOOKUP(Tablo15[[#This Row],[Çap(inch)]],Fitting_Flanş[[#All],[BORU DIŞ ÇAPI Anma (inch)]:[Nominal (mm)]],4,0)</f>
        <v/>
      </c>
      <c r="D4" s="580">
        <f>VLOOKUP(B4,Fitting_Flanş[#All],(IF(Tablo15[[#This Row],[FİTTİNG]]="FLANŞ",6,5)),FALSE)</f>
        <v/>
      </c>
      <c r="E4" s="591">
        <f>IF(Tablo15[[#This Row],[Çap(mm)]]&lt;406.4,$T$4,$T$3)</f>
        <v/>
      </c>
      <c r="F4" s="591" t="n"/>
      <c r="G4" s="591" t="n"/>
      <c r="H4" s="591" t="n"/>
      <c r="I4" s="591" t="n"/>
      <c r="N4" s="565" t="inlineStr">
        <is>
          <t>ASTM A860 WPHY42</t>
        </is>
      </c>
      <c r="O4" s="566" t="n">
        <v>27</v>
      </c>
      <c r="P4" s="566" t="n">
        <v>27</v>
      </c>
      <c r="Q4" s="567" t="n">
        <v>235</v>
      </c>
      <c r="R4" s="524" t="n"/>
      <c r="S4" s="524" t="n"/>
      <c r="T4" s="507" t="inlineStr">
        <is>
          <t>ASME B16.9</t>
        </is>
      </c>
      <c r="U4" s="570" t="n"/>
      <c r="V4" s="570" t="n"/>
      <c r="X4" s="525" t="inlineStr">
        <is>
          <t xml:space="preserve">¾" </t>
        </is>
      </c>
      <c r="Y4" s="525" t="n">
        <v>20</v>
      </c>
      <c r="Z4" s="525" t="n">
        <v>1.05</v>
      </c>
      <c r="AA4" s="525" t="n">
        <v>26.7</v>
      </c>
      <c r="AB4" s="525" t="inlineStr">
        <is>
          <t>ASTM A234 WPB</t>
        </is>
      </c>
      <c r="AC4" s="525" t="inlineStr">
        <is>
          <t>ASME B16.9</t>
        </is>
      </c>
      <c r="AD4" s="525" t="inlineStr">
        <is>
          <t>ASTM A105</t>
        </is>
      </c>
      <c r="AE4" s="525" t="inlineStr">
        <is>
          <t>ASME B16.5</t>
        </is>
      </c>
      <c r="AF4" s="325" t="inlineStr">
        <is>
          <t> </t>
        </is>
      </c>
      <c r="AG4" s="325" t="inlineStr">
        <is>
          <t> </t>
        </is>
      </c>
      <c r="AH4" s="325" t="inlineStr">
        <is>
          <t> </t>
        </is>
      </c>
      <c r="AI4" s="525" t="n">
        <v>3.9</v>
      </c>
      <c r="AJ4" s="525" t="n">
        <v>3.9</v>
      </c>
      <c r="AL4" s="314" t="n">
        <v>33.4</v>
      </c>
      <c r="AM4" s="303" t="inlineStr">
        <is>
          <t>GRADE B</t>
        </is>
      </c>
      <c r="AN4" s="308" t="inlineStr">
        <is>
          <t xml:space="preserve">1" </t>
        </is>
      </c>
      <c r="AO4" s="307" t="inlineStr">
        <is>
          <t>RT</t>
        </is>
      </c>
      <c r="AP4" s="306" t="inlineStr">
        <is>
          <t>T</t>
        </is>
      </c>
      <c r="AQ4" s="307" t="n"/>
      <c r="AR4" s="307" t="n"/>
      <c r="AS4" s="307" t="n"/>
      <c r="AT4" s="307" t="n"/>
      <c r="AU4" s="307" t="n"/>
      <c r="AV4" s="307" t="n"/>
      <c r="AW4" s="307" t="n"/>
      <c r="AX4" s="307" t="n"/>
      <c r="AY4" s="307" t="n"/>
      <c r="AZ4" s="307" t="n"/>
      <c r="BA4" s="307" t="n"/>
      <c r="BB4" s="307" t="n"/>
      <c r="BC4" s="307" t="n"/>
      <c r="BD4" s="307" t="n"/>
      <c r="BE4" s="307" t="n"/>
      <c r="BF4" s="307" t="n"/>
      <c r="BG4" s="307" t="n"/>
      <c r="BH4" s="307" t="n"/>
      <c r="BI4" s="307" t="n"/>
      <c r="BJ4" s="307" t="n"/>
      <c r="BK4" s="307" t="n"/>
      <c r="BL4" s="307" t="n"/>
      <c r="BM4" s="307" t="n"/>
      <c r="BN4" s="307" t="n"/>
      <c r="BO4" s="307" t="n"/>
      <c r="BP4" s="307" t="n"/>
      <c r="BQ4" s="307" t="n"/>
      <c r="BR4" s="307" t="n"/>
      <c r="BS4" s="307" t="n"/>
      <c r="BT4" s="741" t="n"/>
    </row>
    <row r="5" ht="12" customHeight="1" s="510" thickBot="1">
      <c r="A5" s="592" t="inlineStr">
        <is>
          <t>REDÜKSİYON</t>
        </is>
      </c>
      <c r="B5" s="593" t="inlineStr">
        <is>
          <t xml:space="preserve">14" </t>
        </is>
      </c>
      <c r="C5" s="593">
        <f>VLOOKUP(Tablo15[[#This Row],[Çap(inch)]],Fitting_Flanş[[#All],[BORU DIŞ ÇAPI Anma (inch)]:[Nominal (mm)]],4,0)</f>
        <v/>
      </c>
      <c r="D5" s="593">
        <f>VLOOKUP(B5,Fitting_Flanş[#All],(IF(Tablo15[[#This Row],[FİTTİNG]]="FLANŞ",6,5)),FALSE)</f>
        <v/>
      </c>
      <c r="E5" s="592">
        <f>IF(Tablo15[[#This Row],[Çap(mm)]]&lt;406.4,$T$4,$T$3)</f>
        <v/>
      </c>
      <c r="F5" s="592" t="n"/>
      <c r="G5" s="592" t="n"/>
      <c r="H5" s="592" t="n"/>
      <c r="I5" s="592" t="n"/>
      <c r="N5" s="565" t="inlineStr">
        <is>
          <t xml:space="preserve">ASTM A860 WPHY46 </t>
        </is>
      </c>
      <c r="O5" s="566" t="n">
        <v>48</v>
      </c>
      <c r="P5" s="566" t="n">
        <v>36</v>
      </c>
      <c r="Q5" s="567" t="n">
        <v>235</v>
      </c>
      <c r="R5" s="524" t="n"/>
      <c r="S5" s="524" t="n"/>
      <c r="U5" s="570" t="n"/>
      <c r="V5" s="570" t="n"/>
      <c r="X5" s="524" t="inlineStr">
        <is>
          <t xml:space="preserve">1"  </t>
        </is>
      </c>
      <c r="Y5" s="524" t="n">
        <v>25</v>
      </c>
      <c r="Z5" s="524" t="n">
        <v>1.315</v>
      </c>
      <c r="AA5" s="524" t="n">
        <v>33.4</v>
      </c>
      <c r="AB5" s="524" t="inlineStr">
        <is>
          <t>ASTM A234 WPB</t>
        </is>
      </c>
      <c r="AC5" s="524" t="inlineStr">
        <is>
          <t>ASME B16.9</t>
        </is>
      </c>
      <c r="AD5" s="524" t="inlineStr">
        <is>
          <t>ASTM A105</t>
        </is>
      </c>
      <c r="AE5" s="524" t="inlineStr">
        <is>
          <t>ASME B16.5</t>
        </is>
      </c>
      <c r="AF5" s="326" t="inlineStr">
        <is>
          <t> </t>
        </is>
      </c>
      <c r="AG5" s="326" t="inlineStr">
        <is>
          <t> </t>
        </is>
      </c>
      <c r="AH5" s="326" t="inlineStr">
        <is>
          <t> </t>
        </is>
      </c>
      <c r="AI5" s="524" t="n">
        <v>4.6</v>
      </c>
      <c r="AJ5" s="524" t="n">
        <v>4.6</v>
      </c>
      <c r="AL5" s="313" t="n">
        <v>42.2</v>
      </c>
      <c r="AM5" s="305" t="inlineStr">
        <is>
          <t>GRADE B</t>
        </is>
      </c>
      <c r="AN5" s="304" t="inlineStr">
        <is>
          <t>1¼"</t>
        </is>
      </c>
      <c r="AO5" s="307" t="inlineStr">
        <is>
          <t>RT</t>
        </is>
      </c>
      <c r="AP5" s="307" t="inlineStr">
        <is>
          <t>RT</t>
        </is>
      </c>
      <c r="AQ5" s="306" t="inlineStr">
        <is>
          <t>T</t>
        </is>
      </c>
      <c r="AR5" s="307" t="n"/>
      <c r="AS5" s="307" t="n"/>
      <c r="AT5" s="307" t="n"/>
      <c r="AU5" s="307" t="n"/>
      <c r="AV5" s="307" t="n"/>
      <c r="AW5" s="307" t="n"/>
      <c r="AX5" s="307" t="n"/>
      <c r="AY5" s="307" t="n"/>
      <c r="AZ5" s="307" t="n"/>
      <c r="BA5" s="307" t="n"/>
      <c r="BB5" s="307" t="n"/>
      <c r="BC5" s="307" t="n"/>
      <c r="BD5" s="307" t="n"/>
      <c r="BE5" s="307" t="n"/>
      <c r="BF5" s="307" t="n"/>
      <c r="BG5" s="307" t="n"/>
      <c r="BH5" s="307" t="n"/>
      <c r="BI5" s="307" t="n"/>
      <c r="BJ5" s="307" t="n"/>
      <c r="BK5" s="307" t="n"/>
      <c r="BL5" s="307" t="n"/>
      <c r="BM5" s="307" t="n"/>
      <c r="BN5" s="307" t="n"/>
      <c r="BO5" s="307" t="n"/>
      <c r="BP5" s="307" t="n"/>
      <c r="BQ5" s="307" t="n"/>
      <c r="BR5" s="307" t="n"/>
      <c r="BS5" s="307" t="n"/>
      <c r="BT5" s="741" t="n"/>
    </row>
    <row r="6" ht="12" customHeight="1" s="510" thickBot="1">
      <c r="A6" s="595" t="inlineStr">
        <is>
          <t>RED. TEE</t>
        </is>
      </c>
      <c r="B6" s="596" t="inlineStr">
        <is>
          <t xml:space="preserve">30" </t>
        </is>
      </c>
      <c r="C6" s="596">
        <f>VLOOKUP(Tablo15[[#This Row],[Çap(inch)]],Fitting_Flanş[[#All],[BORU DIŞ ÇAPI Anma (inch)]:[Nominal (mm)]],4,0)</f>
        <v/>
      </c>
      <c r="D6" s="596">
        <f>VLOOKUP(B6,Fitting_Flanş[#All],(IF(Tablo15[[#This Row],[FİTTİNG]]="FLANŞ",6,5)),FALSE)</f>
        <v/>
      </c>
      <c r="E6" s="595">
        <f>IF(Tablo15[[#This Row],[Çap(mm)]]&lt;406.4,$T$4,$T$3)</f>
        <v/>
      </c>
      <c r="F6" s="595" t="n"/>
      <c r="G6" s="595" t="n"/>
      <c r="H6" s="595" t="n"/>
      <c r="I6" s="595" t="n"/>
      <c r="N6" s="565" t="inlineStr">
        <is>
          <t>ASTM A860 WPHY52</t>
        </is>
      </c>
      <c r="O6" s="566" t="n">
        <v>48</v>
      </c>
      <c r="P6" s="566" t="n">
        <v>36</v>
      </c>
      <c r="Q6" s="567" t="n">
        <v>235</v>
      </c>
      <c r="R6" s="524" t="n"/>
      <c r="S6" s="524" t="n"/>
      <c r="T6" s="524" t="n"/>
      <c r="U6" s="524" t="n"/>
      <c r="V6" s="524" t="n"/>
      <c r="X6" s="525" t="inlineStr">
        <is>
          <t xml:space="preserve">1¼" </t>
        </is>
      </c>
      <c r="Y6" s="525" t="n">
        <v>32</v>
      </c>
      <c r="Z6" s="525" t="n">
        <v>1.66</v>
      </c>
      <c r="AA6" s="525" t="n">
        <v>42.2</v>
      </c>
      <c r="AB6" s="525" t="inlineStr">
        <is>
          <t>ASTM A234 WPB</t>
        </is>
      </c>
      <c r="AC6" s="525" t="inlineStr">
        <is>
          <t>ASME B16.9</t>
        </is>
      </c>
      <c r="AD6" s="525" t="inlineStr">
        <is>
          <t>ASTM A105</t>
        </is>
      </c>
      <c r="AE6" s="525" t="inlineStr">
        <is>
          <t>ASME B16.5</t>
        </is>
      </c>
      <c r="AF6" s="325" t="inlineStr">
        <is>
          <t> </t>
        </is>
      </c>
      <c r="AG6" s="325" t="inlineStr">
        <is>
          <t> </t>
        </is>
      </c>
      <c r="AH6" s="325" t="inlineStr">
        <is>
          <t> </t>
        </is>
      </c>
      <c r="AI6" s="525" t="n">
        <v>4.9</v>
      </c>
      <c r="AJ6" s="525" t="n">
        <v>4.9</v>
      </c>
      <c r="AL6" s="314" t="n">
        <v>48.3</v>
      </c>
      <c r="AM6" s="303" t="inlineStr">
        <is>
          <t>GRADE B</t>
        </is>
      </c>
      <c r="AN6" s="308" t="inlineStr">
        <is>
          <t xml:space="preserve">1½" </t>
        </is>
      </c>
      <c r="AO6" s="307" t="inlineStr">
        <is>
          <t>RT</t>
        </is>
      </c>
      <c r="AP6" s="307" t="inlineStr">
        <is>
          <t>RT</t>
        </is>
      </c>
      <c r="AQ6" s="307" t="inlineStr">
        <is>
          <t>RT</t>
        </is>
      </c>
      <c r="AR6" s="306" t="inlineStr">
        <is>
          <t>T</t>
        </is>
      </c>
      <c r="AS6" s="307" t="n"/>
      <c r="AT6" s="307" t="n"/>
      <c r="AU6" s="307" t="n"/>
      <c r="AV6" s="307" t="n"/>
      <c r="AW6" s="307" t="n"/>
      <c r="AX6" s="307" t="n"/>
      <c r="AY6" s="307" t="n"/>
      <c r="AZ6" s="307" t="n"/>
      <c r="BA6" s="307" t="n"/>
      <c r="BB6" s="307" t="n"/>
      <c r="BC6" s="307" t="n"/>
      <c r="BD6" s="307" t="n"/>
      <c r="BE6" s="307" t="n"/>
      <c r="BF6" s="307" t="n"/>
      <c r="BG6" s="307" t="n"/>
      <c r="BH6" s="307" t="n"/>
      <c r="BI6" s="307" t="n"/>
      <c r="BJ6" s="307" t="n"/>
      <c r="BK6" s="307" t="n"/>
      <c r="BL6" s="307" t="n"/>
      <c r="BM6" s="307" t="n"/>
      <c r="BN6" s="307" t="n"/>
      <c r="BO6" s="307" t="n"/>
      <c r="BP6" s="307" t="n"/>
      <c r="BQ6" s="307" t="n"/>
      <c r="BR6" s="307" t="n"/>
      <c r="BS6" s="307" t="n"/>
      <c r="BT6" s="741" t="n"/>
    </row>
    <row r="7" ht="12" customHeight="1" s="510" thickBot="1">
      <c r="A7" s="567" t="inlineStr">
        <is>
          <t>OLET</t>
        </is>
      </c>
      <c r="B7" s="522" t="inlineStr">
        <is>
          <t xml:space="preserve">8" </t>
        </is>
      </c>
      <c r="C7" s="522">
        <f>VLOOKUP(Tablo15[[#This Row],[Çap(inch)]],Fitting_Flanş[[#All],[BORU DIŞ ÇAPI Anma (inch)]:[Nominal (mm)]],4,0)</f>
        <v/>
      </c>
      <c r="D7" s="522">
        <f>VLOOKUP(B7,Fitting_Flanş[#All],(IF(Tablo15[[#This Row],[FİTTİNG]]="FLANŞ",6,5)),FALSE)</f>
        <v/>
      </c>
      <c r="E7" s="567">
        <f>IF(Tablo15[[#This Row],[Çap(mm)]]&lt;406.4,$T$4,$T$3)</f>
        <v/>
      </c>
      <c r="G7" s="567" t="n"/>
      <c r="H7" s="567" t="n"/>
      <c r="I7" s="567" t="n"/>
      <c r="K7" s="748" t="n"/>
      <c r="N7" s="565" t="inlineStr">
        <is>
          <t>ASTM A860 WPHY60</t>
        </is>
      </c>
      <c r="O7" s="566" t="n">
        <v>60</v>
      </c>
      <c r="P7" s="566" t="n">
        <v>45</v>
      </c>
      <c r="Q7" s="567" t="n">
        <v>235</v>
      </c>
      <c r="R7" s="524" t="n"/>
      <c r="S7" s="524" t="n"/>
      <c r="T7" s="524" t="n"/>
      <c r="U7" s="524" t="n"/>
      <c r="V7" s="524" t="n"/>
      <c r="X7" s="524" t="inlineStr">
        <is>
          <t xml:space="preserve">1½"  </t>
        </is>
      </c>
      <c r="Y7" s="524" t="n">
        <v>40</v>
      </c>
      <c r="Z7" s="524" t="n">
        <v>1.9</v>
      </c>
      <c r="AA7" s="524" t="n">
        <v>48.3</v>
      </c>
      <c r="AB7" s="524" t="inlineStr">
        <is>
          <t>ASTM A234 WPB</t>
        </is>
      </c>
      <c r="AC7" s="524" t="inlineStr">
        <is>
          <t>ASME B16.9</t>
        </is>
      </c>
      <c r="AD7" s="524" t="inlineStr">
        <is>
          <t>ASTM A105</t>
        </is>
      </c>
      <c r="AE7" s="524" t="inlineStr">
        <is>
          <t>ASME B16.5</t>
        </is>
      </c>
      <c r="AF7" s="326" t="inlineStr">
        <is>
          <t> </t>
        </is>
      </c>
      <c r="AG7" s="326" t="inlineStr">
        <is>
          <t> </t>
        </is>
      </c>
      <c r="AH7" s="326" t="inlineStr">
        <is>
          <t> </t>
        </is>
      </c>
      <c r="AI7" s="524" t="n">
        <v>5.1</v>
      </c>
      <c r="AJ7" s="524" t="n">
        <v>5.1</v>
      </c>
      <c r="AL7" s="313" t="n">
        <v>60.3</v>
      </c>
      <c r="AM7" s="305" t="inlineStr">
        <is>
          <t>GRADE B</t>
        </is>
      </c>
      <c r="AN7" s="304" t="inlineStr">
        <is>
          <t xml:space="preserve">2" </t>
        </is>
      </c>
      <c r="AO7" s="307" t="inlineStr">
        <is>
          <t>RT</t>
        </is>
      </c>
      <c r="AP7" s="307" t="inlineStr">
        <is>
          <t>RT</t>
        </is>
      </c>
      <c r="AQ7" s="307" t="inlineStr">
        <is>
          <t>RT</t>
        </is>
      </c>
      <c r="AR7" s="307" t="inlineStr">
        <is>
          <t>RT</t>
        </is>
      </c>
      <c r="AS7" s="306" t="inlineStr">
        <is>
          <t>T</t>
        </is>
      </c>
      <c r="AT7" s="307" t="n"/>
      <c r="AU7" s="307" t="n"/>
      <c r="AV7" s="307" t="n"/>
      <c r="AW7" s="307" t="n"/>
      <c r="AX7" s="307" t="n"/>
      <c r="AY7" s="307" t="n"/>
      <c r="AZ7" s="307" t="n"/>
      <c r="BA7" s="307" t="n"/>
      <c r="BB7" s="307" t="n"/>
      <c r="BC7" s="307" t="n"/>
      <c r="BD7" s="307" t="n"/>
      <c r="BE7" s="307" t="n"/>
      <c r="BF7" s="307" t="n"/>
      <c r="BG7" s="307" t="n"/>
      <c r="BH7" s="307" t="n"/>
      <c r="BI7" s="307" t="n"/>
      <c r="BJ7" s="307" t="n"/>
      <c r="BK7" s="307" t="n"/>
      <c r="BL7" s="307" t="n"/>
      <c r="BM7" s="307" t="n"/>
      <c r="BN7" s="307" t="n"/>
      <c r="BO7" s="307" t="n"/>
      <c r="BP7" s="307" t="n"/>
      <c r="BQ7" s="307" t="n"/>
      <c r="BR7" s="307" t="n"/>
      <c r="BS7" s="307" t="n"/>
      <c r="BT7" s="741" t="n"/>
    </row>
    <row r="8" ht="12" customHeight="1" s="510" thickBot="1">
      <c r="N8" s="565" t="inlineStr">
        <is>
          <t>ASTM A860 WPHY65</t>
        </is>
      </c>
      <c r="O8" s="566" t="n">
        <v>60</v>
      </c>
      <c r="P8" s="566" t="n">
        <v>45</v>
      </c>
      <c r="Q8" s="567" t="n">
        <v>235</v>
      </c>
      <c r="R8" s="524" t="n"/>
      <c r="S8" s="524" t="n"/>
      <c r="T8" s="524" t="n"/>
      <c r="U8" s="524" t="n"/>
      <c r="V8" s="524" t="n"/>
      <c r="X8" s="525" t="inlineStr">
        <is>
          <t xml:space="preserve">2"  </t>
        </is>
      </c>
      <c r="Y8" s="525" t="n">
        <v>50</v>
      </c>
      <c r="Z8" s="525" t="inlineStr">
        <is>
          <t xml:space="preserve">2⅜" </t>
        </is>
      </c>
      <c r="AA8" s="525" t="n">
        <v>60.3</v>
      </c>
      <c r="AB8" s="525" t="inlineStr">
        <is>
          <t>ASTM A234 WPB</t>
        </is>
      </c>
      <c r="AC8" s="525" t="inlineStr">
        <is>
          <t>ASME B16.9</t>
        </is>
      </c>
      <c r="AD8" s="525" t="inlineStr">
        <is>
          <t>ASTM A105</t>
        </is>
      </c>
      <c r="AE8" s="525" t="inlineStr">
        <is>
          <t>ASME B16.5</t>
        </is>
      </c>
      <c r="AF8" s="325" t="inlineStr">
        <is>
          <t> </t>
        </is>
      </c>
      <c r="AG8" s="325" t="inlineStr">
        <is>
          <t> </t>
        </is>
      </c>
      <c r="AH8" s="325" t="inlineStr">
        <is>
          <t> </t>
        </is>
      </c>
      <c r="AI8" s="525" t="n">
        <v>5.5</v>
      </c>
      <c r="AJ8" s="525" t="n">
        <v>5.5</v>
      </c>
      <c r="AL8" s="314" t="n">
        <v>73</v>
      </c>
      <c r="AM8" s="303" t="inlineStr">
        <is>
          <t>GRADE B</t>
        </is>
      </c>
      <c r="AN8" s="308" t="inlineStr">
        <is>
          <t xml:space="preserve">2½" </t>
        </is>
      </c>
      <c r="AO8" s="307" t="inlineStr">
        <is>
          <t>SO</t>
        </is>
      </c>
      <c r="AP8" s="307" t="inlineStr">
        <is>
          <t>RT</t>
        </is>
      </c>
      <c r="AQ8" s="307" t="inlineStr">
        <is>
          <t>RT</t>
        </is>
      </c>
      <c r="AR8" s="307" t="inlineStr">
        <is>
          <t>RT</t>
        </is>
      </c>
      <c r="AS8" s="307" t="inlineStr">
        <is>
          <t>RT</t>
        </is>
      </c>
      <c r="AT8" s="306" t="inlineStr">
        <is>
          <t>T</t>
        </is>
      </c>
      <c r="AU8" s="307" t="n"/>
      <c r="AV8" s="307" t="n"/>
      <c r="AW8" s="307" t="n"/>
      <c r="AX8" s="307" t="n"/>
      <c r="AY8" s="307" t="n"/>
      <c r="AZ8" s="307" t="n"/>
      <c r="BA8" s="307" t="n"/>
      <c r="BB8" s="307" t="n"/>
      <c r="BC8" s="307" t="n"/>
      <c r="BD8" s="307" t="n"/>
      <c r="BE8" s="307" t="n"/>
      <c r="BF8" s="307" t="n"/>
      <c r="BG8" s="307" t="n"/>
      <c r="BH8" s="307" t="n"/>
      <c r="BI8" s="307" t="n"/>
      <c r="BJ8" s="307" t="n"/>
      <c r="BK8" s="307" t="n"/>
      <c r="BL8" s="307" t="n"/>
      <c r="BM8" s="307" t="n"/>
      <c r="BN8" s="307" t="n"/>
      <c r="BO8" s="307" t="n"/>
      <c r="BP8" s="307" t="n"/>
      <c r="BQ8" s="307" t="n"/>
      <c r="BR8" s="307" t="n"/>
      <c r="BS8" s="307" t="n"/>
      <c r="BT8" s="741" t="n"/>
    </row>
    <row r="9" ht="12" customHeight="1" s="510" thickBot="1">
      <c r="N9" s="565" t="inlineStr">
        <is>
          <t>ASTM A860 WPHY70</t>
        </is>
      </c>
      <c r="O9" s="566" t="n">
        <v>60</v>
      </c>
      <c r="P9" s="566" t="n">
        <v>45</v>
      </c>
      <c r="Q9" s="567" t="n">
        <v>235</v>
      </c>
      <c r="R9" s="524" t="n"/>
      <c r="S9" s="524" t="n"/>
      <c r="T9" s="524" t="n"/>
      <c r="U9" s="524" t="n"/>
      <c r="V9" s="524" t="n"/>
      <c r="X9" s="524" t="inlineStr">
        <is>
          <t xml:space="preserve">2½"  </t>
        </is>
      </c>
      <c r="Y9" s="524" t="n">
        <v>65</v>
      </c>
      <c r="Z9" s="524" t="inlineStr">
        <is>
          <t xml:space="preserve"> 2 ⅞” </t>
        </is>
      </c>
      <c r="AA9" s="524" t="n">
        <v>73</v>
      </c>
      <c r="AB9" s="524" t="inlineStr">
        <is>
          <t>ASTM A234 WPB</t>
        </is>
      </c>
      <c r="AC9" s="524" t="inlineStr">
        <is>
          <t>ASME B16.9</t>
        </is>
      </c>
      <c r="AD9" s="524" t="inlineStr">
        <is>
          <t>ASTM A105</t>
        </is>
      </c>
      <c r="AE9" s="524" t="inlineStr">
        <is>
          <t>ASME B16.5</t>
        </is>
      </c>
      <c r="AF9" s="326" t="inlineStr">
        <is>
          <t> </t>
        </is>
      </c>
      <c r="AG9" s="326" t="inlineStr">
        <is>
          <t> </t>
        </is>
      </c>
      <c r="AH9" s="326" t="inlineStr">
        <is>
          <t> </t>
        </is>
      </c>
      <c r="AI9" s="524" t="n">
        <v>5.2</v>
      </c>
      <c r="AJ9" s="524" t="n">
        <v>5.2</v>
      </c>
      <c r="AL9" s="313" t="n">
        <v>88.90000000000001</v>
      </c>
      <c r="AM9" s="305" t="inlineStr">
        <is>
          <t>GRADE B</t>
        </is>
      </c>
      <c r="AN9" s="304" t="inlineStr">
        <is>
          <t>3"</t>
        </is>
      </c>
      <c r="AO9" s="307" t="inlineStr">
        <is>
          <t>SO</t>
        </is>
      </c>
      <c r="AP9" s="307" t="inlineStr">
        <is>
          <t>SO</t>
        </is>
      </c>
      <c r="AQ9" s="307" t="inlineStr">
        <is>
          <t>RT</t>
        </is>
      </c>
      <c r="AR9" s="307" t="inlineStr">
        <is>
          <t>RT</t>
        </is>
      </c>
      <c r="AS9" s="307" t="inlineStr">
        <is>
          <t>RT</t>
        </is>
      </c>
      <c r="AT9" s="307" t="inlineStr">
        <is>
          <t>RT</t>
        </is>
      </c>
      <c r="AU9" s="306" t="inlineStr">
        <is>
          <t>T</t>
        </is>
      </c>
      <c r="AV9" s="307" t="n"/>
      <c r="AW9" s="307" t="n"/>
      <c r="AX9" s="307" t="n"/>
      <c r="AY9" s="307" t="n"/>
      <c r="AZ9" s="307" t="n"/>
      <c r="BA9" s="307" t="n"/>
      <c r="BB9" s="307" t="n"/>
      <c r="BC9" s="307" t="n"/>
      <c r="BD9" s="307" t="n"/>
      <c r="BE9" s="307" t="n"/>
      <c r="BF9" s="307" t="n"/>
      <c r="BG9" s="307" t="n"/>
      <c r="BH9" s="307" t="n"/>
      <c r="BI9" s="307" t="n"/>
      <c r="BJ9" s="307" t="n"/>
      <c r="BK9" s="307" t="n"/>
      <c r="BL9" s="307" t="n"/>
      <c r="BM9" s="307" t="n"/>
      <c r="BN9" s="307" t="n"/>
      <c r="BO9" s="307" t="n"/>
      <c r="BP9" s="307" t="n"/>
      <c r="BQ9" s="307" t="n"/>
      <c r="BR9" s="307" t="n"/>
      <c r="BS9" s="307" t="n"/>
      <c r="BT9" s="741" t="n"/>
    </row>
    <row r="10" ht="12" customHeight="1" s="510" thickBot="1">
      <c r="N10" s="524" t="n"/>
      <c r="O10" s="524" t="n"/>
      <c r="P10" s="524" t="n"/>
      <c r="Q10" s="524" t="n"/>
      <c r="R10" s="524" t="n"/>
      <c r="S10" s="524" t="n"/>
      <c r="T10" s="524" t="n"/>
      <c r="U10" s="524" t="n"/>
      <c r="V10" s="524" t="n"/>
      <c r="X10" s="525" t="inlineStr">
        <is>
          <t xml:space="preserve">3" </t>
        </is>
      </c>
      <c r="Y10" s="525" t="n">
        <v>80</v>
      </c>
      <c r="Z10" s="525" t="inlineStr">
        <is>
          <t xml:space="preserve">3 ½” </t>
        </is>
      </c>
      <c r="AA10" s="525" t="n">
        <v>88.90000000000001</v>
      </c>
      <c r="AB10" s="525" t="inlineStr">
        <is>
          <t>ASTM A234 WPB</t>
        </is>
      </c>
      <c r="AC10" s="525" t="inlineStr">
        <is>
          <t>ASME B16.9</t>
        </is>
      </c>
      <c r="AD10" s="525" t="inlineStr">
        <is>
          <t>ASTM A105</t>
        </is>
      </c>
      <c r="AE10" s="525" t="inlineStr">
        <is>
          <t>ASME B16.5</t>
        </is>
      </c>
      <c r="AF10" s="325" t="inlineStr">
        <is>
          <t> </t>
        </is>
      </c>
      <c r="AG10" s="325" t="inlineStr">
        <is>
          <t> </t>
        </is>
      </c>
      <c r="AH10" s="325" t="inlineStr">
        <is>
          <t> </t>
        </is>
      </c>
      <c r="AI10" s="525" t="n">
        <v>5.5</v>
      </c>
      <c r="AJ10" s="525" t="n">
        <v>5.5</v>
      </c>
      <c r="AL10" s="314" t="n">
        <v>114.3</v>
      </c>
      <c r="AM10" s="303" t="inlineStr">
        <is>
          <t>GRADE B</t>
        </is>
      </c>
      <c r="AN10" s="308" t="inlineStr">
        <is>
          <t>4"</t>
        </is>
      </c>
      <c r="AO10" s="307" t="inlineStr">
        <is>
          <t>SO</t>
        </is>
      </c>
      <c r="AP10" s="307" t="inlineStr">
        <is>
          <t>SO</t>
        </is>
      </c>
      <c r="AQ10" s="307" t="inlineStr">
        <is>
          <t>SO</t>
        </is>
      </c>
      <c r="AR10" s="307" t="inlineStr">
        <is>
          <t>RT</t>
        </is>
      </c>
      <c r="AS10" s="307" t="inlineStr">
        <is>
          <t>RT</t>
        </is>
      </c>
      <c r="AT10" s="307" t="inlineStr">
        <is>
          <t>RT</t>
        </is>
      </c>
      <c r="AU10" s="307" t="inlineStr">
        <is>
          <t>RT</t>
        </is>
      </c>
      <c r="AV10" s="306" t="inlineStr">
        <is>
          <t>T</t>
        </is>
      </c>
      <c r="AW10" s="307" t="n"/>
      <c r="AX10" s="307" t="n"/>
      <c r="AY10" s="307" t="n"/>
      <c r="AZ10" s="307" t="n"/>
      <c r="BA10" s="307" t="n"/>
      <c r="BB10" s="307" t="n"/>
      <c r="BC10" s="307" t="n"/>
      <c r="BD10" s="307" t="n"/>
      <c r="BE10" s="307" t="n"/>
      <c r="BF10" s="307" t="n"/>
      <c r="BG10" s="307" t="n"/>
      <c r="BH10" s="307" t="n"/>
      <c r="BI10" s="307" t="n"/>
      <c r="BJ10" s="307" t="n"/>
      <c r="BK10" s="307" t="n"/>
      <c r="BL10" s="307" t="n"/>
      <c r="BM10" s="307" t="n"/>
      <c r="BN10" s="307" t="n"/>
      <c r="BO10" s="307" t="n"/>
      <c r="BP10" s="307" t="n"/>
      <c r="BQ10" s="307" t="n"/>
      <c r="BR10" s="307" t="n"/>
      <c r="BS10" s="307" t="n"/>
      <c r="BT10" s="741" t="n"/>
    </row>
    <row r="11">
      <c r="X11" s="524" t="inlineStr">
        <is>
          <t xml:space="preserve">4" </t>
        </is>
      </c>
      <c r="Y11" s="524" t="n">
        <v>100</v>
      </c>
      <c r="Z11" s="524" t="inlineStr">
        <is>
          <t xml:space="preserve">4 ½” </t>
        </is>
      </c>
      <c r="AA11" s="524" t="n">
        <v>114.3</v>
      </c>
      <c r="AB11" s="524" t="inlineStr">
        <is>
          <t>ASTM A234 WPB</t>
        </is>
      </c>
      <c r="AC11" s="524" t="inlineStr">
        <is>
          <t>ASME B16.9</t>
        </is>
      </c>
      <c r="AD11" s="524" t="inlineStr">
        <is>
          <t>ASTM A105</t>
        </is>
      </c>
      <c r="AE11" s="524" t="inlineStr">
        <is>
          <t>ASME B16.5</t>
        </is>
      </c>
      <c r="AF11" s="326" t="inlineStr">
        <is>
          <t> </t>
        </is>
      </c>
      <c r="AG11" s="326" t="inlineStr">
        <is>
          <t> </t>
        </is>
      </c>
      <c r="AH11" s="326" t="inlineStr">
        <is>
          <t> </t>
        </is>
      </c>
      <c r="AI11" s="524" t="n">
        <v>6</v>
      </c>
      <c r="AJ11" s="524" t="n">
        <v>6</v>
      </c>
      <c r="AL11" s="313" t="n">
        <v>141.3</v>
      </c>
      <c r="AM11" s="305" t="inlineStr">
        <is>
          <t>GRADE B</t>
        </is>
      </c>
      <c r="AN11" s="304" t="inlineStr">
        <is>
          <t>5"</t>
        </is>
      </c>
      <c r="AO11" s="307" t="inlineStr">
        <is>
          <t>SO</t>
        </is>
      </c>
      <c r="AP11" s="307" t="inlineStr">
        <is>
          <t>SO</t>
        </is>
      </c>
      <c r="AQ11" s="307" t="inlineStr">
        <is>
          <t>SO</t>
        </is>
      </c>
      <c r="AR11" s="307" t="inlineStr">
        <is>
          <t>WO</t>
        </is>
      </c>
      <c r="AS11" s="307" t="inlineStr">
        <is>
          <t>RT</t>
        </is>
      </c>
      <c r="AT11" s="307" t="inlineStr">
        <is>
          <t>RT</t>
        </is>
      </c>
      <c r="AU11" s="307" t="inlineStr">
        <is>
          <t>RT</t>
        </is>
      </c>
      <c r="AV11" s="307" t="inlineStr">
        <is>
          <t>RT</t>
        </is>
      </c>
      <c r="AW11" s="306" t="inlineStr">
        <is>
          <t>T</t>
        </is>
      </c>
      <c r="AX11" s="307" t="n"/>
      <c r="AY11" s="307" t="n"/>
      <c r="AZ11" s="307" t="n"/>
      <c r="BA11" s="307" t="n"/>
      <c r="BB11" s="307" t="n"/>
      <c r="BC11" s="307" t="n"/>
      <c r="BD11" s="307" t="n"/>
      <c r="BE11" s="307" t="n"/>
      <c r="BF11" s="307" t="n"/>
      <c r="BG11" s="307" t="n"/>
      <c r="BH11" s="307" t="n"/>
      <c r="BI11" s="307" t="n"/>
      <c r="BJ11" s="307" t="n"/>
      <c r="BK11" s="307" t="n"/>
      <c r="BL11" s="307" t="n"/>
      <c r="BM11" s="307" t="n"/>
      <c r="BN11" s="307" t="n"/>
      <c r="BO11" s="307" t="n"/>
      <c r="BP11" s="307" t="n"/>
      <c r="BQ11" s="307" t="n"/>
      <c r="BR11" s="307" t="n"/>
      <c r="BS11" s="307" t="n"/>
      <c r="BT11" s="741" t="n"/>
    </row>
    <row r="12">
      <c r="X12" s="525" t="inlineStr">
        <is>
          <t xml:space="preserve">5" </t>
        </is>
      </c>
      <c r="Y12" s="525" t="n">
        <v>125</v>
      </c>
      <c r="Z12" s="525" t="inlineStr">
        <is>
          <t xml:space="preserve">5 ⅝" </t>
        </is>
      </c>
      <c r="AA12" s="525" t="n">
        <v>141.3</v>
      </c>
      <c r="AB12" s="525" t="inlineStr">
        <is>
          <t>ASTM A234 WPB</t>
        </is>
      </c>
      <c r="AC12" s="525" t="inlineStr">
        <is>
          <t>ASME B16.9</t>
        </is>
      </c>
      <c r="AD12" s="525" t="inlineStr">
        <is>
          <t>ASTM A105</t>
        </is>
      </c>
      <c r="AE12" s="525" t="inlineStr">
        <is>
          <t>ASME B16.5</t>
        </is>
      </c>
      <c r="AF12" s="325" t="inlineStr">
        <is>
          <t> </t>
        </is>
      </c>
      <c r="AG12" s="325" t="inlineStr">
        <is>
          <t> </t>
        </is>
      </c>
      <c r="AH12" s="325" t="inlineStr">
        <is>
          <t> </t>
        </is>
      </c>
      <c r="AI12" s="525" t="n">
        <v>6.6</v>
      </c>
      <c r="AJ12" s="525" t="n">
        <v>7.1</v>
      </c>
      <c r="AL12" s="314" t="n">
        <v>168.3</v>
      </c>
      <c r="AM12" s="309" t="inlineStr">
        <is>
          <t>X42</t>
        </is>
      </c>
      <c r="AN12" s="308" t="inlineStr">
        <is>
          <t>6"</t>
        </is>
      </c>
      <c r="AO12" s="307" t="inlineStr">
        <is>
          <t>SO</t>
        </is>
      </c>
      <c r="AP12" s="307" t="inlineStr">
        <is>
          <t>SO</t>
        </is>
      </c>
      <c r="AQ12" s="307" t="inlineStr">
        <is>
          <t>SO</t>
        </is>
      </c>
      <c r="AR12" s="307" t="inlineStr">
        <is>
          <t>WO</t>
        </is>
      </c>
      <c r="AS12" s="307" t="inlineStr">
        <is>
          <t>WO</t>
        </is>
      </c>
      <c r="AT12" s="307" t="inlineStr">
        <is>
          <t>RT</t>
        </is>
      </c>
      <c r="AU12" s="307" t="inlineStr">
        <is>
          <t>RT</t>
        </is>
      </c>
      <c r="AV12" s="307" t="inlineStr">
        <is>
          <t>RT</t>
        </is>
      </c>
      <c r="AW12" s="307" t="inlineStr">
        <is>
          <t>RT</t>
        </is>
      </c>
      <c r="AX12" s="306" t="inlineStr">
        <is>
          <t>T</t>
        </is>
      </c>
      <c r="AY12" s="307" t="n"/>
      <c r="AZ12" s="307" t="n"/>
      <c r="BA12" s="307" t="n"/>
      <c r="BB12" s="307" t="n"/>
      <c r="BC12" s="307" t="n"/>
      <c r="BD12" s="307" t="n"/>
      <c r="BE12" s="307" t="n"/>
      <c r="BF12" s="307" t="n"/>
      <c r="BG12" s="307" t="n"/>
      <c r="BH12" s="307" t="n"/>
      <c r="BI12" s="307" t="n"/>
      <c r="BJ12" s="307" t="n"/>
      <c r="BK12" s="307" t="n"/>
      <c r="BL12" s="307" t="n"/>
      <c r="BM12" s="307" t="n"/>
      <c r="BN12" s="307" t="n"/>
      <c r="BO12" s="307" t="n"/>
      <c r="BP12" s="307" t="n"/>
      <c r="BQ12" s="307" t="n"/>
      <c r="BR12" s="307" t="n"/>
      <c r="BS12" s="307" t="n"/>
      <c r="BT12" s="741" t="n"/>
    </row>
    <row r="13">
      <c r="X13" s="524" t="inlineStr">
        <is>
          <t xml:space="preserve">6" </t>
        </is>
      </c>
      <c r="Y13" s="524" t="n">
        <v>150</v>
      </c>
      <c r="Z13" s="524" t="inlineStr">
        <is>
          <t xml:space="preserve">6 ⅝" </t>
        </is>
      </c>
      <c r="AA13" s="524" t="n">
        <v>168.3</v>
      </c>
      <c r="AB13" s="327" t="inlineStr">
        <is>
          <t xml:space="preserve">ASTM A860 WPHY42 </t>
        </is>
      </c>
      <c r="AC13" s="524" t="inlineStr">
        <is>
          <t>ASME B16.9</t>
        </is>
      </c>
      <c r="AD13" s="524" t="inlineStr">
        <is>
          <t>ASTM A694 F42</t>
        </is>
      </c>
      <c r="AE13" s="524" t="inlineStr">
        <is>
          <t>ASME B16.5</t>
        </is>
      </c>
      <c r="AF13" s="524" t="n">
        <v>5.2</v>
      </c>
      <c r="AG13" s="524" t="n">
        <v>5.2</v>
      </c>
      <c r="AH13" s="524" t="n">
        <v>5.2</v>
      </c>
      <c r="AI13" s="524" t="n">
        <v>6.4</v>
      </c>
      <c r="AJ13" s="524" t="n">
        <v>6.4</v>
      </c>
      <c r="AL13" s="313" t="n">
        <v>219.1</v>
      </c>
      <c r="AM13" s="310" t="inlineStr">
        <is>
          <t>X42</t>
        </is>
      </c>
      <c r="AN13" s="304" t="inlineStr">
        <is>
          <t>8"</t>
        </is>
      </c>
      <c r="AO13" s="307" t="inlineStr">
        <is>
          <t>SO</t>
        </is>
      </c>
      <c r="AP13" s="307" t="inlineStr">
        <is>
          <t>SO</t>
        </is>
      </c>
      <c r="AQ13" s="307" t="inlineStr">
        <is>
          <t>SO</t>
        </is>
      </c>
      <c r="AR13" s="307" t="inlineStr">
        <is>
          <t>WO</t>
        </is>
      </c>
      <c r="AS13" s="307" t="inlineStr">
        <is>
          <t>WO</t>
        </is>
      </c>
      <c r="AT13" s="307" t="n"/>
      <c r="AU13" s="307" t="inlineStr">
        <is>
          <t>*</t>
        </is>
      </c>
      <c r="AV13" s="307" t="inlineStr">
        <is>
          <t>RT</t>
        </is>
      </c>
      <c r="AW13" s="307" t="inlineStr">
        <is>
          <t>RT</t>
        </is>
      </c>
      <c r="AX13" s="307" t="inlineStr">
        <is>
          <t>RT</t>
        </is>
      </c>
      <c r="AY13" s="306" t="inlineStr">
        <is>
          <t>T</t>
        </is>
      </c>
      <c r="AZ13" s="307" t="n"/>
      <c r="BA13" s="307" t="n"/>
      <c r="BB13" s="307" t="n"/>
      <c r="BC13" s="307" t="n"/>
      <c r="BD13" s="307" t="n"/>
      <c r="BE13" s="307" t="n"/>
      <c r="BF13" s="307" t="n"/>
      <c r="BG13" s="307" t="n"/>
      <c r="BH13" s="307" t="n"/>
      <c r="BI13" s="307" t="n"/>
      <c r="BJ13" s="307" t="n"/>
      <c r="BK13" s="307" t="n"/>
      <c r="BL13" s="307" t="n"/>
      <c r="BM13" s="307" t="n"/>
      <c r="BN13" s="307" t="n"/>
      <c r="BO13" s="307" t="n"/>
      <c r="BP13" s="307" t="n"/>
      <c r="BQ13" s="307" t="n"/>
      <c r="BR13" s="307" t="n"/>
      <c r="BS13" s="307" t="n"/>
      <c r="BT13" s="741" t="n"/>
    </row>
    <row r="14">
      <c r="A14" s="1086" t="inlineStr">
        <is>
          <t>CHEMICAL COMPOSITION OF KEP</t>
        </is>
      </c>
      <c r="C14" s="567">
        <f>D3</f>
        <v/>
      </c>
      <c r="X14" s="525" t="inlineStr">
        <is>
          <t xml:space="preserve">8" </t>
        </is>
      </c>
      <c r="Y14" s="525" t="n">
        <v>200</v>
      </c>
      <c r="Z14" s="525" t="inlineStr">
        <is>
          <t xml:space="preserve">8 ⅝" </t>
        </is>
      </c>
      <c r="AA14" s="525" t="n">
        <v>219.1</v>
      </c>
      <c r="AB14" s="328" t="inlineStr">
        <is>
          <t>ASTM A860 WPHY42</t>
        </is>
      </c>
      <c r="AC14" s="525" t="inlineStr">
        <is>
          <t>ASME B16.9</t>
        </is>
      </c>
      <c r="AD14" s="525" t="inlineStr">
        <is>
          <t>ASTM A694 F42</t>
        </is>
      </c>
      <c r="AE14" s="525" t="inlineStr">
        <is>
          <t>ASME B16.5</t>
        </is>
      </c>
      <c r="AF14" s="525" t="n">
        <v>5.2</v>
      </c>
      <c r="AG14" s="525" t="n">
        <v>5.2</v>
      </c>
      <c r="AH14" s="525" t="n">
        <v>6.4</v>
      </c>
      <c r="AI14" s="525" t="n">
        <v>7.9</v>
      </c>
      <c r="AJ14" s="525" t="n">
        <v>7.9</v>
      </c>
      <c r="AL14" s="314" t="n">
        <v>273.1</v>
      </c>
      <c r="AM14" s="309" t="inlineStr">
        <is>
          <t>X46</t>
        </is>
      </c>
      <c r="AN14" s="308" t="inlineStr">
        <is>
          <t>10"</t>
        </is>
      </c>
      <c r="AO14" s="307" t="inlineStr">
        <is>
          <t>SO</t>
        </is>
      </c>
      <c r="AP14" s="307" t="inlineStr">
        <is>
          <t>SO</t>
        </is>
      </c>
      <c r="AQ14" s="307" t="inlineStr">
        <is>
          <t>SO</t>
        </is>
      </c>
      <c r="AR14" s="307" t="inlineStr">
        <is>
          <t>WO</t>
        </is>
      </c>
      <c r="AS14" s="307" t="inlineStr">
        <is>
          <t>WO</t>
        </is>
      </c>
      <c r="AT14" s="307" t="n"/>
      <c r="AU14" s="307" t="n"/>
      <c r="AV14" s="307" t="inlineStr">
        <is>
          <t>RT</t>
        </is>
      </c>
      <c r="AW14" s="307" t="inlineStr">
        <is>
          <t>RT</t>
        </is>
      </c>
      <c r="AX14" s="307" t="inlineStr">
        <is>
          <t>RT</t>
        </is>
      </c>
      <c r="AY14" s="307" t="inlineStr">
        <is>
          <t>RT</t>
        </is>
      </c>
      <c r="AZ14" s="306" t="inlineStr">
        <is>
          <t>T</t>
        </is>
      </c>
      <c r="BA14" s="307" t="n"/>
      <c r="BB14" s="307" t="n"/>
      <c r="BC14" s="307" t="n"/>
      <c r="BD14" s="307" t="n"/>
      <c r="BE14" s="307" t="n"/>
      <c r="BF14" s="307" t="n"/>
      <c r="BG14" s="307" t="n"/>
      <c r="BH14" s="307" t="n"/>
      <c r="BI14" s="307" t="n"/>
      <c r="BJ14" s="307" t="n"/>
      <c r="BK14" s="307" t="n"/>
      <c r="BL14" s="307" t="n"/>
      <c r="BM14" s="307" t="n"/>
      <c r="BN14" s="307" t="n"/>
      <c r="BO14" s="307" t="n"/>
      <c r="BP14" s="307" t="n"/>
      <c r="BQ14" s="307" t="n"/>
      <c r="BR14" s="307" t="n"/>
      <c r="BS14" s="307" t="n"/>
      <c r="BT14" s="741" t="n"/>
    </row>
    <row r="15">
      <c r="A15" s="558" t="inlineStr">
        <is>
          <t>C%</t>
        </is>
      </c>
      <c r="B15" s="558" t="inlineStr">
        <is>
          <t>Mn%</t>
        </is>
      </c>
      <c r="C15" s="558" t="inlineStr">
        <is>
          <t>Si%</t>
        </is>
      </c>
      <c r="D15" s="558" t="inlineStr">
        <is>
          <t>S%</t>
        </is>
      </c>
      <c r="E15" s="558" t="inlineStr">
        <is>
          <t>P%</t>
        </is>
      </c>
      <c r="F15" s="558" t="inlineStr">
        <is>
          <t>Cr%</t>
        </is>
      </c>
      <c r="G15" s="558" t="inlineStr">
        <is>
          <t>Ni%</t>
        </is>
      </c>
      <c r="H15" s="558" t="inlineStr">
        <is>
          <t>Mo%</t>
        </is>
      </c>
      <c r="I15" s="558" t="inlineStr">
        <is>
          <t>V%</t>
        </is>
      </c>
      <c r="J15" s="558" t="inlineStr">
        <is>
          <t>Cu%</t>
        </is>
      </c>
      <c r="K15" s="558" t="inlineStr">
        <is>
          <t>Columbium %</t>
        </is>
      </c>
      <c r="L15" s="558" t="inlineStr">
        <is>
          <t>Al %</t>
        </is>
      </c>
      <c r="M15" s="558" t="inlineStr">
        <is>
          <t>Other</t>
        </is>
      </c>
      <c r="O15" s="522" t="n"/>
      <c r="P15" s="522" t="n"/>
      <c r="Q15" s="522" t="n"/>
      <c r="R15" s="522" t="n"/>
      <c r="S15" s="522" t="n"/>
      <c r="T15" s="522" t="n"/>
      <c r="U15" s="522" t="n"/>
      <c r="V15" s="522" t="n"/>
      <c r="X15" s="524" t="inlineStr">
        <is>
          <t xml:space="preserve">10" </t>
        </is>
      </c>
      <c r="Y15" s="524" t="n">
        <v>250</v>
      </c>
      <c r="Z15" s="524" t="inlineStr">
        <is>
          <t xml:space="preserve">10 ¾" </t>
        </is>
      </c>
      <c r="AA15" s="524" t="n">
        <v>273.1</v>
      </c>
      <c r="AB15" s="327" t="inlineStr">
        <is>
          <t>ASTM A860 WPHY46</t>
        </is>
      </c>
      <c r="AC15" s="524" t="inlineStr">
        <is>
          <t>ASME B16.9</t>
        </is>
      </c>
      <c r="AD15" s="524" t="inlineStr">
        <is>
          <t>ASTM A694 F46</t>
        </is>
      </c>
      <c r="AE15" s="524" t="inlineStr">
        <is>
          <t>ASME B16.5</t>
        </is>
      </c>
      <c r="AF15" s="524" t="n">
        <v>5.2</v>
      </c>
      <c r="AG15" s="524" t="n">
        <v>5.6</v>
      </c>
      <c r="AH15" s="524" t="n">
        <v>7.1</v>
      </c>
      <c r="AI15" s="524" t="n">
        <v>8.699999999999999</v>
      </c>
      <c r="AJ15" s="524" t="n">
        <v>8.699999999999999</v>
      </c>
      <c r="AL15" s="313" t="n">
        <v>323.9</v>
      </c>
      <c r="AM15" s="310" t="inlineStr">
        <is>
          <t>X52</t>
        </is>
      </c>
      <c r="AN15" s="304" t="inlineStr">
        <is>
          <t>12"</t>
        </is>
      </c>
      <c r="AO15" s="307" t="inlineStr">
        <is>
          <t>SO</t>
        </is>
      </c>
      <c r="AP15" s="307" t="inlineStr">
        <is>
          <t>SO</t>
        </is>
      </c>
      <c r="AQ15" s="307" t="inlineStr">
        <is>
          <t>SO</t>
        </is>
      </c>
      <c r="AR15" s="307" t="inlineStr">
        <is>
          <t>WO</t>
        </is>
      </c>
      <c r="AS15" s="307" t="inlineStr">
        <is>
          <t>WO</t>
        </is>
      </c>
      <c r="AT15" s="307" t="n"/>
      <c r="AU15" s="307" t="n"/>
      <c r="AV15" s="307" t="inlineStr">
        <is>
          <t>*</t>
        </is>
      </c>
      <c r="AW15" s="307" t="inlineStr">
        <is>
          <t>RT</t>
        </is>
      </c>
      <c r="AX15" s="307" t="inlineStr">
        <is>
          <t>RT</t>
        </is>
      </c>
      <c r="AY15" s="307" t="inlineStr">
        <is>
          <t>RT</t>
        </is>
      </c>
      <c r="AZ15" s="307" t="inlineStr">
        <is>
          <t>RT</t>
        </is>
      </c>
      <c r="BA15" s="306" t="inlineStr">
        <is>
          <t>T</t>
        </is>
      </c>
      <c r="BB15" s="307" t="n"/>
      <c r="BC15" s="307" t="n"/>
      <c r="BD15" s="307" t="n"/>
      <c r="BE15" s="307" t="n"/>
      <c r="BF15" s="307" t="n"/>
      <c r="BG15" s="307" t="n"/>
      <c r="BH15" s="307" t="n"/>
      <c r="BI15" s="307" t="n"/>
      <c r="BJ15" s="307" t="n"/>
      <c r="BK15" s="307" t="n"/>
      <c r="BL15" s="307" t="n"/>
      <c r="BM15" s="307" t="n"/>
      <c r="BN15" s="307" t="n"/>
      <c r="BO15" s="307" t="n"/>
      <c r="BP15" s="307" t="n"/>
      <c r="BQ15" s="307" t="n"/>
      <c r="BR15" s="307" t="n"/>
      <c r="BS15" s="307" t="n"/>
      <c r="BT15" s="741" t="n"/>
    </row>
    <row r="16">
      <c r="A16" s="576">
        <f>VLOOKUP('Fitting Seçim Aracı'!$D$3,Wrought_Fit_Chem._Comp[],2,FALSE)</f>
        <v/>
      </c>
      <c r="B16" s="576">
        <f>VLOOKUP('Fitting Seçim Aracı'!$D$3,Wrought_Fit_Chem._Comp[],3,FALSE)</f>
        <v/>
      </c>
      <c r="C16" s="576">
        <f>VLOOKUP('Fitting Seçim Aracı'!$D$3,Wrought_Fit_Chem._Comp[],4,FALSE)</f>
        <v/>
      </c>
      <c r="D16" s="576">
        <f>VLOOKUP('Fitting Seçim Aracı'!$D$3,Wrought_Fit_Chem._Comp[],5,FALSE)</f>
        <v/>
      </c>
      <c r="E16" s="576">
        <f>VLOOKUP('Fitting Seçim Aracı'!$D$3,Wrought_Fit_Chem._Comp[],6,FALSE)</f>
        <v/>
      </c>
      <c r="F16" s="576">
        <f>VLOOKUP('Fitting Seçim Aracı'!$D$3,Wrought_Fit_Chem._Comp[],7,FALSE)</f>
        <v/>
      </c>
      <c r="G16" s="576">
        <f>VLOOKUP('Fitting Seçim Aracı'!$D$3,Wrought_Fit_Chem._Comp[],8,FALSE)</f>
        <v/>
      </c>
      <c r="H16" s="576">
        <f>VLOOKUP('Fitting Seçim Aracı'!$D$3,Wrought_Fit_Chem._Comp[],9,FALSE)</f>
        <v/>
      </c>
      <c r="I16" s="576">
        <f>VLOOKUP('Fitting Seçim Aracı'!$D$3,Wrought_Fit_Chem._Comp[],10,FALSE)</f>
        <v/>
      </c>
      <c r="J16" s="576">
        <f>VLOOKUP('Fitting Seçim Aracı'!$D$3,Wrought_Fit_Chem._Comp[],11,FALSE)</f>
        <v/>
      </c>
      <c r="K16" s="576">
        <f>VLOOKUP('Fitting Seçim Aracı'!$D$3,Wrought_Fit_Chem._Comp[],12,FALSE)</f>
        <v/>
      </c>
      <c r="L16" s="576">
        <f>VLOOKUP('Fitting Seçim Aracı'!$D$3,Wrought_Fit_Chem._Comp[],13,FALSE)</f>
        <v/>
      </c>
      <c r="M16" s="576">
        <f>VLOOKUP('Fitting Seçim Aracı'!$D$3,Wrought_Fit_Chem._Comp[],14,FALSE)</f>
        <v/>
      </c>
      <c r="X16" s="525" t="inlineStr">
        <is>
          <t xml:space="preserve">12" </t>
        </is>
      </c>
      <c r="Y16" s="525" t="n">
        <v>300</v>
      </c>
      <c r="Z16" s="525" t="inlineStr">
        <is>
          <t xml:space="preserve">12 ¾" </t>
        </is>
      </c>
      <c r="AA16" s="525" t="n">
        <v>323.9</v>
      </c>
      <c r="AB16" s="525" t="inlineStr">
        <is>
          <t>ASTM A860 WPHY52</t>
        </is>
      </c>
      <c r="AC16" s="525" t="inlineStr">
        <is>
          <t>ASME B16.9</t>
        </is>
      </c>
      <c r="AD16" s="525" t="inlineStr">
        <is>
          <t>ASTM A694 F52</t>
        </is>
      </c>
      <c r="AE16" s="525" t="inlineStr">
        <is>
          <t>MSS SP-44</t>
        </is>
      </c>
      <c r="AF16" s="525" t="n">
        <v>5.2</v>
      </c>
      <c r="AG16" s="525" t="n">
        <v>6.4</v>
      </c>
      <c r="AH16" s="525" t="n">
        <v>7.1</v>
      </c>
      <c r="AI16" s="525" t="n">
        <v>8.4</v>
      </c>
      <c r="AJ16" s="525" t="n">
        <v>9.5</v>
      </c>
      <c r="AL16" s="314" t="n">
        <v>355.6</v>
      </c>
      <c r="AM16" s="309" t="inlineStr">
        <is>
          <t>X52</t>
        </is>
      </c>
      <c r="AN16" s="308" t="inlineStr">
        <is>
          <t>14"</t>
        </is>
      </c>
      <c r="AO16" s="307" t="inlineStr">
        <is>
          <t>SO</t>
        </is>
      </c>
      <c r="AP16" s="307" t="inlineStr">
        <is>
          <t>SO</t>
        </is>
      </c>
      <c r="AQ16" s="307" t="inlineStr">
        <is>
          <t>SO</t>
        </is>
      </c>
      <c r="AR16" s="307" t="inlineStr">
        <is>
          <t>WO</t>
        </is>
      </c>
      <c r="AS16" s="307" t="inlineStr">
        <is>
          <t>WO</t>
        </is>
      </c>
      <c r="AT16" s="307" t="n"/>
      <c r="AU16" s="307" t="n"/>
      <c r="AV16" s="307" t="n"/>
      <c r="AW16" s="307" t="inlineStr">
        <is>
          <t>*</t>
        </is>
      </c>
      <c r="AX16" s="307" t="inlineStr">
        <is>
          <t>RT</t>
        </is>
      </c>
      <c r="AY16" s="307" t="inlineStr">
        <is>
          <t>RT</t>
        </is>
      </c>
      <c r="AZ16" s="307" t="inlineStr">
        <is>
          <t>RT</t>
        </is>
      </c>
      <c r="BA16" s="307" t="inlineStr">
        <is>
          <t>RT</t>
        </is>
      </c>
      <c r="BB16" s="306" t="inlineStr">
        <is>
          <t>T</t>
        </is>
      </c>
      <c r="BC16" s="307" t="n"/>
      <c r="BD16" s="307" t="n"/>
      <c r="BE16" s="307" t="n"/>
      <c r="BF16" s="307" t="n"/>
      <c r="BG16" s="307" t="n"/>
      <c r="BH16" s="307" t="n"/>
      <c r="BI16" s="307" t="n"/>
      <c r="BJ16" s="307" t="n"/>
      <c r="BK16" s="307" t="n"/>
      <c r="BL16" s="307" t="n"/>
      <c r="BM16" s="307" t="n"/>
      <c r="BN16" s="307" t="n"/>
      <c r="BO16" s="307" t="n"/>
      <c r="BP16" s="307" t="n"/>
      <c r="BQ16" s="307" t="n"/>
      <c r="BR16" s="307" t="n"/>
      <c r="BS16" s="307" t="n"/>
      <c r="BT16" s="741" t="n"/>
    </row>
    <row r="17">
      <c r="X17" s="524" t="inlineStr">
        <is>
          <t xml:space="preserve">14" </t>
        </is>
      </c>
      <c r="Y17" s="524" t="n">
        <v>350</v>
      </c>
      <c r="Z17" s="524" t="inlineStr">
        <is>
          <t xml:space="preserve">14" </t>
        </is>
      </c>
      <c r="AA17" s="524" t="n">
        <v>355.6</v>
      </c>
      <c r="AB17" s="524" t="inlineStr">
        <is>
          <t>ASTM A860 WPHY52</t>
        </is>
      </c>
      <c r="AC17" s="524" t="inlineStr">
        <is>
          <t>ASME B16.9</t>
        </is>
      </c>
      <c r="AD17" s="524" t="inlineStr">
        <is>
          <t>ASTM A694 F52</t>
        </is>
      </c>
      <c r="AE17" s="524" t="inlineStr">
        <is>
          <t>MSS SP-44</t>
        </is>
      </c>
      <c r="AF17" s="524" t="n">
        <v>5.2</v>
      </c>
      <c r="AG17" s="524" t="n">
        <v>6.4</v>
      </c>
      <c r="AH17" s="524" t="n">
        <v>7.9</v>
      </c>
      <c r="AI17" s="524" t="n">
        <v>9.5</v>
      </c>
      <c r="AJ17" s="524" t="n">
        <v>10.3</v>
      </c>
      <c r="AL17" s="313" t="n">
        <v>406.4</v>
      </c>
      <c r="AM17" s="310" t="inlineStr">
        <is>
          <t>X60</t>
        </is>
      </c>
      <c r="AN17" s="304" t="inlineStr">
        <is>
          <t>16"</t>
        </is>
      </c>
      <c r="AO17" s="307" t="inlineStr">
        <is>
          <t>SO</t>
        </is>
      </c>
      <c r="AP17" s="307" t="inlineStr">
        <is>
          <t>SO</t>
        </is>
      </c>
      <c r="AQ17" s="307" t="inlineStr">
        <is>
          <t>SO</t>
        </is>
      </c>
      <c r="AR17" s="307" t="inlineStr">
        <is>
          <t>WO</t>
        </is>
      </c>
      <c r="AS17" s="307" t="inlineStr">
        <is>
          <t>WO</t>
        </is>
      </c>
      <c r="AT17" s="307" t="n"/>
      <c r="AU17" s="307" t="n"/>
      <c r="AV17" s="307" t="n"/>
      <c r="AW17" s="307" t="n"/>
      <c r="AX17" s="307" t="inlineStr">
        <is>
          <t>RT</t>
        </is>
      </c>
      <c r="AY17" s="307" t="inlineStr">
        <is>
          <t>RT</t>
        </is>
      </c>
      <c r="AZ17" s="307" t="inlineStr">
        <is>
          <t>RT</t>
        </is>
      </c>
      <c r="BA17" s="307" t="inlineStr">
        <is>
          <t>RT</t>
        </is>
      </c>
      <c r="BB17" s="307" t="inlineStr">
        <is>
          <t>RT</t>
        </is>
      </c>
      <c r="BC17" s="306" t="inlineStr">
        <is>
          <t>T</t>
        </is>
      </c>
      <c r="BD17" s="307" t="n"/>
      <c r="BE17" s="307" t="n"/>
      <c r="BF17" s="307" t="n"/>
      <c r="BG17" s="307" t="n"/>
      <c r="BH17" s="307" t="n"/>
      <c r="BI17" s="307" t="n"/>
      <c r="BJ17" s="307" t="n"/>
      <c r="BK17" s="307" t="n"/>
      <c r="BL17" s="307" t="n"/>
      <c r="BM17" s="307" t="n"/>
      <c r="BN17" s="307" t="n"/>
      <c r="BO17" s="307" t="n"/>
      <c r="BP17" s="307" t="n"/>
      <c r="BQ17" s="307" t="n"/>
      <c r="BR17" s="307" t="n"/>
      <c r="BS17" s="307" t="n"/>
      <c r="BT17" s="741" t="n"/>
    </row>
    <row r="18">
      <c r="A18" s="1086" t="inlineStr">
        <is>
          <t>MECHANICAL PROPERTIES OF KEP</t>
        </is>
      </c>
      <c r="C18" s="567">
        <f>D3</f>
        <v/>
      </c>
      <c r="X18" s="525" t="inlineStr">
        <is>
          <t xml:space="preserve">16" </t>
        </is>
      </c>
      <c r="Y18" s="525" t="n">
        <v>400</v>
      </c>
      <c r="Z18" s="525" t="inlineStr">
        <is>
          <t xml:space="preserve">16" </t>
        </is>
      </c>
      <c r="AA18" s="525" t="n">
        <v>406.4</v>
      </c>
      <c r="AB18" s="525" t="inlineStr">
        <is>
          <t>ASTM A860 WPHY60</t>
        </is>
      </c>
      <c r="AC18" s="525" t="inlineStr">
        <is>
          <t>MSS SP-75</t>
        </is>
      </c>
      <c r="AD18" s="525" t="inlineStr">
        <is>
          <t>ASTM A694 F60</t>
        </is>
      </c>
      <c r="AE18" s="525" t="inlineStr">
        <is>
          <t>MSS SP-44</t>
        </is>
      </c>
      <c r="AF18" s="525" t="n">
        <v>5.2</v>
      </c>
      <c r="AG18" s="525" t="n">
        <v>6.4</v>
      </c>
      <c r="AH18" s="525" t="n">
        <v>7.9</v>
      </c>
      <c r="AI18" s="525" t="n">
        <v>9.5</v>
      </c>
      <c r="AJ18" s="525" t="n">
        <v>10.3</v>
      </c>
      <c r="AL18" s="314" t="n">
        <v>457</v>
      </c>
      <c r="AM18" s="309" t="inlineStr">
        <is>
          <t>X65</t>
        </is>
      </c>
      <c r="AN18" s="308" t="inlineStr">
        <is>
          <t>18"</t>
        </is>
      </c>
      <c r="AO18" s="307" t="inlineStr">
        <is>
          <t>SO</t>
        </is>
      </c>
      <c r="AP18" s="307" t="inlineStr">
        <is>
          <t>SO</t>
        </is>
      </c>
      <c r="AQ18" s="307" t="inlineStr">
        <is>
          <t>SO</t>
        </is>
      </c>
      <c r="AR18" s="307" t="inlineStr">
        <is>
          <t>WO</t>
        </is>
      </c>
      <c r="AS18" s="307" t="inlineStr">
        <is>
          <t>WO</t>
        </is>
      </c>
      <c r="AT18" s="307" t="n"/>
      <c r="AU18" s="307" t="n"/>
      <c r="AV18" s="307" t="n"/>
      <c r="AW18" s="307" t="n"/>
      <c r="AX18" s="307" t="inlineStr">
        <is>
          <t>*</t>
        </is>
      </c>
      <c r="AY18" s="307" t="inlineStr">
        <is>
          <t>RT</t>
        </is>
      </c>
      <c r="AZ18" s="307" t="inlineStr">
        <is>
          <t>RT</t>
        </is>
      </c>
      <c r="BA18" s="307" t="inlineStr">
        <is>
          <t>RT</t>
        </is>
      </c>
      <c r="BB18" s="307" t="inlineStr">
        <is>
          <t>RT</t>
        </is>
      </c>
      <c r="BC18" s="307" t="inlineStr">
        <is>
          <t>RT</t>
        </is>
      </c>
      <c r="BD18" s="306" t="inlineStr">
        <is>
          <t>T</t>
        </is>
      </c>
      <c r="BE18" s="307" t="n"/>
      <c r="BF18" s="307" t="n"/>
      <c r="BG18" s="307" t="n"/>
      <c r="BH18" s="307" t="n"/>
      <c r="BI18" s="307" t="n"/>
      <c r="BJ18" s="307" t="n"/>
      <c r="BK18" s="307" t="n"/>
      <c r="BL18" s="307" t="n"/>
      <c r="BM18" s="307" t="n"/>
      <c r="BN18" s="307" t="n"/>
      <c r="BO18" s="307" t="n"/>
      <c r="BP18" s="307" t="n"/>
      <c r="BQ18" s="307" t="n"/>
      <c r="BR18" s="307" t="n"/>
      <c r="BS18" s="307" t="n"/>
      <c r="BT18" s="741" t="n"/>
    </row>
    <row r="19">
      <c r="A19" s="558" t="inlineStr">
        <is>
          <t>Yield Strength Min, psi</t>
        </is>
      </c>
      <c r="B19" s="558" t="inlineStr">
        <is>
          <t>Yield Strength Min, N/mm²</t>
        </is>
      </c>
      <c r="C19" s="558" t="inlineStr">
        <is>
          <t>Tensile Strength Min, psi</t>
        </is>
      </c>
      <c r="D19" s="558" t="inlineStr">
        <is>
          <t>Tensile Strength Min, N/mm²</t>
        </is>
      </c>
      <c r="E19" s="558" t="inlineStr">
        <is>
          <t>Elongation (%)</t>
        </is>
      </c>
      <c r="F19" s="558" t="inlineStr">
        <is>
          <t>Reduction of Area (%)</t>
        </is>
      </c>
      <c r="G19" s="558" t="inlineStr">
        <is>
          <t>Hardness, maximum HBW</t>
        </is>
      </c>
      <c r="H19" s="558" t="inlineStr">
        <is>
          <t>CVN Avarage</t>
        </is>
      </c>
      <c r="I19" s="558" t="inlineStr">
        <is>
          <t>CVN Min</t>
        </is>
      </c>
      <c r="J19" s="558" t="inlineStr">
        <is>
          <t>CVN Temp C</t>
        </is>
      </c>
      <c r="X19" s="524" t="inlineStr">
        <is>
          <t xml:space="preserve">18" </t>
        </is>
      </c>
      <c r="Y19" s="524" t="n">
        <v>450</v>
      </c>
      <c r="Z19" s="524" t="inlineStr">
        <is>
          <t xml:space="preserve">18" </t>
        </is>
      </c>
      <c r="AA19" s="524" t="n">
        <v>457</v>
      </c>
      <c r="AB19" s="524" t="inlineStr">
        <is>
          <t>ASTM A860 WPHY65</t>
        </is>
      </c>
      <c r="AC19" s="524" t="inlineStr">
        <is>
          <t>MSS SP-75</t>
        </is>
      </c>
      <c r="AD19" s="524" t="inlineStr">
        <is>
          <t>ASTM A694 F65</t>
        </is>
      </c>
      <c r="AE19" s="524" t="inlineStr">
        <is>
          <t>MSS SP-44</t>
        </is>
      </c>
      <c r="AF19" s="524" t="n">
        <v>5.6</v>
      </c>
      <c r="AG19" s="524" t="n">
        <v>6.4</v>
      </c>
      <c r="AH19" s="524" t="n">
        <v>7.9</v>
      </c>
      <c r="AI19" s="524" t="n">
        <v>9.5</v>
      </c>
      <c r="AJ19" s="524" t="n">
        <v>10.3</v>
      </c>
      <c r="AL19" s="313" t="n">
        <v>508</v>
      </c>
      <c r="AM19" s="310" t="inlineStr">
        <is>
          <t>X65</t>
        </is>
      </c>
      <c r="AN19" s="304" t="inlineStr">
        <is>
          <t>20"</t>
        </is>
      </c>
      <c r="AO19" s="307" t="inlineStr">
        <is>
          <t>SO</t>
        </is>
      </c>
      <c r="AP19" s="307" t="inlineStr">
        <is>
          <t>SO</t>
        </is>
      </c>
      <c r="AQ19" s="307" t="inlineStr">
        <is>
          <t>SO</t>
        </is>
      </c>
      <c r="AR19" s="307" t="inlineStr">
        <is>
          <t>WO</t>
        </is>
      </c>
      <c r="AS19" s="307" t="inlineStr">
        <is>
          <t>WO</t>
        </is>
      </c>
      <c r="AT19" s="307" t="n"/>
      <c r="AU19" s="307" t="n"/>
      <c r="AV19" s="307" t="n"/>
      <c r="AW19" s="307" t="n"/>
      <c r="AX19" s="307" t="n"/>
      <c r="AY19" s="307" t="inlineStr">
        <is>
          <t>RT</t>
        </is>
      </c>
      <c r="AZ19" s="307" t="inlineStr">
        <is>
          <t>RT</t>
        </is>
      </c>
      <c r="BA19" s="307" t="inlineStr">
        <is>
          <t>RT</t>
        </is>
      </c>
      <c r="BB19" s="307" t="inlineStr">
        <is>
          <t>RT</t>
        </is>
      </c>
      <c r="BC19" s="307" t="inlineStr">
        <is>
          <t>RT</t>
        </is>
      </c>
      <c r="BD19" s="307" t="inlineStr">
        <is>
          <t>RT</t>
        </is>
      </c>
      <c r="BE19" s="306" t="inlineStr">
        <is>
          <t>T</t>
        </is>
      </c>
      <c r="BF19" s="307" t="n"/>
      <c r="BG19" s="307" t="n"/>
      <c r="BH19" s="307" t="n"/>
      <c r="BI19" s="307" t="n"/>
      <c r="BJ19" s="307" t="n"/>
      <c r="BK19" s="307" t="n"/>
      <c r="BL19" s="307" t="n"/>
      <c r="BM19" s="307" t="n"/>
      <c r="BN19" s="307" t="n"/>
      <c r="BO19" s="307" t="n"/>
      <c r="BP19" s="307" t="n"/>
      <c r="BQ19" s="307" t="n"/>
      <c r="BR19" s="307" t="n"/>
      <c r="BS19" s="307" t="n"/>
      <c r="BT19" s="741" t="n"/>
    </row>
    <row r="20">
      <c r="A20" s="590">
        <f>VLOOKUP($D$3,Wrought_Fit_Mech._Prop.[],2,FALSE)</f>
        <v/>
      </c>
      <c r="B20" s="590">
        <f>VLOOKUP($D$3,Wrought_Fit_Mech._Prop.[],3,FALSE)</f>
        <v/>
      </c>
      <c r="C20" s="590">
        <f>VLOOKUP($D$3,Wrought_Fit_Mech._Prop.[],4,FALSE)</f>
        <v/>
      </c>
      <c r="D20" s="590">
        <f>VLOOKUP($D$3,Wrought_Fit_Mech._Prop.[],5,FALSE)</f>
        <v/>
      </c>
      <c r="E20" s="590">
        <f>VLOOKUP($D$3,Wrought_Fit_Mech._Prop.[],6,FALSE)</f>
        <v/>
      </c>
      <c r="F20" s="590">
        <f>VLOOKUP($D$3,Wrought_Fit_Mech._Prop.[],7,FALSE)</f>
        <v/>
      </c>
      <c r="G20" s="590">
        <f>VLOOKUP($D$3,Wrought_Fit_Mech._Prop.[],8,FALSE)</f>
        <v/>
      </c>
      <c r="H20" s="590">
        <f>VLOOKUP($D$3,Wrought_Fit_Mech._Prop.[],9,FALSE)</f>
        <v/>
      </c>
      <c r="I20" s="590">
        <f>VLOOKUP($D$3,Wrought_Fit_Mech._Prop.[],10,FALSE)</f>
        <v/>
      </c>
      <c r="J20" s="590">
        <f>VLOOKUP($D$3,Wrought_Fit_Mech._Prop.[],11,FALSE)</f>
        <v/>
      </c>
      <c r="X20" s="525" t="inlineStr">
        <is>
          <t xml:space="preserve">20" </t>
        </is>
      </c>
      <c r="Y20" s="525" t="n">
        <v>500</v>
      </c>
      <c r="Z20" s="525" t="inlineStr">
        <is>
          <t xml:space="preserve">20" </t>
        </is>
      </c>
      <c r="AA20" s="525" t="n">
        <v>508</v>
      </c>
      <c r="AB20" s="525" t="inlineStr">
        <is>
          <t>ASTM A860 WPHY65</t>
        </is>
      </c>
      <c r="AC20" s="525" t="inlineStr">
        <is>
          <t>MSS SP-75</t>
        </is>
      </c>
      <c r="AD20" s="525" t="inlineStr">
        <is>
          <t>ASTM A694 F65</t>
        </is>
      </c>
      <c r="AE20" s="525" t="inlineStr">
        <is>
          <t>MSS SP-44</t>
        </is>
      </c>
      <c r="AF20" s="525" t="n">
        <v>6.4</v>
      </c>
      <c r="AG20" s="525" t="n">
        <v>7.1</v>
      </c>
      <c r="AH20" s="525" t="n">
        <v>8.699999999999999</v>
      </c>
      <c r="AI20" s="525" t="n">
        <v>10.3</v>
      </c>
      <c r="AJ20" s="525" t="n">
        <v>11.1</v>
      </c>
      <c r="AL20" s="314" t="n">
        <v>559</v>
      </c>
      <c r="AM20" s="309" t="inlineStr">
        <is>
          <t>X65</t>
        </is>
      </c>
      <c r="AN20" s="308" t="inlineStr">
        <is>
          <t>22"</t>
        </is>
      </c>
      <c r="AO20" s="307" t="inlineStr">
        <is>
          <t>SO</t>
        </is>
      </c>
      <c r="AP20" s="307" t="inlineStr">
        <is>
          <t>SO</t>
        </is>
      </c>
      <c r="AQ20" s="307" t="inlineStr">
        <is>
          <t>SO</t>
        </is>
      </c>
      <c r="AR20" s="307" t="inlineStr">
        <is>
          <t>WO</t>
        </is>
      </c>
      <c r="AS20" s="307" t="inlineStr">
        <is>
          <t>WO</t>
        </is>
      </c>
      <c r="AT20" s="307" t="n"/>
      <c r="AU20" s="307" t="n"/>
      <c r="AV20" s="307" t="n"/>
      <c r="AW20" s="307" t="n"/>
      <c r="AX20" s="307" t="n"/>
      <c r="AY20" s="307" t="n"/>
      <c r="AZ20" s="307" t="inlineStr">
        <is>
          <t>RT</t>
        </is>
      </c>
      <c r="BA20" s="307" t="inlineStr">
        <is>
          <t>RT</t>
        </is>
      </c>
      <c r="BB20" s="307" t="inlineStr">
        <is>
          <t>RT</t>
        </is>
      </c>
      <c r="BC20" s="307" t="inlineStr">
        <is>
          <t>RT</t>
        </is>
      </c>
      <c r="BD20" s="307" t="inlineStr">
        <is>
          <t>RT</t>
        </is>
      </c>
      <c r="BE20" s="307" t="inlineStr">
        <is>
          <t>RT</t>
        </is>
      </c>
      <c r="BF20" s="306" t="inlineStr">
        <is>
          <t>T</t>
        </is>
      </c>
      <c r="BG20" s="307" t="n"/>
      <c r="BH20" s="307" t="n"/>
      <c r="BI20" s="307" t="n"/>
      <c r="BJ20" s="307" t="n"/>
      <c r="BK20" s="307" t="n"/>
      <c r="BL20" s="307" t="n"/>
      <c r="BM20" s="307" t="n"/>
      <c r="BN20" s="307" t="n"/>
      <c r="BO20" s="307" t="n"/>
      <c r="BP20" s="307" t="n"/>
      <c r="BQ20" s="307" t="n"/>
      <c r="BR20" s="307" t="n"/>
      <c r="BS20" s="307" t="n"/>
      <c r="BT20" s="741" t="n"/>
    </row>
    <row r="21">
      <c r="X21" s="524" t="inlineStr">
        <is>
          <t xml:space="preserve">22" </t>
        </is>
      </c>
      <c r="Y21" s="524" t="inlineStr">
        <is>
          <t>  </t>
        </is>
      </c>
      <c r="Z21" s="524" t="inlineStr">
        <is>
          <t xml:space="preserve">22" </t>
        </is>
      </c>
      <c r="AA21" s="524" t="n">
        <v>559</v>
      </c>
      <c r="AB21" s="524" t="inlineStr">
        <is>
          <t>ASTM A860 WPHY65</t>
        </is>
      </c>
      <c r="AC21" s="524" t="inlineStr">
        <is>
          <t>MSS SP-75</t>
        </is>
      </c>
      <c r="AD21" s="524" t="inlineStr">
        <is>
          <t>ASTM A694 F65</t>
        </is>
      </c>
      <c r="AE21" s="524" t="inlineStr">
        <is>
          <t>MSS SP-44</t>
        </is>
      </c>
      <c r="AF21" s="524" t="n">
        <v>7.1</v>
      </c>
      <c r="AG21" s="524" t="n">
        <v>7.9</v>
      </c>
      <c r="AH21" s="524" t="n">
        <v>9.5</v>
      </c>
      <c r="AI21" s="524" t="n">
        <v>11.1</v>
      </c>
      <c r="AJ21" s="524" t="n">
        <v>11.9</v>
      </c>
      <c r="AL21" s="313" t="n">
        <v>610</v>
      </c>
      <c r="AM21" s="310" t="inlineStr">
        <is>
          <t>X65</t>
        </is>
      </c>
      <c r="AN21" s="304" t="inlineStr">
        <is>
          <t>24"</t>
        </is>
      </c>
      <c r="AO21" s="307" t="inlineStr">
        <is>
          <t>SO</t>
        </is>
      </c>
      <c r="AP21" s="307" t="inlineStr">
        <is>
          <t>SO</t>
        </is>
      </c>
      <c r="AQ21" s="307" t="inlineStr">
        <is>
          <t>SO</t>
        </is>
      </c>
      <c r="AR21" s="307" t="inlineStr">
        <is>
          <t>WO</t>
        </is>
      </c>
      <c r="AS21" s="307" t="inlineStr">
        <is>
          <t>WO</t>
        </is>
      </c>
      <c r="AT21" s="307" t="n"/>
      <c r="AU21" s="307" t="n"/>
      <c r="AV21" s="307" t="n"/>
      <c r="AW21" s="307" t="n"/>
      <c r="AX21" s="307" t="n"/>
      <c r="AY21" s="307" t="inlineStr">
        <is>
          <t>*</t>
        </is>
      </c>
      <c r="AZ21" s="307" t="inlineStr">
        <is>
          <t>RT</t>
        </is>
      </c>
      <c r="BA21" s="307" t="inlineStr">
        <is>
          <t>RT</t>
        </is>
      </c>
      <c r="BB21" s="307" t="inlineStr">
        <is>
          <t>RT</t>
        </is>
      </c>
      <c r="BC21" s="307" t="inlineStr">
        <is>
          <t>RT</t>
        </is>
      </c>
      <c r="BD21" s="307" t="inlineStr">
        <is>
          <t>RT</t>
        </is>
      </c>
      <c r="BE21" s="307" t="inlineStr">
        <is>
          <t>RT</t>
        </is>
      </c>
      <c r="BF21" s="307" t="inlineStr">
        <is>
          <t>RT</t>
        </is>
      </c>
      <c r="BG21" s="306" t="inlineStr">
        <is>
          <t>T</t>
        </is>
      </c>
      <c r="BH21" s="307" t="n"/>
      <c r="BI21" s="307" t="n"/>
      <c r="BJ21" s="307" t="n"/>
      <c r="BK21" s="307" t="n"/>
      <c r="BL21" s="307" t="n"/>
      <c r="BM21" s="307" t="n"/>
      <c r="BN21" s="307" t="n"/>
      <c r="BO21" s="307" t="n"/>
      <c r="BP21" s="307" t="n"/>
      <c r="BQ21" s="307" t="n"/>
      <c r="BR21" s="307" t="n"/>
      <c r="BS21" s="307" t="n"/>
      <c r="BT21" s="741" t="n"/>
    </row>
    <row r="22">
      <c r="X22" s="525" t="inlineStr">
        <is>
          <t xml:space="preserve">24" </t>
        </is>
      </c>
      <c r="Y22" s="525" t="n">
        <v>600</v>
      </c>
      <c r="Z22" s="525" t="inlineStr">
        <is>
          <t xml:space="preserve">24" </t>
        </is>
      </c>
      <c r="AA22" s="525" t="n">
        <v>610</v>
      </c>
      <c r="AB22" s="525" t="inlineStr">
        <is>
          <t>ASTM A860 WPHY65</t>
        </is>
      </c>
      <c r="AC22" s="525" t="inlineStr">
        <is>
          <t>MSS SP-75</t>
        </is>
      </c>
      <c r="AD22" s="525" t="inlineStr">
        <is>
          <t>ASTM A694 F65</t>
        </is>
      </c>
      <c r="AE22" s="525" t="inlineStr">
        <is>
          <t>MSS SP-44</t>
        </is>
      </c>
      <c r="AF22" s="525" t="n">
        <v>7.1</v>
      </c>
      <c r="AG22" s="525" t="n">
        <v>8.699999999999999</v>
      </c>
      <c r="AH22" s="525" t="n">
        <v>10.3</v>
      </c>
      <c r="AI22" s="525" t="n">
        <v>11.9</v>
      </c>
      <c r="AJ22" s="525" t="n">
        <v>12.7</v>
      </c>
      <c r="AL22" s="314" t="n">
        <v>762</v>
      </c>
      <c r="AM22" s="309" t="inlineStr">
        <is>
          <t>X65</t>
        </is>
      </c>
      <c r="AN22" s="308" t="inlineStr">
        <is>
          <t>30"</t>
        </is>
      </c>
      <c r="AO22" s="307" t="inlineStr">
        <is>
          <t>SO</t>
        </is>
      </c>
      <c r="AP22" s="307" t="inlineStr">
        <is>
          <t>SO</t>
        </is>
      </c>
      <c r="AQ22" s="307" t="inlineStr">
        <is>
          <t>SO</t>
        </is>
      </c>
      <c r="AR22" s="307" t="inlineStr">
        <is>
          <t>WO</t>
        </is>
      </c>
      <c r="AS22" s="307" t="inlineStr">
        <is>
          <t>WO</t>
        </is>
      </c>
      <c r="AT22" s="307" t="n"/>
      <c r="AU22" s="307" t="n"/>
      <c r="AV22" s="307" t="n"/>
      <c r="AW22" s="307" t="n"/>
      <c r="AX22" s="307" t="n"/>
      <c r="AY22" s="307" t="n"/>
      <c r="AZ22" s="307" t="inlineStr">
        <is>
          <t>RT</t>
        </is>
      </c>
      <c r="BA22" s="307" t="inlineStr">
        <is>
          <t>RT</t>
        </is>
      </c>
      <c r="BB22" s="307" t="inlineStr">
        <is>
          <t>RT</t>
        </is>
      </c>
      <c r="BC22" s="307" t="inlineStr">
        <is>
          <t>RT</t>
        </is>
      </c>
      <c r="BD22" s="307" t="inlineStr">
        <is>
          <t>RT</t>
        </is>
      </c>
      <c r="BE22" s="307" t="inlineStr">
        <is>
          <t>RT</t>
        </is>
      </c>
      <c r="BF22" s="307" t="inlineStr">
        <is>
          <t>RT</t>
        </is>
      </c>
      <c r="BG22" s="307" t="inlineStr">
        <is>
          <t>RT</t>
        </is>
      </c>
      <c r="BH22" s="306" t="inlineStr">
        <is>
          <t>T</t>
        </is>
      </c>
      <c r="BI22" s="307" t="n"/>
      <c r="BJ22" s="307" t="n"/>
      <c r="BK22" s="307" t="n"/>
      <c r="BL22" s="307" t="n"/>
      <c r="BM22" s="307" t="n"/>
      <c r="BN22" s="307" t="n"/>
      <c r="BO22" s="307" t="n"/>
      <c r="BP22" s="307" t="n"/>
      <c r="BQ22" s="307" t="n"/>
      <c r="BR22" s="307" t="n"/>
      <c r="BS22" s="307" t="n"/>
      <c r="BT22" s="741" t="n"/>
    </row>
    <row r="23">
      <c r="A23" s="1086" t="inlineStr">
        <is>
          <t>CHEMICAL COMPOSITION OF TEE</t>
        </is>
      </c>
      <c r="C23" s="567">
        <f>D4</f>
        <v/>
      </c>
      <c r="D23" s="567" t="n"/>
      <c r="E23" s="567" t="n"/>
      <c r="F23" s="567" t="n"/>
      <c r="G23" s="567" t="n"/>
      <c r="H23" s="567" t="n"/>
      <c r="I23" s="567" t="n"/>
      <c r="J23" s="567" t="n"/>
      <c r="K23" s="567" t="n"/>
      <c r="L23" s="567" t="n"/>
      <c r="M23" s="567" t="n"/>
      <c r="X23" s="524" t="inlineStr">
        <is>
          <t xml:space="preserve">30" </t>
        </is>
      </c>
      <c r="Y23" s="524" t="n">
        <v>750</v>
      </c>
      <c r="Z23" s="524" t="inlineStr">
        <is>
          <t xml:space="preserve">30" </t>
        </is>
      </c>
      <c r="AA23" s="524" t="n">
        <v>762</v>
      </c>
      <c r="AB23" s="524" t="inlineStr">
        <is>
          <t xml:space="preserve">ASTM A860 WPHY65 </t>
        </is>
      </c>
      <c r="AC23" s="524" t="inlineStr">
        <is>
          <t>MSS SP-75</t>
        </is>
      </c>
      <c r="AD23" s="524" t="inlineStr">
        <is>
          <t>ASTM A694 F65</t>
        </is>
      </c>
      <c r="AE23" s="524" t="inlineStr">
        <is>
          <t>ASME B16.47</t>
        </is>
      </c>
      <c r="AF23" s="524" t="n">
        <v>9.5</v>
      </c>
      <c r="AG23" s="524" t="n">
        <v>11.1</v>
      </c>
      <c r="AH23" s="524" t="n">
        <v>12.7</v>
      </c>
      <c r="AI23" s="524" t="n">
        <v>14.3</v>
      </c>
      <c r="AJ23" s="524" t="n">
        <v>15.9</v>
      </c>
      <c r="AL23" s="313" t="n">
        <v>813</v>
      </c>
      <c r="AM23" s="310" t="inlineStr">
        <is>
          <t>X65</t>
        </is>
      </c>
      <c r="AN23" s="304" t="inlineStr">
        <is>
          <t>32"</t>
        </is>
      </c>
      <c r="AO23" s="307" t="inlineStr">
        <is>
          <t>SO</t>
        </is>
      </c>
      <c r="AP23" s="307" t="inlineStr">
        <is>
          <t>SO</t>
        </is>
      </c>
      <c r="AQ23" s="307" t="inlineStr">
        <is>
          <t>SO</t>
        </is>
      </c>
      <c r="AR23" s="307" t="inlineStr">
        <is>
          <t>WO</t>
        </is>
      </c>
      <c r="AS23" s="307" t="inlineStr">
        <is>
          <t>WO</t>
        </is>
      </c>
      <c r="AT23" s="307" t="n"/>
      <c r="AU23" s="307" t="n"/>
      <c r="AV23" s="307" t="n"/>
      <c r="AW23" s="307" t="n"/>
      <c r="AX23" s="307" t="n"/>
      <c r="AY23" s="307" t="n"/>
      <c r="AZ23" s="307" t="n"/>
      <c r="BA23" s="307" t="inlineStr">
        <is>
          <t>*</t>
        </is>
      </c>
      <c r="BB23" s="307" t="inlineStr">
        <is>
          <t>RT</t>
        </is>
      </c>
      <c r="BC23" s="307" t="inlineStr">
        <is>
          <t>RT</t>
        </is>
      </c>
      <c r="BD23" s="307" t="inlineStr">
        <is>
          <t>RT</t>
        </is>
      </c>
      <c r="BE23" s="307" t="inlineStr">
        <is>
          <t>RT</t>
        </is>
      </c>
      <c r="BF23" s="307" t="inlineStr">
        <is>
          <t>RT</t>
        </is>
      </c>
      <c r="BG23" s="307" t="inlineStr">
        <is>
          <t>RT</t>
        </is>
      </c>
      <c r="BH23" s="307" t="inlineStr">
        <is>
          <t>RT</t>
        </is>
      </c>
      <c r="BI23" s="306" t="inlineStr">
        <is>
          <t>T</t>
        </is>
      </c>
      <c r="BJ23" s="307" t="n"/>
      <c r="BK23" s="307" t="n"/>
      <c r="BL23" s="307" t="n"/>
      <c r="BM23" s="307" t="n"/>
      <c r="BN23" s="307" t="n"/>
      <c r="BO23" s="307" t="n"/>
      <c r="BP23" s="307" t="n"/>
      <c r="BQ23" s="307" t="n"/>
      <c r="BR23" s="307" t="n"/>
      <c r="BS23" s="307" t="n"/>
      <c r="BT23" s="741" t="n"/>
    </row>
    <row r="24">
      <c r="A24" s="558" t="inlineStr">
        <is>
          <t>C%</t>
        </is>
      </c>
      <c r="B24" s="558" t="inlineStr">
        <is>
          <t>Mn%</t>
        </is>
      </c>
      <c r="C24" s="558" t="inlineStr">
        <is>
          <t>Si%</t>
        </is>
      </c>
      <c r="D24" s="558" t="inlineStr">
        <is>
          <t>S%</t>
        </is>
      </c>
      <c r="E24" s="558" t="inlineStr">
        <is>
          <t>P%</t>
        </is>
      </c>
      <c r="F24" s="558" t="inlineStr">
        <is>
          <t>Cr%</t>
        </is>
      </c>
      <c r="G24" s="558" t="inlineStr">
        <is>
          <t>Ni%</t>
        </is>
      </c>
      <c r="H24" s="558" t="inlineStr">
        <is>
          <t>Mo%</t>
        </is>
      </c>
      <c r="I24" s="558" t="inlineStr">
        <is>
          <t>V%</t>
        </is>
      </c>
      <c r="J24" s="558" t="inlineStr">
        <is>
          <t>Cu%</t>
        </is>
      </c>
      <c r="K24" s="558" t="inlineStr">
        <is>
          <t>Columbium %</t>
        </is>
      </c>
      <c r="L24" s="558" t="inlineStr">
        <is>
          <t>Al %</t>
        </is>
      </c>
      <c r="M24" s="558" t="inlineStr">
        <is>
          <t>Other</t>
        </is>
      </c>
      <c r="X24" s="525" t="inlineStr">
        <is>
          <t xml:space="preserve">32" </t>
        </is>
      </c>
      <c r="Y24" s="525" t="n">
        <v>800</v>
      </c>
      <c r="Z24" s="525" t="inlineStr">
        <is>
          <t xml:space="preserve">32" </t>
        </is>
      </c>
      <c r="AA24" s="525" t="n">
        <v>813</v>
      </c>
      <c r="AB24" s="525" t="inlineStr">
        <is>
          <t>ASTM A860 WPHY65</t>
        </is>
      </c>
      <c r="AC24" s="525" t="inlineStr">
        <is>
          <t>MSS SP-75</t>
        </is>
      </c>
      <c r="AD24" s="525" t="inlineStr">
        <is>
          <t>ASTM A694 F65</t>
        </is>
      </c>
      <c r="AE24" s="525" t="inlineStr">
        <is>
          <t>ASME B16.47</t>
        </is>
      </c>
      <c r="AF24" s="525" t="n">
        <v>9.5</v>
      </c>
      <c r="AG24" s="525" t="n">
        <v>11.9</v>
      </c>
      <c r="AH24" s="525" t="n">
        <v>14.3</v>
      </c>
      <c r="AI24" s="525" t="n">
        <v>15.9</v>
      </c>
      <c r="AJ24" s="525" t="n">
        <v>17.5</v>
      </c>
      <c r="AL24" s="314" t="n">
        <v>864</v>
      </c>
      <c r="AM24" s="309" t="inlineStr">
        <is>
          <t>X65</t>
        </is>
      </c>
      <c r="AN24" s="308" t="inlineStr">
        <is>
          <t>34"</t>
        </is>
      </c>
      <c r="AO24" s="307" t="inlineStr">
        <is>
          <t>SO</t>
        </is>
      </c>
      <c r="AP24" s="307" t="inlineStr">
        <is>
          <t>SO</t>
        </is>
      </c>
      <c r="AQ24" s="307" t="inlineStr">
        <is>
          <t>SO</t>
        </is>
      </c>
      <c r="AR24" s="307" t="inlineStr">
        <is>
          <t>WO</t>
        </is>
      </c>
      <c r="AS24" s="307" t="inlineStr">
        <is>
          <t>WO</t>
        </is>
      </c>
      <c r="AT24" s="307" t="n"/>
      <c r="AU24" s="307" t="n"/>
      <c r="AV24" s="307" t="n"/>
      <c r="AW24" s="307" t="n"/>
      <c r="AX24" s="307" t="n"/>
      <c r="AY24" s="307" t="n"/>
      <c r="AZ24" s="307" t="n"/>
      <c r="BA24" s="307" t="inlineStr">
        <is>
          <t>*</t>
        </is>
      </c>
      <c r="BB24" s="307" t="n"/>
      <c r="BC24" s="307" t="inlineStr">
        <is>
          <t>RT</t>
        </is>
      </c>
      <c r="BD24" s="307" t="inlineStr">
        <is>
          <t>RT</t>
        </is>
      </c>
      <c r="BE24" s="307" t="inlineStr">
        <is>
          <t>RT</t>
        </is>
      </c>
      <c r="BF24" s="307" t="inlineStr">
        <is>
          <t>RT</t>
        </is>
      </c>
      <c r="BG24" s="307" t="inlineStr">
        <is>
          <t>RT</t>
        </is>
      </c>
      <c r="BH24" s="307" t="inlineStr">
        <is>
          <t>RT</t>
        </is>
      </c>
      <c r="BI24" s="307" t="inlineStr">
        <is>
          <t>RT</t>
        </is>
      </c>
      <c r="BJ24" s="306" t="inlineStr">
        <is>
          <t>T</t>
        </is>
      </c>
      <c r="BK24" s="307" t="n"/>
      <c r="BL24" s="307" t="n"/>
      <c r="BM24" s="307" t="n"/>
      <c r="BN24" s="307" t="n"/>
      <c r="BO24" s="307" t="n"/>
      <c r="BP24" s="307" t="n"/>
      <c r="BQ24" s="307" t="n"/>
      <c r="BR24" s="307" t="n"/>
      <c r="BS24" s="307" t="n"/>
      <c r="BT24" s="741" t="n"/>
    </row>
    <row r="25">
      <c r="A25" s="574">
        <f>VLOOKUP('Fitting Seçim Aracı'!$D$4,Wrought_Fit_Chem._Comp[],2,FALSE)</f>
        <v/>
      </c>
      <c r="B25" s="574">
        <f>VLOOKUP('Fitting Seçim Aracı'!$D$4,Wrought_Fit_Chem._Comp[],3,FALSE)</f>
        <v/>
      </c>
      <c r="C25" s="574">
        <f>VLOOKUP('Fitting Seçim Aracı'!$D$4,Wrought_Fit_Chem._Comp[],4,FALSE)</f>
        <v/>
      </c>
      <c r="D25" s="574">
        <f>VLOOKUP('Fitting Seçim Aracı'!$D$4,Wrought_Fit_Chem._Comp[],5,FALSE)</f>
        <v/>
      </c>
      <c r="E25" s="574">
        <f>VLOOKUP('Fitting Seçim Aracı'!$D$4,Wrought_Fit_Chem._Comp[],6,FALSE)</f>
        <v/>
      </c>
      <c r="F25" s="574">
        <f>VLOOKUP('Fitting Seçim Aracı'!$D$4,Wrought_Fit_Chem._Comp[],7,FALSE)</f>
        <v/>
      </c>
      <c r="G25" s="574">
        <f>VLOOKUP('Fitting Seçim Aracı'!$D$4,Wrought_Fit_Chem._Comp[],8,FALSE)</f>
        <v/>
      </c>
      <c r="H25" s="574">
        <f>VLOOKUP('Fitting Seçim Aracı'!$D$4,Wrought_Fit_Chem._Comp[],9,FALSE)</f>
        <v/>
      </c>
      <c r="I25" s="574">
        <f>VLOOKUP('Fitting Seçim Aracı'!$D$4,Wrought_Fit_Chem._Comp[],10,FALSE)</f>
        <v/>
      </c>
      <c r="J25" s="574">
        <f>VLOOKUP('Fitting Seçim Aracı'!$D$4,Wrought_Fit_Chem._Comp[],11,FALSE)</f>
        <v/>
      </c>
      <c r="K25" s="574">
        <f>VLOOKUP('Fitting Seçim Aracı'!$D$4,Wrought_Fit_Chem._Comp[],12,FALSE)</f>
        <v/>
      </c>
      <c r="L25" s="574">
        <f>VLOOKUP('Fitting Seçim Aracı'!$D$4,Wrought_Fit_Chem._Comp[],13,FALSE)</f>
        <v/>
      </c>
      <c r="M25" s="574">
        <f>VLOOKUP('Fitting Seçim Aracı'!$D$4,Wrought_Fit_Chem._Comp[],14,FALSE)</f>
        <v/>
      </c>
      <c r="X25" s="524" t="inlineStr">
        <is>
          <t xml:space="preserve">34" </t>
        </is>
      </c>
      <c r="Y25" s="524" t="n">
        <v>850</v>
      </c>
      <c r="Z25" s="524" t="inlineStr">
        <is>
          <t xml:space="preserve">34" </t>
        </is>
      </c>
      <c r="AA25" s="524" t="n">
        <v>864</v>
      </c>
      <c r="AB25" s="524" t="inlineStr">
        <is>
          <t>ASTM A860 WPHY65</t>
        </is>
      </c>
      <c r="AC25" s="524" t="inlineStr">
        <is>
          <t>MSS SP-75</t>
        </is>
      </c>
      <c r="AD25" s="524" t="inlineStr">
        <is>
          <t>ASTM A694 F65</t>
        </is>
      </c>
      <c r="AE25" s="524" t="inlineStr">
        <is>
          <t>ASME B16.47</t>
        </is>
      </c>
      <c r="AF25" s="524" t="n">
        <v>10.3</v>
      </c>
      <c r="AG25" s="524" t="n">
        <v>12.7</v>
      </c>
      <c r="AH25" s="524" t="n">
        <v>15.9</v>
      </c>
      <c r="AI25" s="524" t="n">
        <v>15.9</v>
      </c>
      <c r="AJ25" s="524" t="n">
        <v>17.5</v>
      </c>
      <c r="AL25" s="313" t="n">
        <v>914</v>
      </c>
      <c r="AM25" s="310" t="inlineStr">
        <is>
          <t>X65</t>
        </is>
      </c>
      <c r="AN25" s="304" t="inlineStr">
        <is>
          <t>36"</t>
        </is>
      </c>
      <c r="AO25" s="307" t="inlineStr">
        <is>
          <t>SO</t>
        </is>
      </c>
      <c r="AP25" s="307" t="inlineStr">
        <is>
          <t>SO</t>
        </is>
      </c>
      <c r="AQ25" s="307" t="inlineStr">
        <is>
          <t>SO</t>
        </is>
      </c>
      <c r="AR25" s="307" t="inlineStr">
        <is>
          <t>WO</t>
        </is>
      </c>
      <c r="AS25" s="307" t="inlineStr">
        <is>
          <t>WO</t>
        </is>
      </c>
      <c r="AT25" s="307" t="n"/>
      <c r="AU25" s="307" t="n"/>
      <c r="AV25" s="307" t="n"/>
      <c r="AW25" s="307" t="n"/>
      <c r="AX25" s="307" t="n"/>
      <c r="AY25" s="307" t="n"/>
      <c r="AZ25" s="307" t="n"/>
      <c r="BA25" s="307" t="inlineStr">
        <is>
          <t>*</t>
        </is>
      </c>
      <c r="BB25" s="307" t="n"/>
      <c r="BC25" s="307" t="inlineStr">
        <is>
          <t>RT</t>
        </is>
      </c>
      <c r="BD25" s="307" t="inlineStr">
        <is>
          <t>RT</t>
        </is>
      </c>
      <c r="BE25" s="307" t="inlineStr">
        <is>
          <t>RT</t>
        </is>
      </c>
      <c r="BF25" s="307" t="inlineStr">
        <is>
          <t>RT</t>
        </is>
      </c>
      <c r="BG25" s="307" t="inlineStr">
        <is>
          <t>RT</t>
        </is>
      </c>
      <c r="BH25" s="307" t="inlineStr">
        <is>
          <t>RT</t>
        </is>
      </c>
      <c r="BI25" s="307" t="inlineStr">
        <is>
          <t>RT</t>
        </is>
      </c>
      <c r="BJ25" s="307" t="inlineStr">
        <is>
          <t>RT</t>
        </is>
      </c>
      <c r="BK25" s="306" t="inlineStr">
        <is>
          <t>T</t>
        </is>
      </c>
      <c r="BL25" s="307" t="n"/>
      <c r="BM25" s="307" t="n"/>
      <c r="BN25" s="307" t="n"/>
      <c r="BO25" s="307" t="n"/>
      <c r="BP25" s="307" t="n"/>
      <c r="BQ25" s="307" t="n"/>
      <c r="BR25" s="307" t="n"/>
      <c r="BS25" s="307" t="n"/>
      <c r="BT25" s="741" t="n"/>
    </row>
    <row r="26">
      <c r="A26" s="567" t="n"/>
      <c r="B26" s="567" t="n"/>
      <c r="C26" s="567" t="n"/>
      <c r="D26" s="567" t="n"/>
      <c r="E26" s="567" t="n"/>
      <c r="F26" s="567" t="n"/>
      <c r="G26" s="567" t="n"/>
      <c r="H26" s="567" t="n"/>
      <c r="I26" s="567" t="n"/>
      <c r="J26" s="567" t="n"/>
      <c r="K26" s="567" t="n"/>
      <c r="L26" s="567" t="n"/>
      <c r="M26" s="567" t="n"/>
      <c r="X26" s="525" t="inlineStr">
        <is>
          <t xml:space="preserve">36" </t>
        </is>
      </c>
      <c r="Y26" s="525" t="n">
        <v>900</v>
      </c>
      <c r="Z26" s="525" t="inlineStr">
        <is>
          <t xml:space="preserve">36" </t>
        </is>
      </c>
      <c r="AA26" s="525" t="n">
        <v>914</v>
      </c>
      <c r="AB26" s="525" t="inlineStr">
        <is>
          <t>ASTM A860 WPHY65</t>
        </is>
      </c>
      <c r="AC26" s="525" t="inlineStr">
        <is>
          <t>MSS SP-75</t>
        </is>
      </c>
      <c r="AD26" s="525" t="inlineStr">
        <is>
          <t>ASTM A694 F65</t>
        </is>
      </c>
      <c r="AE26" s="525" t="inlineStr">
        <is>
          <t>ASME B16.47</t>
        </is>
      </c>
      <c r="AF26" s="525" t="n">
        <v>11.1</v>
      </c>
      <c r="AG26" s="525" t="n">
        <v>12.7</v>
      </c>
      <c r="AH26" s="525" t="n">
        <v>15.9</v>
      </c>
      <c r="AI26" s="525" t="n">
        <v>17.5</v>
      </c>
      <c r="AJ26" s="525" t="n">
        <v>19.1</v>
      </c>
      <c r="AL26" s="314" t="n">
        <v>965</v>
      </c>
      <c r="AM26" s="309" t="inlineStr">
        <is>
          <t>X65</t>
        </is>
      </c>
      <c r="AN26" s="308" t="inlineStr">
        <is>
          <t>38"</t>
        </is>
      </c>
      <c r="AO26" s="307" t="inlineStr">
        <is>
          <t>SO</t>
        </is>
      </c>
      <c r="AP26" s="307" t="inlineStr">
        <is>
          <t>SO</t>
        </is>
      </c>
      <c r="AQ26" s="307" t="inlineStr">
        <is>
          <t>SO</t>
        </is>
      </c>
      <c r="AR26" s="307" t="inlineStr">
        <is>
          <t>WO</t>
        </is>
      </c>
      <c r="AS26" s="307" t="inlineStr">
        <is>
          <t>WO</t>
        </is>
      </c>
      <c r="AT26" s="307" t="n"/>
      <c r="AU26" s="307" t="n"/>
      <c r="AV26" s="307" t="n"/>
      <c r="AW26" s="307" t="n"/>
      <c r="AX26" s="307" t="n"/>
      <c r="AY26" s="307" t="n"/>
      <c r="AZ26" s="307" t="n"/>
      <c r="BA26" s="307" t="n"/>
      <c r="BB26" s="307" t="inlineStr">
        <is>
          <t>*</t>
        </is>
      </c>
      <c r="BC26" s="307" t="n"/>
      <c r="BD26" s="307" t="inlineStr">
        <is>
          <t>RT</t>
        </is>
      </c>
      <c r="BE26" s="307" t="inlineStr">
        <is>
          <t>RT</t>
        </is>
      </c>
      <c r="BF26" s="307" t="inlineStr">
        <is>
          <t>RT</t>
        </is>
      </c>
      <c r="BG26" s="307" t="inlineStr">
        <is>
          <t>RT</t>
        </is>
      </c>
      <c r="BH26" s="307" t="inlineStr">
        <is>
          <t>RT</t>
        </is>
      </c>
      <c r="BI26" s="307" t="inlineStr">
        <is>
          <t>RT</t>
        </is>
      </c>
      <c r="BJ26" s="307" t="inlineStr">
        <is>
          <t>RT</t>
        </is>
      </c>
      <c r="BK26" s="307" t="inlineStr">
        <is>
          <t>RT</t>
        </is>
      </c>
      <c r="BL26" s="306" t="inlineStr">
        <is>
          <t>T</t>
        </is>
      </c>
      <c r="BM26" s="307" t="n"/>
      <c r="BN26" s="307" t="n"/>
      <c r="BO26" s="307" t="n"/>
      <c r="BP26" s="307" t="n"/>
      <c r="BQ26" s="307" t="n"/>
      <c r="BR26" s="307" t="n"/>
      <c r="BS26" s="307" t="n"/>
      <c r="BT26" s="741" t="n"/>
    </row>
    <row r="27">
      <c r="A27" s="1086" t="inlineStr">
        <is>
          <t>MECHANICAL PROPERTIES OF TEE</t>
        </is>
      </c>
      <c r="C27" s="567">
        <f>D4</f>
        <v/>
      </c>
      <c r="D27" s="567" t="n"/>
      <c r="E27" s="567" t="n"/>
      <c r="F27" s="567" t="n"/>
      <c r="G27" s="567" t="n"/>
      <c r="H27" s="567" t="n"/>
      <c r="I27" s="567" t="n"/>
      <c r="J27" s="567" t="n"/>
      <c r="K27" s="567" t="n"/>
      <c r="L27" s="567" t="n"/>
      <c r="M27" s="567" t="n"/>
      <c r="X27" s="524" t="inlineStr">
        <is>
          <t xml:space="preserve">38" </t>
        </is>
      </c>
      <c r="Y27" s="524" t="n">
        <v>950</v>
      </c>
      <c r="Z27" s="524" t="inlineStr">
        <is>
          <t xml:space="preserve">38" </t>
        </is>
      </c>
      <c r="AA27" s="524" t="n">
        <v>965</v>
      </c>
      <c r="AB27" s="524" t="inlineStr">
        <is>
          <t>ASTM A860 WPHY65</t>
        </is>
      </c>
      <c r="AC27" s="524" t="inlineStr">
        <is>
          <t>MSS SP-75</t>
        </is>
      </c>
      <c r="AD27" s="524" t="inlineStr">
        <is>
          <t>ASTM A694 F65</t>
        </is>
      </c>
      <c r="AE27" s="524" t="inlineStr">
        <is>
          <t>ASME B16.47</t>
        </is>
      </c>
      <c r="AF27" s="524" t="n">
        <v>11.9</v>
      </c>
      <c r="AG27" s="524" t="n">
        <v>14.3</v>
      </c>
      <c r="AH27" s="524" t="n">
        <v>17.5</v>
      </c>
      <c r="AI27" s="524" t="n">
        <v>19.1</v>
      </c>
      <c r="AJ27" s="524" t="n">
        <v>20.6</v>
      </c>
      <c r="AL27" s="313" t="n">
        <v>1016</v>
      </c>
      <c r="AM27" s="310" t="inlineStr">
        <is>
          <t>X65</t>
        </is>
      </c>
      <c r="AN27" s="304" t="inlineStr">
        <is>
          <t>40"</t>
        </is>
      </c>
      <c r="AO27" s="307" t="inlineStr">
        <is>
          <t>SO</t>
        </is>
      </c>
      <c r="AP27" s="307" t="inlineStr">
        <is>
          <t>SO</t>
        </is>
      </c>
      <c r="AQ27" s="307" t="inlineStr">
        <is>
          <t>SO</t>
        </is>
      </c>
      <c r="AR27" s="307" t="inlineStr">
        <is>
          <t>WO</t>
        </is>
      </c>
      <c r="AS27" s="307" t="inlineStr">
        <is>
          <t>WO</t>
        </is>
      </c>
      <c r="AT27" s="307" t="n"/>
      <c r="AU27" s="307" t="n"/>
      <c r="AV27" s="307" t="n"/>
      <c r="AW27" s="307" t="n"/>
      <c r="AX27" s="307" t="n"/>
      <c r="AY27" s="307" t="n"/>
      <c r="AZ27" s="307" t="n"/>
      <c r="BA27" s="307" t="n"/>
      <c r="BB27" s="307" t="inlineStr">
        <is>
          <t>*</t>
        </is>
      </c>
      <c r="BC27" s="307" t="n"/>
      <c r="BD27" s="307" t="inlineStr">
        <is>
          <t>RT</t>
        </is>
      </c>
      <c r="BE27" s="307" t="inlineStr">
        <is>
          <t>RT</t>
        </is>
      </c>
      <c r="BF27" s="307" t="inlineStr">
        <is>
          <t>RT</t>
        </is>
      </c>
      <c r="BG27" s="307" t="inlineStr">
        <is>
          <t>RT</t>
        </is>
      </c>
      <c r="BH27" s="307" t="inlineStr">
        <is>
          <t>RT</t>
        </is>
      </c>
      <c r="BI27" s="307" t="inlineStr">
        <is>
          <t>RT</t>
        </is>
      </c>
      <c r="BJ27" s="307" t="inlineStr">
        <is>
          <t>RT</t>
        </is>
      </c>
      <c r="BK27" s="307" t="inlineStr">
        <is>
          <t>RT</t>
        </is>
      </c>
      <c r="BL27" s="307" t="inlineStr">
        <is>
          <t>RT</t>
        </is>
      </c>
      <c r="BM27" s="306" t="inlineStr">
        <is>
          <t>T</t>
        </is>
      </c>
      <c r="BN27" s="307" t="n"/>
      <c r="BO27" s="307" t="n"/>
      <c r="BP27" s="307" t="n"/>
      <c r="BQ27" s="307" t="n"/>
      <c r="BR27" s="307" t="n"/>
      <c r="BS27" s="307" t="n"/>
      <c r="BT27" s="741" t="n"/>
    </row>
    <row r="28">
      <c r="A28" s="558" t="inlineStr">
        <is>
          <t>Yield Strength Min, psi</t>
        </is>
      </c>
      <c r="B28" s="558" t="inlineStr">
        <is>
          <t>Yield Strength Min, N/mm²</t>
        </is>
      </c>
      <c r="C28" s="558" t="inlineStr">
        <is>
          <t>Tensile Strength Min, psi</t>
        </is>
      </c>
      <c r="D28" s="558" t="inlineStr">
        <is>
          <t>Tensile Strength Min, N/mm²</t>
        </is>
      </c>
      <c r="E28" s="558" t="inlineStr">
        <is>
          <t>Elongation (%)</t>
        </is>
      </c>
      <c r="F28" s="558" t="inlineStr">
        <is>
          <t>Reduction of Area (%)</t>
        </is>
      </c>
      <c r="G28" s="558" t="inlineStr">
        <is>
          <t>Hardness, maximum HBW</t>
        </is>
      </c>
      <c r="H28" s="558" t="inlineStr">
        <is>
          <t>CVN Avarage</t>
        </is>
      </c>
      <c r="I28" s="558" t="inlineStr">
        <is>
          <t>CVN Min</t>
        </is>
      </c>
      <c r="J28" s="558" t="inlineStr">
        <is>
          <t>CVN Temp C</t>
        </is>
      </c>
      <c r="K28" s="567" t="n"/>
      <c r="L28" s="567" t="n"/>
      <c r="M28" s="567" t="n"/>
      <c r="X28" s="525" t="inlineStr">
        <is>
          <t xml:space="preserve">40" </t>
        </is>
      </c>
      <c r="Y28" s="329" t="n">
        <v>1000</v>
      </c>
      <c r="Z28" s="525" t="inlineStr">
        <is>
          <t xml:space="preserve">40" </t>
        </is>
      </c>
      <c r="AA28" s="329" t="n">
        <v>1016</v>
      </c>
      <c r="AB28" s="525" t="inlineStr">
        <is>
          <t>ASTM A860 WPHY65</t>
        </is>
      </c>
      <c r="AC28" s="525" t="inlineStr">
        <is>
          <t>MSS SP-75</t>
        </is>
      </c>
      <c r="AD28" s="525" t="inlineStr">
        <is>
          <t>ASTM A694 F65</t>
        </is>
      </c>
      <c r="AE28" s="525" t="inlineStr">
        <is>
          <t>ASME B16.47</t>
        </is>
      </c>
      <c r="AF28" s="525" t="n">
        <v>11.9</v>
      </c>
      <c r="AG28" s="525" t="n">
        <v>14.3</v>
      </c>
      <c r="AH28" s="525" t="n">
        <v>17.5</v>
      </c>
      <c r="AI28" s="525" t="n">
        <v>19.1</v>
      </c>
      <c r="AJ28" s="525" t="n">
        <v>20.6</v>
      </c>
      <c r="AL28" s="314" t="n">
        <v>1067</v>
      </c>
      <c r="AM28" s="309" t="inlineStr">
        <is>
          <t>X65</t>
        </is>
      </c>
      <c r="AN28" s="308" t="inlineStr">
        <is>
          <t>42"</t>
        </is>
      </c>
      <c r="AO28" s="307" t="inlineStr">
        <is>
          <t>SO</t>
        </is>
      </c>
      <c r="AP28" s="307" t="inlineStr">
        <is>
          <t>SO</t>
        </is>
      </c>
      <c r="AQ28" s="307" t="inlineStr">
        <is>
          <t>SO</t>
        </is>
      </c>
      <c r="AR28" s="307" t="inlineStr">
        <is>
          <t>WO</t>
        </is>
      </c>
      <c r="AS28" s="307" t="inlineStr">
        <is>
          <t>WO</t>
        </is>
      </c>
      <c r="AT28" s="307" t="n"/>
      <c r="AU28" s="307" t="n"/>
      <c r="AV28" s="307" t="n"/>
      <c r="AW28" s="307" t="n"/>
      <c r="AX28" s="307" t="n"/>
      <c r="AY28" s="307" t="n"/>
      <c r="AZ28" s="307" t="n"/>
      <c r="BA28" s="307" t="n"/>
      <c r="BB28" s="307" t="inlineStr">
        <is>
          <t>*</t>
        </is>
      </c>
      <c r="BC28" s="307" t="inlineStr">
        <is>
          <t>RT</t>
        </is>
      </c>
      <c r="BD28" s="307" t="inlineStr">
        <is>
          <t>RT</t>
        </is>
      </c>
      <c r="BE28" s="307" t="inlineStr">
        <is>
          <t>RT</t>
        </is>
      </c>
      <c r="BF28" s="307" t="inlineStr">
        <is>
          <t>RT</t>
        </is>
      </c>
      <c r="BG28" s="307" t="inlineStr">
        <is>
          <t>RT</t>
        </is>
      </c>
      <c r="BH28" s="307" t="inlineStr">
        <is>
          <t>RT</t>
        </is>
      </c>
      <c r="BI28" s="307" t="inlineStr">
        <is>
          <t>RT</t>
        </is>
      </c>
      <c r="BJ28" s="307" t="inlineStr">
        <is>
          <t>RT</t>
        </is>
      </c>
      <c r="BK28" s="307" t="inlineStr">
        <is>
          <t>RT</t>
        </is>
      </c>
      <c r="BL28" s="307" t="inlineStr">
        <is>
          <t>RT</t>
        </is>
      </c>
      <c r="BM28" s="307" t="inlineStr">
        <is>
          <t>RT</t>
        </is>
      </c>
      <c r="BN28" s="306" t="inlineStr">
        <is>
          <t>T</t>
        </is>
      </c>
      <c r="BO28" s="307" t="n"/>
      <c r="BP28" s="307" t="n"/>
      <c r="BQ28" s="307" t="n"/>
      <c r="BR28" s="307" t="n"/>
      <c r="BS28" s="307" t="n"/>
      <c r="BT28" s="741" t="n"/>
    </row>
    <row r="29">
      <c r="A29" s="580">
        <f>VLOOKUP($D$4,Wrought_Fit_Mech._Prop.[],2,FALSE)</f>
        <v/>
      </c>
      <c r="B29" s="580">
        <f>VLOOKUP($D$4,Wrought_Fit_Mech._Prop.[],3,FALSE)</f>
        <v/>
      </c>
      <c r="C29" s="580">
        <f>VLOOKUP($D$4,Wrought_Fit_Mech._Prop.[],4,FALSE)</f>
        <v/>
      </c>
      <c r="D29" s="580">
        <f>VLOOKUP($D$4,Wrought_Fit_Mech._Prop.[],5,FALSE)</f>
        <v/>
      </c>
      <c r="E29" s="580">
        <f>VLOOKUP($D$4,Wrought_Fit_Mech._Prop.[],6,FALSE)</f>
        <v/>
      </c>
      <c r="F29" s="580">
        <f>VLOOKUP($D$4,Wrought_Fit_Mech._Prop.[],7,FALSE)</f>
        <v/>
      </c>
      <c r="G29" s="580">
        <f>VLOOKUP($D$4,Wrought_Fit_Mech._Prop.[],8,FALSE)</f>
        <v/>
      </c>
      <c r="H29" s="580">
        <f>VLOOKUP($D$4,Wrought_Fit_Mech._Prop.[],9,FALSE)</f>
        <v/>
      </c>
      <c r="I29" s="580">
        <f>VLOOKUP($D$4,Wrought_Fit_Mech._Prop.[],10,FALSE)</f>
        <v/>
      </c>
      <c r="J29" s="580">
        <f>VLOOKUP($D$4,Wrought_Fit_Mech._Prop.[],11,FALSE)</f>
        <v/>
      </c>
      <c r="K29" s="567" t="n"/>
      <c r="L29" s="567" t="n"/>
      <c r="M29" s="567" t="n"/>
      <c r="X29" s="524" t="inlineStr">
        <is>
          <t xml:space="preserve">42" </t>
        </is>
      </c>
      <c r="Y29" s="323" t="n">
        <v>1050</v>
      </c>
      <c r="Z29" s="524" t="inlineStr">
        <is>
          <t xml:space="preserve">42" </t>
        </is>
      </c>
      <c r="AA29" s="323" t="n">
        <v>1067</v>
      </c>
      <c r="AB29" s="524" t="inlineStr">
        <is>
          <t>ASTM A860 WPHY65</t>
        </is>
      </c>
      <c r="AC29" s="524" t="inlineStr">
        <is>
          <t>MSS SP-75</t>
        </is>
      </c>
      <c r="AD29" s="524" t="inlineStr">
        <is>
          <t>ASTM A694 F65</t>
        </is>
      </c>
      <c r="AE29" s="524" t="inlineStr">
        <is>
          <t>ASME B16.47</t>
        </is>
      </c>
      <c r="AF29" s="524" t="n">
        <v>12.7</v>
      </c>
      <c r="AG29" s="524" t="n">
        <v>15.9</v>
      </c>
      <c r="AH29" s="524" t="n">
        <v>19.1</v>
      </c>
      <c r="AI29" s="524" t="n">
        <v>20.6</v>
      </c>
      <c r="AJ29" s="524" t="n">
        <v>22.2</v>
      </c>
      <c r="AL29" s="313" t="n">
        <v>1118</v>
      </c>
      <c r="AM29" s="310" t="inlineStr">
        <is>
          <t>X65</t>
        </is>
      </c>
      <c r="AN29" s="304" t="inlineStr">
        <is>
          <t>44"</t>
        </is>
      </c>
      <c r="AO29" s="307" t="inlineStr">
        <is>
          <t>SO</t>
        </is>
      </c>
      <c r="AP29" s="307" t="inlineStr">
        <is>
          <t>SO</t>
        </is>
      </c>
      <c r="AQ29" s="307" t="inlineStr">
        <is>
          <t>SO</t>
        </is>
      </c>
      <c r="AR29" s="307" t="inlineStr">
        <is>
          <t>WO</t>
        </is>
      </c>
      <c r="AS29" s="307" t="inlineStr">
        <is>
          <t>WO</t>
        </is>
      </c>
      <c r="AT29" s="307" t="n"/>
      <c r="AU29" s="307" t="n"/>
      <c r="AV29" s="307" t="n"/>
      <c r="AW29" s="307" t="n"/>
      <c r="AX29" s="307" t="n"/>
      <c r="AY29" s="307" t="n"/>
      <c r="AZ29" s="307" t="n"/>
      <c r="BA29" s="307" t="n"/>
      <c r="BB29" s="307" t="n"/>
      <c r="BC29" s="307" t="inlineStr">
        <is>
          <t>*</t>
        </is>
      </c>
      <c r="BD29" s="307" t="n"/>
      <c r="BE29" s="307" t="inlineStr">
        <is>
          <t>RT</t>
        </is>
      </c>
      <c r="BF29" s="307" t="inlineStr">
        <is>
          <t>RT</t>
        </is>
      </c>
      <c r="BG29" s="307" t="inlineStr">
        <is>
          <t>RT</t>
        </is>
      </c>
      <c r="BH29" s="307" t="inlineStr">
        <is>
          <t>RT</t>
        </is>
      </c>
      <c r="BI29" s="307" t="inlineStr">
        <is>
          <t>RT</t>
        </is>
      </c>
      <c r="BJ29" s="307" t="inlineStr">
        <is>
          <t>RT</t>
        </is>
      </c>
      <c r="BK29" s="307" t="inlineStr">
        <is>
          <t>RT</t>
        </is>
      </c>
      <c r="BL29" s="307" t="inlineStr">
        <is>
          <t>RT</t>
        </is>
      </c>
      <c r="BM29" s="307" t="inlineStr">
        <is>
          <t>RT</t>
        </is>
      </c>
      <c r="BN29" s="307" t="inlineStr">
        <is>
          <t>RT</t>
        </is>
      </c>
      <c r="BO29" s="306" t="inlineStr">
        <is>
          <t>T</t>
        </is>
      </c>
      <c r="BP29" s="307" t="n"/>
      <c r="BQ29" s="307" t="n"/>
      <c r="BR29" s="307" t="n"/>
      <c r="BS29" s="307" t="n"/>
      <c r="BT29" s="741" t="n"/>
    </row>
    <row r="30">
      <c r="X30" s="525" t="inlineStr">
        <is>
          <t xml:space="preserve">44" </t>
        </is>
      </c>
      <c r="Y30" s="329" t="n">
        <v>1100</v>
      </c>
      <c r="Z30" s="525" t="inlineStr">
        <is>
          <t xml:space="preserve">44" </t>
        </is>
      </c>
      <c r="AA30" s="329" t="n">
        <v>1118</v>
      </c>
      <c r="AB30" s="525" t="inlineStr">
        <is>
          <t>ASTM A860 WPHY65</t>
        </is>
      </c>
      <c r="AC30" s="525" t="inlineStr">
        <is>
          <t>MSS SP-75</t>
        </is>
      </c>
      <c r="AD30" s="525" t="inlineStr">
        <is>
          <t>ASTM A694 F65</t>
        </is>
      </c>
      <c r="AE30" s="525" t="inlineStr">
        <is>
          <t>ASME B16.47</t>
        </is>
      </c>
      <c r="AF30" s="525" t="n">
        <v>14.3</v>
      </c>
      <c r="AG30" s="525" t="n">
        <v>15.9</v>
      </c>
      <c r="AH30" s="525" t="n">
        <v>19.1</v>
      </c>
      <c r="AI30" s="525" t="n">
        <v>20.6</v>
      </c>
      <c r="AJ30" s="525" t="n">
        <v>22.2</v>
      </c>
      <c r="AL30" s="314" t="n">
        <v>1168</v>
      </c>
      <c r="AM30" s="309" t="inlineStr">
        <is>
          <t>X65</t>
        </is>
      </c>
      <c r="AN30" s="308" t="inlineStr">
        <is>
          <t>46"</t>
        </is>
      </c>
      <c r="AO30" s="307" t="inlineStr">
        <is>
          <t>SO</t>
        </is>
      </c>
      <c r="AP30" s="307" t="inlineStr">
        <is>
          <t>SO</t>
        </is>
      </c>
      <c r="AQ30" s="307" t="inlineStr">
        <is>
          <t>SO</t>
        </is>
      </c>
      <c r="AR30" s="307" t="inlineStr">
        <is>
          <t>WO</t>
        </is>
      </c>
      <c r="AS30" s="307" t="inlineStr">
        <is>
          <t>WO</t>
        </is>
      </c>
      <c r="AT30" s="307" t="n"/>
      <c r="AU30" s="307" t="n"/>
      <c r="AV30" s="307" t="n"/>
      <c r="AW30" s="307" t="n"/>
      <c r="AX30" s="307" t="n"/>
      <c r="AY30" s="307" t="n"/>
      <c r="AZ30" s="307" t="n"/>
      <c r="BA30" s="307" t="n"/>
      <c r="BB30" s="307" t="n"/>
      <c r="BC30" s="307" t="inlineStr">
        <is>
          <t>*</t>
        </is>
      </c>
      <c r="BD30" s="307" t="n"/>
      <c r="BE30" s="307" t="n"/>
      <c r="BF30" s="307" t="inlineStr">
        <is>
          <t>RT</t>
        </is>
      </c>
      <c r="BG30" s="307" t="inlineStr">
        <is>
          <t>RT</t>
        </is>
      </c>
      <c r="BH30" s="307" t="inlineStr">
        <is>
          <t>RT</t>
        </is>
      </c>
      <c r="BI30" s="307" t="inlineStr">
        <is>
          <t>RT</t>
        </is>
      </c>
      <c r="BJ30" s="307" t="inlineStr">
        <is>
          <t>RT</t>
        </is>
      </c>
      <c r="BK30" s="307" t="inlineStr">
        <is>
          <t>RT</t>
        </is>
      </c>
      <c r="BL30" s="307" t="inlineStr">
        <is>
          <t>RT</t>
        </is>
      </c>
      <c r="BM30" s="307" t="inlineStr">
        <is>
          <t>RT</t>
        </is>
      </c>
      <c r="BN30" s="307" t="inlineStr">
        <is>
          <t>RT</t>
        </is>
      </c>
      <c r="BO30" s="307" t="inlineStr">
        <is>
          <t>RT</t>
        </is>
      </c>
      <c r="BP30" s="306" t="inlineStr">
        <is>
          <t>T</t>
        </is>
      </c>
      <c r="BQ30" s="307" t="n"/>
      <c r="BR30" s="307" t="n"/>
      <c r="BS30" s="307" t="n"/>
      <c r="BT30" s="741" t="n"/>
    </row>
    <row r="31">
      <c r="A31" s="1086" t="inlineStr">
        <is>
          <t>CHEMICAL COMPOSITION OF REDÜKSİYON</t>
        </is>
      </c>
      <c r="C31" s="567">
        <f>D5</f>
        <v/>
      </c>
      <c r="D31" s="567" t="n"/>
      <c r="E31" s="567" t="n"/>
      <c r="F31" s="567" t="n"/>
      <c r="G31" s="567" t="n"/>
      <c r="H31" s="567" t="n"/>
      <c r="I31" s="567" t="n"/>
      <c r="J31" s="567" t="n"/>
      <c r="K31" s="567" t="n"/>
      <c r="L31" s="567" t="n"/>
      <c r="M31" s="567" t="n"/>
      <c r="X31" s="524" t="inlineStr">
        <is>
          <t xml:space="preserve">46" </t>
        </is>
      </c>
      <c r="Y31" s="323" t="n">
        <v>1150</v>
      </c>
      <c r="Z31" s="524" t="inlineStr">
        <is>
          <t xml:space="preserve">46" </t>
        </is>
      </c>
      <c r="AA31" s="323" t="n">
        <v>1168</v>
      </c>
      <c r="AB31" s="524" t="inlineStr">
        <is>
          <t>ASTM A860 WPHY65</t>
        </is>
      </c>
      <c r="AC31" s="524" t="inlineStr">
        <is>
          <t>MSS SP-75</t>
        </is>
      </c>
      <c r="AD31" s="524" t="inlineStr">
        <is>
          <t>ASTM A694 F65</t>
        </is>
      </c>
      <c r="AE31" s="524" t="inlineStr">
        <is>
          <t>ASME B16.47</t>
        </is>
      </c>
      <c r="AF31" s="524" t="n">
        <v>14.3</v>
      </c>
      <c r="AG31" s="524" t="n">
        <v>17.5</v>
      </c>
      <c r="AH31" s="524" t="n">
        <v>20.6</v>
      </c>
      <c r="AI31" s="524" t="n">
        <v>22.2</v>
      </c>
      <c r="AJ31" s="524" t="n">
        <v>23.8</v>
      </c>
      <c r="AL31" s="313" t="n">
        <v>1219</v>
      </c>
      <c r="AM31" s="310" t="inlineStr">
        <is>
          <t>X65</t>
        </is>
      </c>
      <c r="AN31" s="304" t="inlineStr">
        <is>
          <t>48"</t>
        </is>
      </c>
      <c r="AO31" s="307" t="inlineStr">
        <is>
          <t>SO</t>
        </is>
      </c>
      <c r="AP31" s="307" t="inlineStr">
        <is>
          <t>SO</t>
        </is>
      </c>
      <c r="AQ31" s="307" t="inlineStr">
        <is>
          <t>SO</t>
        </is>
      </c>
      <c r="AR31" s="307" t="inlineStr">
        <is>
          <t>WO</t>
        </is>
      </c>
      <c r="AS31" s="307" t="inlineStr">
        <is>
          <t>WO</t>
        </is>
      </c>
      <c r="AT31" s="307" t="n"/>
      <c r="AU31" s="307" t="n"/>
      <c r="AV31" s="307" t="n"/>
      <c r="AW31" s="307" t="n"/>
      <c r="AX31" s="307" t="n"/>
      <c r="AY31" s="307" t="n"/>
      <c r="AZ31" s="307" t="n"/>
      <c r="BA31" s="307" t="n"/>
      <c r="BB31" s="307" t="n"/>
      <c r="BC31" s="311" t="inlineStr">
        <is>
          <t>RT</t>
        </is>
      </c>
      <c r="BD31" s="311" t="inlineStr">
        <is>
          <t>RT</t>
        </is>
      </c>
      <c r="BE31" s="311" t="inlineStr">
        <is>
          <t>RT</t>
        </is>
      </c>
      <c r="BF31" s="307" t="inlineStr">
        <is>
          <t>RT</t>
        </is>
      </c>
      <c r="BG31" s="307" t="inlineStr">
        <is>
          <t>RT</t>
        </is>
      </c>
      <c r="BH31" s="307" t="inlineStr">
        <is>
          <t>RT</t>
        </is>
      </c>
      <c r="BI31" s="307" t="inlineStr">
        <is>
          <t>RT</t>
        </is>
      </c>
      <c r="BJ31" s="307" t="inlineStr">
        <is>
          <t>RT</t>
        </is>
      </c>
      <c r="BK31" s="307" t="inlineStr">
        <is>
          <t>RT</t>
        </is>
      </c>
      <c r="BL31" s="307" t="inlineStr">
        <is>
          <t>RT</t>
        </is>
      </c>
      <c r="BM31" s="307" t="inlineStr">
        <is>
          <t>RT</t>
        </is>
      </c>
      <c r="BN31" s="307" t="inlineStr">
        <is>
          <t>RT</t>
        </is>
      </c>
      <c r="BO31" s="307" t="inlineStr">
        <is>
          <t>RT</t>
        </is>
      </c>
      <c r="BP31" s="307" t="inlineStr">
        <is>
          <t>RT</t>
        </is>
      </c>
      <c r="BQ31" s="306" t="inlineStr">
        <is>
          <t>T</t>
        </is>
      </c>
      <c r="BR31" s="307" t="n"/>
      <c r="BS31" s="307" t="n"/>
      <c r="BT31" s="741" t="n"/>
    </row>
    <row r="32">
      <c r="A32" s="558" t="inlineStr">
        <is>
          <t>C%</t>
        </is>
      </c>
      <c r="B32" s="558" t="inlineStr">
        <is>
          <t>Mn%</t>
        </is>
      </c>
      <c r="C32" s="558" t="inlineStr">
        <is>
          <t>Si%</t>
        </is>
      </c>
      <c r="D32" s="558" t="inlineStr">
        <is>
          <t>S%</t>
        </is>
      </c>
      <c r="E32" s="558" t="inlineStr">
        <is>
          <t>P%</t>
        </is>
      </c>
      <c r="F32" s="558" t="inlineStr">
        <is>
          <t>Cr%</t>
        </is>
      </c>
      <c r="G32" s="558" t="inlineStr">
        <is>
          <t>Ni%</t>
        </is>
      </c>
      <c r="H32" s="558" t="inlineStr">
        <is>
          <t>Mo%</t>
        </is>
      </c>
      <c r="I32" s="558" t="inlineStr">
        <is>
          <t>V%</t>
        </is>
      </c>
      <c r="J32" s="558" t="inlineStr">
        <is>
          <t>Cu%</t>
        </is>
      </c>
      <c r="K32" s="558" t="inlineStr">
        <is>
          <t>Columbium %</t>
        </is>
      </c>
      <c r="L32" s="558" t="inlineStr">
        <is>
          <t>Al %</t>
        </is>
      </c>
      <c r="M32" s="558" t="inlineStr">
        <is>
          <t>Other</t>
        </is>
      </c>
      <c r="X32" s="525" t="inlineStr">
        <is>
          <t xml:space="preserve">48" </t>
        </is>
      </c>
      <c r="Y32" s="329" t="n">
        <v>1200</v>
      </c>
      <c r="Z32" s="525" t="inlineStr">
        <is>
          <t xml:space="preserve">48" </t>
        </is>
      </c>
      <c r="AA32" s="329" t="n">
        <v>1219</v>
      </c>
      <c r="AB32" s="525" t="inlineStr">
        <is>
          <t>ASTM A860 WPHY65</t>
        </is>
      </c>
      <c r="AC32" s="525" t="inlineStr">
        <is>
          <t>MSS SP-75</t>
        </is>
      </c>
      <c r="AD32" s="525" t="inlineStr">
        <is>
          <t>ASTM A694 F65</t>
        </is>
      </c>
      <c r="AE32" s="525" t="inlineStr">
        <is>
          <t>ASME B16.47</t>
        </is>
      </c>
      <c r="AF32" s="525" t="n">
        <v>14.3</v>
      </c>
      <c r="AG32" s="525" t="n">
        <v>17.5</v>
      </c>
      <c r="AH32" s="525" t="n">
        <v>20.6</v>
      </c>
      <c r="AI32" s="525" t="n">
        <v>22.2</v>
      </c>
      <c r="AJ32" s="525" t="n">
        <v>23.8</v>
      </c>
      <c r="AL32" s="314" t="n">
        <v>1321</v>
      </c>
      <c r="AM32" s="309" t="inlineStr">
        <is>
          <t>X65</t>
        </is>
      </c>
      <c r="AN32" s="308" t="inlineStr">
        <is>
          <t>52"</t>
        </is>
      </c>
      <c r="AO32" s="307" t="inlineStr">
        <is>
          <t>SO</t>
        </is>
      </c>
      <c r="AP32" s="307" t="inlineStr">
        <is>
          <t>SO</t>
        </is>
      </c>
      <c r="AQ32" s="307" t="inlineStr">
        <is>
          <t>SO</t>
        </is>
      </c>
      <c r="AR32" s="307" t="inlineStr">
        <is>
          <t>WO</t>
        </is>
      </c>
      <c r="AS32" s="307" t="inlineStr">
        <is>
          <t>WO</t>
        </is>
      </c>
      <c r="AT32" s="307" t="n"/>
      <c r="AU32" s="307" t="n"/>
      <c r="AV32" s="307" t="n"/>
      <c r="AW32" s="307" t="n"/>
      <c r="AX32" s="307" t="n"/>
      <c r="AY32" s="307" t="n"/>
      <c r="AZ32" s="307" t="n"/>
      <c r="BA32" s="307" t="n"/>
      <c r="BB32" s="307" t="n"/>
      <c r="BC32" s="307" t="n"/>
      <c r="BD32" s="307" t="n"/>
      <c r="BE32" s="307" t="n"/>
      <c r="BF32" s="307" t="n"/>
      <c r="BG32" s="311" t="inlineStr">
        <is>
          <t>RT</t>
        </is>
      </c>
      <c r="BH32" s="311" t="inlineStr">
        <is>
          <t>RT</t>
        </is>
      </c>
      <c r="BI32" s="307" t="n"/>
      <c r="BJ32" s="312" t="n"/>
      <c r="BK32" s="311" t="inlineStr">
        <is>
          <t>RT</t>
        </is>
      </c>
      <c r="BL32" s="307" t="n"/>
      <c r="BM32" s="307" t="n"/>
      <c r="BN32" s="311" t="inlineStr">
        <is>
          <t>RT</t>
        </is>
      </c>
      <c r="BO32" s="307" t="n"/>
      <c r="BP32" s="307" t="n"/>
      <c r="BQ32" s="311" t="inlineStr">
        <is>
          <t>RT</t>
        </is>
      </c>
      <c r="BR32" s="306" t="inlineStr">
        <is>
          <t>T</t>
        </is>
      </c>
      <c r="BS32" s="307" t="n"/>
      <c r="BT32" s="741" t="n"/>
    </row>
    <row r="33">
      <c r="A33" s="577">
        <f>VLOOKUP('Fitting Seçim Aracı'!$D$4,Wrought_Fit_Chem._Comp[],2,FALSE)</f>
        <v/>
      </c>
      <c r="B33" s="577">
        <f>VLOOKUP('Fitting Seçim Aracı'!$D$4,Wrought_Fit_Chem._Comp[],3,FALSE)</f>
        <v/>
      </c>
      <c r="C33" s="577">
        <f>VLOOKUP('Fitting Seçim Aracı'!$D$4,Wrought_Fit_Chem._Comp[],4,FALSE)</f>
        <v/>
      </c>
      <c r="D33" s="577">
        <f>VLOOKUP('Fitting Seçim Aracı'!$D$4,Wrought_Fit_Chem._Comp[],5,FALSE)</f>
        <v/>
      </c>
      <c r="E33" s="577">
        <f>VLOOKUP('Fitting Seçim Aracı'!$D$4,Wrought_Fit_Chem._Comp[],6,FALSE)</f>
        <v/>
      </c>
      <c r="F33" s="577">
        <f>VLOOKUP('Fitting Seçim Aracı'!$D$4,Wrought_Fit_Chem._Comp[],7,FALSE)</f>
        <v/>
      </c>
      <c r="G33" s="577">
        <f>VLOOKUP('Fitting Seçim Aracı'!$D$4,Wrought_Fit_Chem._Comp[],8,FALSE)</f>
        <v/>
      </c>
      <c r="H33" s="577">
        <f>VLOOKUP('Fitting Seçim Aracı'!$D$4,Wrought_Fit_Chem._Comp[],9,FALSE)</f>
        <v/>
      </c>
      <c r="I33" s="577">
        <f>VLOOKUP('Fitting Seçim Aracı'!$D$4,Wrought_Fit_Chem._Comp[],10,FALSE)</f>
        <v/>
      </c>
      <c r="J33" s="577">
        <f>VLOOKUP('Fitting Seçim Aracı'!$D$4,Wrought_Fit_Chem._Comp[],11,FALSE)</f>
        <v/>
      </c>
      <c r="K33" s="577">
        <f>VLOOKUP('Fitting Seçim Aracı'!$D$4,Wrought_Fit_Chem._Comp[],12,FALSE)</f>
        <v/>
      </c>
      <c r="L33" s="577">
        <f>VLOOKUP('Fitting Seçim Aracı'!$D$4,Wrought_Fit_Chem._Comp[],13,FALSE)</f>
        <v/>
      </c>
      <c r="M33" s="577">
        <f>VLOOKUP('Fitting Seçim Aracı'!$D$4,Wrought_Fit_Chem._Comp[],14,FALSE)</f>
        <v/>
      </c>
      <c r="X33" s="524" t="inlineStr">
        <is>
          <t xml:space="preserve">52" </t>
        </is>
      </c>
      <c r="Y33" s="323" t="n">
        <v>1300</v>
      </c>
      <c r="Z33" s="524" t="inlineStr">
        <is>
          <t xml:space="preserve">52" </t>
        </is>
      </c>
      <c r="AA33" s="323" t="n">
        <v>1321</v>
      </c>
      <c r="AB33" s="524" t="inlineStr">
        <is>
          <t>ASTM A860 WPHY65</t>
        </is>
      </c>
      <c r="AC33" s="524" t="inlineStr">
        <is>
          <t>MSS SP-75</t>
        </is>
      </c>
      <c r="AD33" s="524" t="inlineStr">
        <is>
          <t>ASTM A694 F65</t>
        </is>
      </c>
      <c r="AE33" s="524" t="inlineStr">
        <is>
          <t>ASME B16.47</t>
        </is>
      </c>
      <c r="AF33" s="524" t="n">
        <v>15.9</v>
      </c>
      <c r="AG33" s="524" t="n">
        <v>19.1</v>
      </c>
      <c r="AH33" s="524" t="n">
        <v>22.2</v>
      </c>
      <c r="AI33" s="524" t="n">
        <v>23.8</v>
      </c>
      <c r="AJ33" s="524" t="n">
        <v>27</v>
      </c>
      <c r="AL33" s="313" t="n">
        <v>1422</v>
      </c>
      <c r="AM33" s="310" t="inlineStr">
        <is>
          <t>X65</t>
        </is>
      </c>
      <c r="AN33" s="304" t="inlineStr">
        <is>
          <t>56"</t>
        </is>
      </c>
      <c r="AO33" s="307" t="inlineStr">
        <is>
          <t>SO</t>
        </is>
      </c>
      <c r="AP33" s="307" t="inlineStr">
        <is>
          <t>SO</t>
        </is>
      </c>
      <c r="AQ33" s="307" t="inlineStr">
        <is>
          <t>SO</t>
        </is>
      </c>
      <c r="AR33" s="307" t="inlineStr">
        <is>
          <t>WO</t>
        </is>
      </c>
      <c r="AS33" s="307" t="inlineStr">
        <is>
          <t>WO</t>
        </is>
      </c>
      <c r="AT33" s="307" t="n"/>
      <c r="AU33" s="307" t="n"/>
      <c r="AV33" s="307" t="n"/>
      <c r="AW33" s="307" t="n"/>
      <c r="AX33" s="307" t="n"/>
      <c r="AY33" s="307" t="n"/>
      <c r="AZ33" s="307" t="n"/>
      <c r="BA33" s="307" t="n"/>
      <c r="BB33" s="307" t="n"/>
      <c r="BC33" s="307" t="n"/>
      <c r="BD33" s="307" t="n"/>
      <c r="BE33" s="307" t="n"/>
      <c r="BF33" s="307" t="n"/>
      <c r="BG33" s="311" t="inlineStr">
        <is>
          <t>RT</t>
        </is>
      </c>
      <c r="BH33" s="311" t="inlineStr">
        <is>
          <t>RT</t>
        </is>
      </c>
      <c r="BI33" s="307" t="n"/>
      <c r="BJ33" s="307" t="n"/>
      <c r="BK33" s="311" t="inlineStr">
        <is>
          <t>RT</t>
        </is>
      </c>
      <c r="BL33" s="307" t="n"/>
      <c r="BM33" s="307" t="n"/>
      <c r="BN33" s="311" t="inlineStr">
        <is>
          <t>RT</t>
        </is>
      </c>
      <c r="BO33" s="307" t="n"/>
      <c r="BP33" s="307" t="n"/>
      <c r="BQ33" s="311" t="inlineStr">
        <is>
          <t>RT</t>
        </is>
      </c>
      <c r="BR33" s="311" t="inlineStr">
        <is>
          <t>RT</t>
        </is>
      </c>
      <c r="BS33" s="306" t="inlineStr">
        <is>
          <t>T</t>
        </is>
      </c>
      <c r="BT33" s="742" t="n"/>
    </row>
    <row r="34" ht="12" customHeight="1" s="510" thickBot="1">
      <c r="A34" s="567" t="n"/>
      <c r="B34" s="567" t="n"/>
      <c r="C34" s="567" t="n"/>
      <c r="D34" s="567" t="n"/>
      <c r="E34" s="567" t="n"/>
      <c r="F34" s="567" t="n"/>
      <c r="G34" s="567" t="n"/>
      <c r="H34" s="567" t="n"/>
      <c r="I34" s="567" t="n"/>
      <c r="J34" s="567" t="n"/>
      <c r="K34" s="567" t="n"/>
      <c r="L34" s="567" t="n"/>
      <c r="M34" s="567" t="n"/>
      <c r="X34" s="525" t="inlineStr">
        <is>
          <t xml:space="preserve">56" </t>
        </is>
      </c>
      <c r="Y34" s="329" t="n">
        <v>1400</v>
      </c>
      <c r="Z34" s="525" t="inlineStr">
        <is>
          <t xml:space="preserve">56" </t>
        </is>
      </c>
      <c r="AA34" s="329" t="n">
        <v>1422</v>
      </c>
      <c r="AB34" s="525" t="inlineStr">
        <is>
          <t>ASTM A860 WPHY65</t>
        </is>
      </c>
      <c r="AC34" s="525" t="inlineStr">
        <is>
          <t>MSS SP-75</t>
        </is>
      </c>
      <c r="AD34" s="525" t="inlineStr">
        <is>
          <t>ASTM A694 F65</t>
        </is>
      </c>
      <c r="AE34" s="525" t="inlineStr">
        <is>
          <t>ASME B16.47</t>
        </is>
      </c>
      <c r="AF34" s="525" t="n">
        <v>17.5</v>
      </c>
      <c r="AG34" s="525" t="n">
        <v>20.6</v>
      </c>
      <c r="AH34" s="525" t="n">
        <v>23.8</v>
      </c>
      <c r="AI34" s="525" t="n">
        <v>25.4</v>
      </c>
      <c r="AJ34" s="525" t="n">
        <v>28.6</v>
      </c>
      <c r="AL34" s="320" t="n">
        <v>1524</v>
      </c>
      <c r="AM34" s="321" t="inlineStr">
        <is>
          <t>X65</t>
        </is>
      </c>
      <c r="AN34" s="743" t="inlineStr">
        <is>
          <t>60"</t>
        </is>
      </c>
      <c r="AO34" s="744" t="inlineStr">
        <is>
          <t>SO</t>
        </is>
      </c>
      <c r="AP34" s="744" t="inlineStr">
        <is>
          <t>SO</t>
        </is>
      </c>
      <c r="AQ34" s="744" t="inlineStr">
        <is>
          <t>SO</t>
        </is>
      </c>
      <c r="AR34" s="744" t="inlineStr">
        <is>
          <t>WO</t>
        </is>
      </c>
      <c r="AS34" s="744" t="inlineStr">
        <is>
          <t>WO</t>
        </is>
      </c>
      <c r="AT34" s="744" t="n"/>
      <c r="AU34" s="744" t="n"/>
      <c r="AV34" s="744" t="n"/>
      <c r="AW34" s="744" t="n"/>
      <c r="AX34" s="744" t="n"/>
      <c r="AY34" s="744" t="n"/>
      <c r="AZ34" s="744" t="n"/>
      <c r="BA34" s="744" t="n"/>
      <c r="BB34" s="744" t="n"/>
      <c r="BC34" s="744" t="n"/>
      <c r="BD34" s="744" t="n"/>
      <c r="BE34" s="744" t="inlineStr">
        <is>
          <t>*</t>
        </is>
      </c>
      <c r="BF34" s="744" t="n"/>
      <c r="BG34" s="744" t="n"/>
      <c r="BH34" s="745" t="inlineStr">
        <is>
          <t>RT</t>
        </is>
      </c>
      <c r="BI34" s="744" t="n"/>
      <c r="BJ34" s="744" t="n"/>
      <c r="BK34" s="745" t="inlineStr">
        <is>
          <t>RT</t>
        </is>
      </c>
      <c r="BL34" s="744" t="n"/>
      <c r="BM34" s="744" t="n"/>
      <c r="BN34" s="745" t="inlineStr">
        <is>
          <t>RT</t>
        </is>
      </c>
      <c r="BO34" s="744" t="n"/>
      <c r="BP34" s="744" t="n"/>
      <c r="BQ34" s="745" t="inlineStr">
        <is>
          <t>RT</t>
        </is>
      </c>
      <c r="BR34" s="744" t="n"/>
      <c r="BS34" s="744" t="n"/>
      <c r="BT34" s="746" t="inlineStr">
        <is>
          <t>T</t>
        </is>
      </c>
    </row>
    <row r="35">
      <c r="A35" s="1086" t="inlineStr">
        <is>
          <t>MECHANICAL PROPERTIES OF REDÜKSİYON</t>
        </is>
      </c>
      <c r="C35" s="567">
        <f>D5</f>
        <v/>
      </c>
      <c r="D35" s="567" t="n"/>
      <c r="E35" s="567" t="n"/>
      <c r="F35" s="567" t="n"/>
      <c r="G35" s="567" t="n"/>
      <c r="H35" s="567" t="n"/>
      <c r="I35" s="567" t="n"/>
      <c r="J35" s="567" t="n"/>
      <c r="K35" s="567" t="n"/>
      <c r="L35" s="567" t="n"/>
      <c r="M35" s="567" t="n"/>
      <c r="X35" s="524" t="inlineStr">
        <is>
          <t xml:space="preserve">60" </t>
        </is>
      </c>
      <c r="Y35" s="323" t="n">
        <v>1500</v>
      </c>
      <c r="Z35" s="524" t="inlineStr">
        <is>
          <t xml:space="preserve">60" </t>
        </is>
      </c>
      <c r="AA35" s="323" t="n">
        <v>1524</v>
      </c>
      <c r="AB35" s="524" t="inlineStr">
        <is>
          <t>ASTM A860 WPHY65</t>
        </is>
      </c>
      <c r="AC35" s="524" t="inlineStr">
        <is>
          <t>MSS SP-75</t>
        </is>
      </c>
      <c r="AD35" s="524" t="inlineStr">
        <is>
          <t>ASTM A694 F65</t>
        </is>
      </c>
      <c r="AE35" s="524" t="inlineStr">
        <is>
          <t>ASME B16.47</t>
        </is>
      </c>
      <c r="AF35" s="524" t="n">
        <v>19.1</v>
      </c>
      <c r="AG35" s="524" t="n">
        <v>22.2</v>
      </c>
      <c r="AH35" s="524" t="n">
        <v>25.4</v>
      </c>
      <c r="AI35" s="524" t="n">
        <v>27</v>
      </c>
      <c r="AJ35" s="524" t="n">
        <v>30.2</v>
      </c>
    </row>
    <row r="36">
      <c r="A36" s="558" t="inlineStr">
        <is>
          <t>Yield Strength Min, psi</t>
        </is>
      </c>
      <c r="B36" s="558" t="inlineStr">
        <is>
          <t>Yield Strength Min, N/mm²</t>
        </is>
      </c>
      <c r="C36" s="558" t="inlineStr">
        <is>
          <t>Tensile Strength Min, psi</t>
        </is>
      </c>
      <c r="D36" s="558" t="inlineStr">
        <is>
          <t>Tensile Strength Min, N/mm²</t>
        </is>
      </c>
      <c r="E36" s="558" t="inlineStr">
        <is>
          <t>Elongation (%)</t>
        </is>
      </c>
      <c r="F36" s="558" t="inlineStr">
        <is>
          <t>Reduction of Area (%)</t>
        </is>
      </c>
      <c r="G36" s="558" t="inlineStr">
        <is>
          <t>Hardness, maximum HBW</t>
        </is>
      </c>
      <c r="H36" s="558" t="inlineStr">
        <is>
          <t>CVN Avarage</t>
        </is>
      </c>
      <c r="I36" s="558" t="inlineStr">
        <is>
          <t>CVN Min</t>
        </is>
      </c>
      <c r="J36" s="558" t="inlineStr">
        <is>
          <t>CVN Temp C</t>
        </is>
      </c>
      <c r="K36" s="567" t="n"/>
      <c r="L36" s="567" t="n"/>
      <c r="M36" s="567" t="n"/>
    </row>
    <row r="37">
      <c r="A37" s="593">
        <f>VLOOKUP($D$4,Wrought_Fit_Mech._Prop.[],2,FALSE)</f>
        <v/>
      </c>
      <c r="B37" s="593">
        <f>VLOOKUP($D$4,Wrought_Fit_Mech._Prop.[],3,FALSE)</f>
        <v/>
      </c>
      <c r="C37" s="593">
        <f>VLOOKUP($D$4,Wrought_Fit_Mech._Prop.[],4,FALSE)</f>
        <v/>
      </c>
      <c r="D37" s="593">
        <f>VLOOKUP($D$4,Wrought_Fit_Mech._Prop.[],5,FALSE)</f>
        <v/>
      </c>
      <c r="E37" s="593">
        <f>VLOOKUP($D$4,Wrought_Fit_Mech._Prop.[],6,FALSE)</f>
        <v/>
      </c>
      <c r="F37" s="593">
        <f>VLOOKUP($D$4,Wrought_Fit_Mech._Prop.[],7,FALSE)</f>
        <v/>
      </c>
      <c r="G37" s="593">
        <f>VLOOKUP($D$4,Wrought_Fit_Mech._Prop.[],8,FALSE)</f>
        <v/>
      </c>
      <c r="H37" s="593">
        <f>VLOOKUP($D$4,Wrought_Fit_Mech._Prop.[],9,FALSE)</f>
        <v/>
      </c>
      <c r="I37" s="593">
        <f>VLOOKUP($D$4,Wrought_Fit_Mech._Prop.[],10,FALSE)</f>
        <v/>
      </c>
      <c r="J37" s="593">
        <f>VLOOKUP($D$4,Wrought_Fit_Mech._Prop.[],11,FALSE)</f>
        <v/>
      </c>
      <c r="K37" s="567" t="n"/>
      <c r="L37" s="567" t="n"/>
      <c r="M37" s="567" t="n"/>
      <c r="AO37" s="302" t="inlineStr">
        <is>
          <t>SO</t>
        </is>
      </c>
      <c r="AP37" s="302" t="inlineStr">
        <is>
          <t>Socolet</t>
        </is>
      </c>
    </row>
    <row r="38">
      <c r="A38" s="567" t="n"/>
      <c r="B38" s="567" t="n"/>
      <c r="C38" s="567" t="n"/>
      <c r="D38" s="567" t="n"/>
      <c r="E38" s="567" t="n"/>
      <c r="F38" s="567" t="n"/>
      <c r="G38" s="567" t="n"/>
      <c r="H38" s="567" t="n"/>
      <c r="I38" s="567" t="n"/>
      <c r="J38" s="567" t="n"/>
      <c r="K38" s="567" t="n"/>
      <c r="L38" s="567" t="n"/>
      <c r="M38" s="567" t="n"/>
      <c r="AO38" s="302" t="inlineStr">
        <is>
          <t>WO</t>
        </is>
      </c>
      <c r="AP38" s="302" t="inlineStr">
        <is>
          <t>Weldolet</t>
        </is>
      </c>
    </row>
    <row r="39">
      <c r="A39" s="1086" t="inlineStr">
        <is>
          <t>CHEMICAL COMPOSITION OF RED. TEE</t>
        </is>
      </c>
      <c r="C39" s="567">
        <f>D6</f>
        <v/>
      </c>
      <c r="D39" s="567" t="n"/>
      <c r="E39" s="567" t="n"/>
      <c r="F39" s="567" t="n"/>
      <c r="G39" s="567" t="n"/>
      <c r="H39" s="567" t="n"/>
      <c r="I39" s="567" t="n"/>
      <c r="J39" s="567" t="n"/>
      <c r="K39" s="567" t="n"/>
      <c r="L39" s="567" t="n"/>
      <c r="M39" s="567" t="n"/>
      <c r="AO39" s="302" t="inlineStr">
        <is>
          <t>RT</t>
        </is>
      </c>
      <c r="AP39" s="302" t="inlineStr">
        <is>
          <t>Reduced Tee</t>
        </is>
      </c>
    </row>
    <row r="40">
      <c r="A40" s="558" t="inlineStr">
        <is>
          <t>C%</t>
        </is>
      </c>
      <c r="B40" s="558" t="inlineStr">
        <is>
          <t>Mn%</t>
        </is>
      </c>
      <c r="C40" s="558" t="inlineStr">
        <is>
          <t>Si%</t>
        </is>
      </c>
      <c r="D40" s="558" t="inlineStr">
        <is>
          <t>S%</t>
        </is>
      </c>
      <c r="E40" s="558" t="inlineStr">
        <is>
          <t>P%</t>
        </is>
      </c>
      <c r="F40" s="558" t="inlineStr">
        <is>
          <t>Cr%</t>
        </is>
      </c>
      <c r="G40" s="558" t="inlineStr">
        <is>
          <t>Ni%</t>
        </is>
      </c>
      <c r="H40" s="558" t="inlineStr">
        <is>
          <t>Mo%</t>
        </is>
      </c>
      <c r="I40" s="558" t="inlineStr">
        <is>
          <t>V%</t>
        </is>
      </c>
      <c r="J40" s="558" t="inlineStr">
        <is>
          <t>Cu%</t>
        </is>
      </c>
      <c r="K40" s="558" t="inlineStr">
        <is>
          <t>Columbium %</t>
        </is>
      </c>
      <c r="L40" s="558" t="inlineStr">
        <is>
          <t>Al %</t>
        </is>
      </c>
      <c r="M40" s="558" t="inlineStr">
        <is>
          <t>Other</t>
        </is>
      </c>
      <c r="AO40" s="302" t="inlineStr">
        <is>
          <t>T</t>
        </is>
      </c>
      <c r="AP40" s="302" t="inlineStr">
        <is>
          <t>Tee</t>
        </is>
      </c>
    </row>
    <row r="41">
      <c r="A41" s="578">
        <f>VLOOKUP('Fitting Seçim Aracı'!$D$4,Wrought_Fit_Chem._Comp[],2,FALSE)</f>
        <v/>
      </c>
      <c r="B41" s="578">
        <f>VLOOKUP('Fitting Seçim Aracı'!$D$4,Wrought_Fit_Chem._Comp[],3,FALSE)</f>
        <v/>
      </c>
      <c r="C41" s="578">
        <f>VLOOKUP('Fitting Seçim Aracı'!$D$4,Wrought_Fit_Chem._Comp[],4,FALSE)</f>
        <v/>
      </c>
      <c r="D41" s="578">
        <f>VLOOKUP('Fitting Seçim Aracı'!$D$4,Wrought_Fit_Chem._Comp[],5,FALSE)</f>
        <v/>
      </c>
      <c r="E41" s="578">
        <f>VLOOKUP('Fitting Seçim Aracı'!$D$4,Wrought_Fit_Chem._Comp[],6,FALSE)</f>
        <v/>
      </c>
      <c r="F41" s="578">
        <f>VLOOKUP('Fitting Seçim Aracı'!$D$4,Wrought_Fit_Chem._Comp[],7,FALSE)</f>
        <v/>
      </c>
      <c r="G41" s="578">
        <f>VLOOKUP('Fitting Seçim Aracı'!$D$4,Wrought_Fit_Chem._Comp[],8,FALSE)</f>
        <v/>
      </c>
      <c r="H41" s="578">
        <f>VLOOKUP('Fitting Seçim Aracı'!$D$4,Wrought_Fit_Chem._Comp[],9,FALSE)</f>
        <v/>
      </c>
      <c r="I41" s="578">
        <f>VLOOKUP('Fitting Seçim Aracı'!$D$4,Wrought_Fit_Chem._Comp[],10,FALSE)</f>
        <v/>
      </c>
      <c r="J41" s="578">
        <f>VLOOKUP('Fitting Seçim Aracı'!$D$4,Wrought_Fit_Chem._Comp[],11,FALSE)</f>
        <v/>
      </c>
      <c r="K41" s="578">
        <f>VLOOKUP('Fitting Seçim Aracı'!$D$4,Wrought_Fit_Chem._Comp[],12,FALSE)</f>
        <v/>
      </c>
      <c r="L41" s="578">
        <f>VLOOKUP('Fitting Seçim Aracı'!$D$4,Wrought_Fit_Chem._Comp[],13,FALSE)</f>
        <v/>
      </c>
      <c r="M41" s="578">
        <f>VLOOKUP('Fitting Seçim Aracı'!$D$4,Wrought_Fit_Chem._Comp[],14,FALSE)</f>
        <v/>
      </c>
    </row>
    <row r="42">
      <c r="A42" s="567" t="n"/>
      <c r="B42" s="567" t="n"/>
      <c r="C42" s="567" t="n"/>
      <c r="D42" s="567" t="n"/>
      <c r="E42" s="567" t="n"/>
      <c r="F42" s="567" t="n"/>
      <c r="G42" s="567" t="n"/>
      <c r="H42" s="567" t="n"/>
      <c r="I42" s="567" t="n"/>
      <c r="J42" s="567" t="n"/>
      <c r="K42" s="567" t="n"/>
      <c r="L42" s="567" t="n"/>
      <c r="M42" s="567" t="n"/>
      <c r="AO42" s="567" t="inlineStr">
        <is>
          <t xml:space="preserve">* </t>
        </is>
      </c>
      <c r="AP42" s="567" t="inlineStr">
        <is>
          <t>Vana By-pass ları için RT olarak üretim yok</t>
        </is>
      </c>
    </row>
    <row r="43">
      <c r="A43" s="1086" t="inlineStr">
        <is>
          <t>MECHANICAL PROPERTIES OF RED. TEE</t>
        </is>
      </c>
      <c r="C43" s="567">
        <f>D6</f>
        <v/>
      </c>
      <c r="D43" s="567" t="n"/>
      <c r="E43" s="567" t="n"/>
      <c r="F43" s="567" t="n"/>
      <c r="G43" s="567" t="n"/>
      <c r="H43" s="567" t="n"/>
      <c r="I43" s="567" t="n"/>
      <c r="J43" s="567" t="n"/>
      <c r="K43" s="567" t="n"/>
      <c r="L43" s="567" t="n"/>
      <c r="M43" s="567" t="n"/>
    </row>
    <row r="44">
      <c r="A44" s="558" t="inlineStr">
        <is>
          <t>Yield Strength Min, psi</t>
        </is>
      </c>
      <c r="B44" s="558" t="inlineStr">
        <is>
          <t>Yield Strength Min, N/mm²</t>
        </is>
      </c>
      <c r="C44" s="558" t="inlineStr">
        <is>
          <t>Tensile Strength Min, psi</t>
        </is>
      </c>
      <c r="D44" s="558" t="inlineStr">
        <is>
          <t>Tensile Strength Min, N/mm²</t>
        </is>
      </c>
      <c r="E44" s="558" t="inlineStr">
        <is>
          <t>Elongation (%)</t>
        </is>
      </c>
      <c r="F44" s="558" t="inlineStr">
        <is>
          <t>Reduction of Area (%)</t>
        </is>
      </c>
      <c r="G44" s="558" t="inlineStr">
        <is>
          <t>Hardness, maximum HBW</t>
        </is>
      </c>
      <c r="H44" s="558" t="inlineStr">
        <is>
          <t>CVN Avarage</t>
        </is>
      </c>
      <c r="I44" s="558" t="inlineStr">
        <is>
          <t>CVN Min</t>
        </is>
      </c>
      <c r="J44" s="558" t="inlineStr">
        <is>
          <t>CVN Temp C</t>
        </is>
      </c>
      <c r="K44" s="567" t="n"/>
      <c r="L44" s="567" t="n"/>
      <c r="M44" s="567" t="n"/>
    </row>
    <row r="45">
      <c r="A45" s="596">
        <f>VLOOKUP($D$4,Wrought_Fit_Mech._Prop.[],2,FALSE)</f>
        <v/>
      </c>
      <c r="B45" s="596">
        <f>VLOOKUP($D$4,Wrought_Fit_Mech._Prop.[],3,FALSE)</f>
        <v/>
      </c>
      <c r="C45" s="596">
        <f>VLOOKUP($D$4,Wrought_Fit_Mech._Prop.[],4,FALSE)</f>
        <v/>
      </c>
      <c r="D45" s="596">
        <f>VLOOKUP($D$4,Wrought_Fit_Mech._Prop.[],5,FALSE)</f>
        <v/>
      </c>
      <c r="E45" s="596">
        <f>VLOOKUP($D$4,Wrought_Fit_Mech._Prop.[],6,FALSE)</f>
        <v/>
      </c>
      <c r="F45" s="596">
        <f>VLOOKUP($D$4,Wrought_Fit_Mech._Prop.[],7,FALSE)</f>
        <v/>
      </c>
      <c r="G45" s="596">
        <f>VLOOKUP($D$4,Wrought_Fit_Mech._Prop.[],8,FALSE)</f>
        <v/>
      </c>
      <c r="H45" s="596">
        <f>VLOOKUP($D$4,Wrought_Fit_Mech._Prop.[],9,FALSE)</f>
        <v/>
      </c>
      <c r="I45" s="596">
        <f>VLOOKUP($D$4,Wrought_Fit_Mech._Prop.[],10,FALSE)</f>
        <v/>
      </c>
      <c r="J45" s="596">
        <f>VLOOKUP($D$4,Wrought_Fit_Mech._Prop.[],11,FALSE)</f>
        <v/>
      </c>
      <c r="K45" s="567" t="n"/>
      <c r="L45" s="567" t="n"/>
      <c r="M45" s="567" t="n"/>
    </row>
    <row r="46">
      <c r="A46" s="567" t="n"/>
      <c r="B46" s="567" t="n"/>
      <c r="C46" s="567" t="n"/>
      <c r="D46" s="567" t="n"/>
      <c r="E46" s="567" t="n"/>
      <c r="F46" s="567" t="n"/>
      <c r="G46" s="567" t="n"/>
      <c r="H46" s="567" t="n"/>
      <c r="I46" s="567" t="n"/>
      <c r="J46" s="567" t="n"/>
      <c r="K46" s="567" t="n"/>
      <c r="L46" s="567" t="n"/>
      <c r="M46" s="567" t="n"/>
    </row>
    <row r="65">
      <c r="A65" s="1078" t="inlineStr">
        <is>
          <t xml:space="preserve">MSS SP-75 CHEMICAL COMPOSITION </t>
        </is>
      </c>
      <c r="C65" s="548">
        <f>AH11</f>
        <v/>
      </c>
      <c r="D65" s="548" t="n"/>
      <c r="E65" s="548" t="n"/>
      <c r="F65" s="548" t="n"/>
      <c r="G65" s="548" t="n"/>
      <c r="H65" s="548" t="n"/>
      <c r="I65" s="548" t="n"/>
      <c r="J65" s="548" t="n"/>
      <c r="K65" s="548" t="n"/>
      <c r="L65" s="548" t="n"/>
      <c r="M65" s="548" t="n"/>
      <c r="N65" s="548" t="n"/>
    </row>
    <row r="66">
      <c r="A66" s="558" t="inlineStr">
        <is>
          <t>Grade</t>
        </is>
      </c>
      <c r="B66" s="558" t="inlineStr">
        <is>
          <t>C%</t>
        </is>
      </c>
      <c r="C66" s="558" t="inlineStr">
        <is>
          <t>Mn%</t>
        </is>
      </c>
      <c r="D66" s="558" t="inlineStr">
        <is>
          <t>Si%</t>
        </is>
      </c>
      <c r="E66" s="558" t="inlineStr">
        <is>
          <t>S%</t>
        </is>
      </c>
      <c r="F66" s="558" t="inlineStr">
        <is>
          <t>P%</t>
        </is>
      </c>
      <c r="G66" s="558" t="inlineStr">
        <is>
          <t>Cr%</t>
        </is>
      </c>
      <c r="H66" s="558" t="inlineStr">
        <is>
          <t>Ni%</t>
        </is>
      </c>
      <c r="I66" s="558" t="inlineStr">
        <is>
          <t>Mo%</t>
        </is>
      </c>
      <c r="J66" s="558" t="inlineStr">
        <is>
          <t>V%</t>
        </is>
      </c>
      <c r="K66" s="558" t="inlineStr">
        <is>
          <t>Cu%</t>
        </is>
      </c>
      <c r="L66" s="558" t="inlineStr">
        <is>
          <t>Columbium %</t>
        </is>
      </c>
      <c r="M66" s="558" t="inlineStr">
        <is>
          <t>Al %</t>
        </is>
      </c>
      <c r="N66" s="558" t="inlineStr">
        <is>
          <t>Other</t>
        </is>
      </c>
    </row>
    <row r="67">
      <c r="A67" s="558" t="inlineStr">
        <is>
          <t>MSS SP-75 WPHY-42</t>
        </is>
      </c>
      <c r="B67" s="558" t="n">
        <v>0.25</v>
      </c>
      <c r="C67" s="587" t="n">
        <v>1.6</v>
      </c>
      <c r="D67" s="558" t="inlineStr">
        <is>
          <t>0,15-0,45</t>
        </is>
      </c>
      <c r="E67" s="558" t="n">
        <v>0.015</v>
      </c>
      <c r="F67" s="558" t="n">
        <v>0.025</v>
      </c>
      <c r="G67" s="558" t="n">
        <v>0.25</v>
      </c>
      <c r="H67" s="558" t="n">
        <v>0.5</v>
      </c>
      <c r="I67" s="558" t="n">
        <v>0.25</v>
      </c>
      <c r="J67" s="558" t="n">
        <v>0.11</v>
      </c>
      <c r="K67" s="558" t="n">
        <v>0.45</v>
      </c>
      <c r="L67" s="558" t="n">
        <v>0.1</v>
      </c>
      <c r="M67" s="558" t="inlineStr">
        <is>
          <t>0,02-0,06</t>
        </is>
      </c>
      <c r="N67" s="558" t="inlineStr">
        <is>
          <t>Ti&lt;0,04 / Bo&lt;0,001</t>
        </is>
      </c>
    </row>
    <row r="68">
      <c r="A68" s="558" t="inlineStr">
        <is>
          <t>MSS SP-75 WPHY-46</t>
        </is>
      </c>
      <c r="B68" s="558" t="n">
        <v>0.25</v>
      </c>
      <c r="C68" s="587" t="n">
        <v>1.6</v>
      </c>
      <c r="D68" s="558" t="inlineStr">
        <is>
          <t>0,15-0,45</t>
        </is>
      </c>
      <c r="E68" s="558" t="n">
        <v>0.015</v>
      </c>
      <c r="F68" s="558" t="n">
        <v>0.025</v>
      </c>
      <c r="G68" s="558" t="n">
        <v>0.25</v>
      </c>
      <c r="H68" s="558" t="n">
        <v>0.5</v>
      </c>
      <c r="I68" s="558" t="n">
        <v>0.25</v>
      </c>
      <c r="J68" s="558" t="n">
        <v>0.11</v>
      </c>
      <c r="K68" s="558" t="n">
        <v>0.45</v>
      </c>
      <c r="L68" s="558" t="n">
        <v>0.1</v>
      </c>
      <c r="M68" s="558" t="inlineStr">
        <is>
          <t>0,02-0,06</t>
        </is>
      </c>
      <c r="N68" s="558" t="inlineStr">
        <is>
          <t>Ti&lt;0,04 / Bo&lt;0,001</t>
        </is>
      </c>
    </row>
    <row r="69">
      <c r="A69" s="558" t="inlineStr">
        <is>
          <t>MSS SP-75 WPHY-52</t>
        </is>
      </c>
      <c r="B69" s="558" t="n">
        <v>0.25</v>
      </c>
      <c r="C69" s="587" t="n">
        <v>1.6</v>
      </c>
      <c r="D69" s="558" t="inlineStr">
        <is>
          <t>0,15-0,45</t>
        </is>
      </c>
      <c r="E69" s="558" t="n">
        <v>0.015</v>
      </c>
      <c r="F69" s="558" t="n">
        <v>0.025</v>
      </c>
      <c r="G69" s="558" t="n">
        <v>0.25</v>
      </c>
      <c r="H69" s="558" t="n">
        <v>0.5</v>
      </c>
      <c r="I69" s="558" t="n">
        <v>0.25</v>
      </c>
      <c r="J69" s="558" t="n">
        <v>0.11</v>
      </c>
      <c r="K69" s="558" t="n">
        <v>0.45</v>
      </c>
      <c r="L69" s="558" t="n">
        <v>0.1</v>
      </c>
      <c r="M69" s="558" t="inlineStr">
        <is>
          <t>0,02-0,06</t>
        </is>
      </c>
      <c r="N69" s="558" t="inlineStr">
        <is>
          <t>Ti&lt;0,04 / Bo&lt;0,001</t>
        </is>
      </c>
    </row>
    <row r="70">
      <c r="A70" s="558" t="inlineStr">
        <is>
          <t>MSS SP-75 WPHY-56</t>
        </is>
      </c>
      <c r="B70" s="558" t="n">
        <v>0.25</v>
      </c>
      <c r="C70" s="587" t="n">
        <v>1.6</v>
      </c>
      <c r="D70" s="558" t="inlineStr">
        <is>
          <t>0,15-0,45</t>
        </is>
      </c>
      <c r="E70" s="558" t="n">
        <v>0.015</v>
      </c>
      <c r="F70" s="558" t="n">
        <v>0.025</v>
      </c>
      <c r="G70" s="558" t="n">
        <v>0.25</v>
      </c>
      <c r="H70" s="558" t="n">
        <v>0.5</v>
      </c>
      <c r="I70" s="558" t="n">
        <v>0.25</v>
      </c>
      <c r="J70" s="558" t="n">
        <v>0.11</v>
      </c>
      <c r="K70" s="558" t="n">
        <v>0.45</v>
      </c>
      <c r="L70" s="558" t="n">
        <v>0.1</v>
      </c>
      <c r="M70" s="558" t="inlineStr">
        <is>
          <t>0,02-0,06</t>
        </is>
      </c>
      <c r="N70" s="558" t="inlineStr">
        <is>
          <t>Ti&lt;0,04 / Bo&lt;0,001</t>
        </is>
      </c>
    </row>
    <row r="71">
      <c r="A71" s="558" t="inlineStr">
        <is>
          <t>MSS SP-75 WPHY-60</t>
        </is>
      </c>
      <c r="B71" s="558" t="n">
        <v>0.25</v>
      </c>
      <c r="C71" s="587" t="n">
        <v>1.6</v>
      </c>
      <c r="D71" s="558" t="inlineStr">
        <is>
          <t>0,15-0,45</t>
        </is>
      </c>
      <c r="E71" s="558" t="n">
        <v>0.015</v>
      </c>
      <c r="F71" s="558" t="n">
        <v>0.025</v>
      </c>
      <c r="G71" s="558" t="n">
        <v>0.25</v>
      </c>
      <c r="H71" s="558" t="n">
        <v>0.5</v>
      </c>
      <c r="I71" s="558" t="n">
        <v>0.25</v>
      </c>
      <c r="J71" s="558" t="n">
        <v>0.11</v>
      </c>
      <c r="K71" s="558" t="n">
        <v>0.45</v>
      </c>
      <c r="L71" s="558" t="n">
        <v>0.1</v>
      </c>
      <c r="M71" s="558" t="inlineStr">
        <is>
          <t>0,02-0,06</t>
        </is>
      </c>
      <c r="N71" s="558" t="inlineStr">
        <is>
          <t>Ti&lt;0,04 / Bo&lt;0,001</t>
        </is>
      </c>
    </row>
    <row r="72">
      <c r="A72" s="558" t="inlineStr">
        <is>
          <t>MSS SP-75 WPHY-65</t>
        </is>
      </c>
      <c r="B72" s="558" t="n">
        <v>0.25</v>
      </c>
      <c r="C72" s="587" t="n">
        <v>1.6</v>
      </c>
      <c r="D72" s="558" t="inlineStr">
        <is>
          <t>0,15-0,45</t>
        </is>
      </c>
      <c r="E72" s="558" t="n">
        <v>0.015</v>
      </c>
      <c r="F72" s="558" t="n">
        <v>0.025</v>
      </c>
      <c r="G72" s="558" t="n">
        <v>0.25</v>
      </c>
      <c r="H72" s="558" t="n">
        <v>0.5</v>
      </c>
      <c r="I72" s="558" t="n">
        <v>0.25</v>
      </c>
      <c r="J72" s="558" t="n">
        <v>0.11</v>
      </c>
      <c r="K72" s="558" t="n">
        <v>0.45</v>
      </c>
      <c r="L72" s="558" t="n">
        <v>0.1</v>
      </c>
      <c r="M72" s="558" t="inlineStr">
        <is>
          <t>0,02-0,06</t>
        </is>
      </c>
      <c r="N72" s="558" t="inlineStr">
        <is>
          <t>Ti&lt;0,04 / Bo&lt;0,001</t>
        </is>
      </c>
    </row>
    <row r="73">
      <c r="A73" s="558" t="inlineStr">
        <is>
          <t>MSS SP-75 WPHY-70</t>
        </is>
      </c>
      <c r="B73" s="558" t="n">
        <v>0.25</v>
      </c>
      <c r="C73" s="587" t="n">
        <v>1.6</v>
      </c>
      <c r="D73" s="558" t="inlineStr">
        <is>
          <t>0,15-0,45</t>
        </is>
      </c>
      <c r="E73" s="558" t="n">
        <v>0.015</v>
      </c>
      <c r="F73" s="558" t="n">
        <v>0.025</v>
      </c>
      <c r="G73" s="558" t="n">
        <v>0.25</v>
      </c>
      <c r="H73" s="558" t="n">
        <v>0.5</v>
      </c>
      <c r="I73" s="558" t="n">
        <v>0.25</v>
      </c>
      <c r="J73" s="558" t="n">
        <v>0.11</v>
      </c>
      <c r="K73" s="558" t="n">
        <v>0.45</v>
      </c>
      <c r="L73" s="558" t="n">
        <v>0.1</v>
      </c>
      <c r="M73" s="558" t="inlineStr">
        <is>
          <t>0,02-0,06</t>
        </is>
      </c>
      <c r="N73" s="558" t="inlineStr">
        <is>
          <t>Ti&lt;0,04 / Bo&lt;0,001</t>
        </is>
      </c>
    </row>
    <row r="74">
      <c r="A74" s="558" t="inlineStr">
        <is>
          <t>MSS SP-75 WPHY-80</t>
        </is>
      </c>
      <c r="B74" s="558" t="n">
        <v>0.25</v>
      </c>
      <c r="C74" s="587" t="n">
        <v>1.6</v>
      </c>
      <c r="D74" s="558" t="inlineStr">
        <is>
          <t>0,15-0,45</t>
        </is>
      </c>
      <c r="E74" s="558" t="n">
        <v>0.015</v>
      </c>
      <c r="F74" s="558" t="n">
        <v>0.025</v>
      </c>
      <c r="G74" s="558" t="n">
        <v>0.25</v>
      </c>
      <c r="H74" s="558" t="n">
        <v>0.5</v>
      </c>
      <c r="I74" s="558" t="n">
        <v>0.25</v>
      </c>
      <c r="J74" s="558" t="n">
        <v>0.11</v>
      </c>
      <c r="K74" s="558" t="n">
        <v>0.45</v>
      </c>
      <c r="L74" s="558" t="n">
        <v>0.1</v>
      </c>
      <c r="M74" s="558" t="inlineStr">
        <is>
          <t>0,02-0,06</t>
        </is>
      </c>
      <c r="N74" s="558" t="inlineStr">
        <is>
          <t>Ti&lt;0,04 / Bo&lt;0,001</t>
        </is>
      </c>
    </row>
    <row r="78">
      <c r="A78" s="1079" t="inlineStr">
        <is>
          <t>MECHANICAL PROPERTIES OF RED. TEE</t>
        </is>
      </c>
      <c r="C78" s="567">
        <f>AH11</f>
        <v/>
      </c>
      <c r="D78" s="567" t="n"/>
      <c r="E78" s="567" t="n"/>
      <c r="F78" s="567" t="n"/>
      <c r="G78" s="567" t="n"/>
      <c r="H78" s="567" t="n"/>
      <c r="I78" s="567" t="n"/>
      <c r="J78" s="567" t="n"/>
    </row>
    <row r="79" ht="20.25" customHeight="1" s="510">
      <c r="A79" s="522" t="inlineStr">
        <is>
          <t>Grade</t>
        </is>
      </c>
      <c r="B79" s="558" t="inlineStr">
        <is>
          <t>Yield Strength Min, psi</t>
        </is>
      </c>
      <c r="C79" s="558" t="inlineStr">
        <is>
          <t>Yield Strength Min, N/mm²</t>
        </is>
      </c>
      <c r="D79" s="558" t="inlineStr">
        <is>
          <t>Tensile Strength Min, psi</t>
        </is>
      </c>
      <c r="E79" s="558" t="inlineStr">
        <is>
          <t>Tensile Strength Min, N/mm²</t>
        </is>
      </c>
      <c r="F79" s="558" t="inlineStr">
        <is>
          <t>Elongation (%)</t>
        </is>
      </c>
      <c r="G79" s="558" t="inlineStr">
        <is>
          <t>Reduction of Area (%)</t>
        </is>
      </c>
      <c r="H79" s="558" t="inlineStr">
        <is>
          <t>Hardness, maximum HBW</t>
        </is>
      </c>
      <c r="I79" s="558" t="inlineStr">
        <is>
          <t>CVN Avarage</t>
        </is>
      </c>
      <c r="J79" s="558" t="inlineStr">
        <is>
          <t>CVN Min</t>
        </is>
      </c>
      <c r="K79" s="558" t="inlineStr">
        <is>
          <t>CVN Temp C</t>
        </is>
      </c>
    </row>
    <row r="80">
      <c r="A80" s="522" t="inlineStr">
        <is>
          <t>MSS SP-75 WPHY-42</t>
        </is>
      </c>
      <c r="B80" s="522" t="n">
        <v>42000</v>
      </c>
      <c r="C80" s="522" t="n">
        <v>290</v>
      </c>
      <c r="D80" s="522" t="n">
        <v>60000</v>
      </c>
      <c r="E80" s="522" t="n">
        <v>415</v>
      </c>
      <c r="F80" s="522" t="n">
        <v>25</v>
      </c>
      <c r="G80" s="522">
        <f>VLOOKUP($D$4,Wrought_Fit_Mech._Prop.[],7,FALSE)</f>
        <v/>
      </c>
      <c r="H80" s="522" t="inlineStr">
        <is>
          <t>YOK</t>
        </is>
      </c>
      <c r="I80" s="522">
        <f>20*1.36</f>
        <v/>
      </c>
      <c r="J80" s="522">
        <f>15*1.36</f>
        <v/>
      </c>
      <c r="K80" s="522" t="n">
        <v>-7</v>
      </c>
    </row>
    <row r="81">
      <c r="A81" s="522" t="inlineStr">
        <is>
          <t>MSS SP-75 WPHY-46</t>
        </is>
      </c>
      <c r="B81" s="522" t="n">
        <v>46000</v>
      </c>
      <c r="C81" s="522" t="n">
        <v>315</v>
      </c>
      <c r="D81" s="522" t="n">
        <v>63000</v>
      </c>
      <c r="E81" s="522" t="n">
        <v>435</v>
      </c>
      <c r="F81" s="522" t="n">
        <v>25</v>
      </c>
      <c r="G81" s="522">
        <f>VLOOKUP($D$4,Wrought_Fit_Mech._Prop.[],7,FALSE)</f>
        <v/>
      </c>
      <c r="H81" s="522" t="inlineStr">
        <is>
          <t>YOK</t>
        </is>
      </c>
      <c r="I81" s="522">
        <f>20*1.36</f>
        <v/>
      </c>
      <c r="J81" s="522">
        <f>15*1.36</f>
        <v/>
      </c>
      <c r="K81" s="522" t="n">
        <v>-7</v>
      </c>
    </row>
    <row r="82">
      <c r="A82" s="522" t="inlineStr">
        <is>
          <t>MSS SP-75 WPHY-52</t>
        </is>
      </c>
      <c r="B82" s="522" t="n">
        <v>52000</v>
      </c>
      <c r="C82" s="522" t="n">
        <v>360</v>
      </c>
      <c r="D82" s="522" t="n">
        <v>66000</v>
      </c>
      <c r="E82" s="522" t="n">
        <v>455</v>
      </c>
      <c r="F82" s="522" t="n">
        <v>25</v>
      </c>
      <c r="G82" s="522">
        <f>VLOOKUP($D$4,Wrought_Fit_Mech._Prop.[],7,FALSE)</f>
        <v/>
      </c>
      <c r="H82" s="522" t="inlineStr">
        <is>
          <t>YOK</t>
        </is>
      </c>
      <c r="I82" s="522">
        <f>20*1.36</f>
        <v/>
      </c>
      <c r="J82" s="522">
        <f>15*1.36</f>
        <v/>
      </c>
      <c r="K82" s="522" t="n">
        <v>-7</v>
      </c>
    </row>
    <row r="83">
      <c r="A83" s="522" t="inlineStr">
        <is>
          <t>MSS SP-75 WPHY-56</t>
        </is>
      </c>
      <c r="B83" s="522" t="n">
        <v>56000</v>
      </c>
      <c r="C83" s="522" t="n">
        <v>385</v>
      </c>
      <c r="D83" s="522" t="n">
        <v>71000</v>
      </c>
      <c r="E83" s="522" t="n">
        <v>490</v>
      </c>
      <c r="F83" s="522" t="n">
        <v>20</v>
      </c>
      <c r="G83" s="522">
        <f>VLOOKUP($D$4,Wrought_Fit_Mech._Prop.[],7,FALSE)</f>
        <v/>
      </c>
      <c r="H83" s="522" t="inlineStr">
        <is>
          <t>YOK</t>
        </is>
      </c>
      <c r="I83" s="522">
        <f>20*1.36</f>
        <v/>
      </c>
      <c r="J83" s="522">
        <f>15*1.36</f>
        <v/>
      </c>
      <c r="K83" s="522" t="n">
        <v>-7</v>
      </c>
    </row>
    <row r="84">
      <c r="A84" s="522" t="inlineStr">
        <is>
          <t>MSS SP-75 WPHY-60</t>
        </is>
      </c>
      <c r="B84" s="522" t="n">
        <v>60000</v>
      </c>
      <c r="C84" s="522" t="n">
        <v>415</v>
      </c>
      <c r="D84" s="522" t="n">
        <v>75000</v>
      </c>
      <c r="E84" s="522" t="n">
        <v>515</v>
      </c>
      <c r="F84" s="522" t="n">
        <v>20</v>
      </c>
      <c r="G84" s="522">
        <f>VLOOKUP($D$4,Wrought_Fit_Mech._Prop.[],7,FALSE)</f>
        <v/>
      </c>
      <c r="H84" s="522" t="inlineStr">
        <is>
          <t>YOK</t>
        </is>
      </c>
      <c r="I84" s="522">
        <f>20*1.36</f>
        <v/>
      </c>
      <c r="J84" s="522">
        <f>15*1.36</f>
        <v/>
      </c>
      <c r="K84" s="522" t="n">
        <v>-7</v>
      </c>
    </row>
    <row r="85">
      <c r="A85" s="522" t="inlineStr">
        <is>
          <t>MSS SP-75 WPHY-65</t>
        </is>
      </c>
      <c r="B85" s="522" t="n">
        <v>65000</v>
      </c>
      <c r="C85" s="522" t="n">
        <v>450</v>
      </c>
      <c r="D85" s="522" t="n">
        <v>77000</v>
      </c>
      <c r="E85" s="522" t="n">
        <v>530</v>
      </c>
      <c r="F85" s="522" t="n">
        <v>20</v>
      </c>
      <c r="G85" s="522">
        <f>VLOOKUP($D$4,Wrought_Fit_Mech._Prop.[],7,FALSE)</f>
        <v/>
      </c>
      <c r="H85" s="522" t="inlineStr">
        <is>
          <t>YOK</t>
        </is>
      </c>
      <c r="I85" s="522">
        <f>20*1.36</f>
        <v/>
      </c>
      <c r="J85" s="522">
        <f>15*1.36</f>
        <v/>
      </c>
      <c r="K85" s="522" t="n">
        <v>-7</v>
      </c>
    </row>
    <row r="86">
      <c r="A86" s="522" t="inlineStr">
        <is>
          <t>MSS SP-75 WPHY-70</t>
        </is>
      </c>
      <c r="B86" s="522" t="n">
        <v>70000</v>
      </c>
      <c r="C86" s="522" t="n">
        <v>485</v>
      </c>
      <c r="D86" s="522" t="n">
        <v>82000</v>
      </c>
      <c r="E86" s="522" t="n">
        <v>565</v>
      </c>
      <c r="F86" s="522" t="n">
        <v>18</v>
      </c>
      <c r="G86" s="522">
        <f>VLOOKUP($D$4,Wrought_Fit_Mech._Prop.[],7,FALSE)</f>
        <v/>
      </c>
      <c r="H86" s="522" t="inlineStr">
        <is>
          <t>YOK</t>
        </is>
      </c>
      <c r="I86" s="522">
        <f>20*1.36</f>
        <v/>
      </c>
      <c r="J86" s="522">
        <f>15*1.36</f>
        <v/>
      </c>
      <c r="K86" s="522" t="n">
        <v>-7</v>
      </c>
    </row>
    <row r="87">
      <c r="A87" s="522" t="inlineStr">
        <is>
          <t>MSS SP-75 WPHY-80</t>
        </is>
      </c>
      <c r="B87" s="522" t="n">
        <v>80000</v>
      </c>
      <c r="C87" s="522" t="n">
        <v>550</v>
      </c>
      <c r="D87" s="522" t="n">
        <v>90000</v>
      </c>
      <c r="E87" s="522" t="n">
        <v>620</v>
      </c>
      <c r="F87" s="522" t="n">
        <v>16</v>
      </c>
      <c r="G87" s="522">
        <f>VLOOKUP($D$4,Wrought_Fit_Mech._Prop.[],7,FALSE)</f>
        <v/>
      </c>
      <c r="H87" s="522" t="inlineStr">
        <is>
          <t>YOK</t>
        </is>
      </c>
      <c r="I87" s="522">
        <f>20*1.36</f>
        <v/>
      </c>
      <c r="J87" s="522">
        <f>15*1.36</f>
        <v/>
      </c>
      <c r="K87" s="522" t="n">
        <v>-7</v>
      </c>
    </row>
    <row r="88">
      <c r="A88" s="522" t="n"/>
      <c r="B88" s="522" t="n"/>
      <c r="C88" s="522" t="n"/>
      <c r="D88" s="522" t="n"/>
      <c r="E88" s="522" t="n"/>
      <c r="F88" s="522" t="n"/>
      <c r="G88" s="522" t="n"/>
      <c r="H88" s="522" t="n"/>
      <c r="I88" s="522" t="n"/>
      <c r="J88" s="522" t="n"/>
      <c r="K88" s="522" t="n"/>
    </row>
  </sheetData>
  <mergeCells count="14">
    <mergeCell ref="A78:B78"/>
    <mergeCell ref="O2:P2"/>
    <mergeCell ref="A65:B65"/>
    <mergeCell ref="A43:B43"/>
    <mergeCell ref="Q1:Q2"/>
    <mergeCell ref="O1:P1"/>
    <mergeCell ref="A14:B14"/>
    <mergeCell ref="A23:B23"/>
    <mergeCell ref="A18:B18"/>
    <mergeCell ref="A27:B27"/>
    <mergeCell ref="A31:B31"/>
    <mergeCell ref="A39:B39"/>
    <mergeCell ref="A35:B35"/>
    <mergeCell ref="N1:N2"/>
  </mergeCells>
  <dataValidations count="3">
    <dataValidation sqref="A3:A7" showDropDown="0" showInputMessage="1" showErrorMessage="1" allowBlank="1" type="list">
      <formula1>$A$3:$A$7</formula1>
    </dataValidation>
    <dataValidation sqref="B3:B7" showDropDown="0" showInputMessage="1" showErrorMessage="1" allowBlank="1" type="list">
      <formula1>$X$3:$X$35</formula1>
    </dataValidation>
    <dataValidation sqref="H3" showDropDown="0" showInputMessage="1" showErrorMessage="1" allowBlank="1" type="list">
      <formula1>$T$3:$T$4</formula1>
    </dataValidation>
  </dataValidations>
  <pageMargins left="0.7" right="0.7" top="0.75" bottom="0.75" header="0.3" footer="0.3"/>
  <pageSetup orientation="portrait" paperSize="9"/>
  <drawing xmlns:r="http://schemas.openxmlformats.org/officeDocument/2006/relationships" r:id="rId1"/>
  <tableParts count="13">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xl/worksheets/sheet8.xml><?xml version="1.0" encoding="utf-8"?>
<worksheet xmlns="http://schemas.openxmlformats.org/spreadsheetml/2006/main">
  <sheetPr codeName="Sayfa14" published="0">
    <tabColor rgb="FFFFFF00"/>
    <outlinePr summaryBelow="1" summaryRight="1"/>
    <pageSetUpPr/>
  </sheetPr>
  <dimension ref="A1:AQ74"/>
  <sheetViews>
    <sheetView workbookViewId="0">
      <selection activeCell="B3" sqref="B3"/>
    </sheetView>
  </sheetViews>
  <sheetFormatPr baseColWidth="8" defaultRowHeight="15"/>
  <cols>
    <col width="23.5390625" customWidth="1" style="510" min="1" max="1"/>
    <col width="27.57421875" bestFit="1" customWidth="1" style="510" min="2" max="2"/>
    <col width="14.390625" customWidth="1" style="510" min="3" max="3"/>
    <col width="12.5078125" customWidth="1" style="510" min="4" max="4"/>
    <col width="15.33203125" customWidth="1" style="510" min="5" max="5"/>
    <col width="16.0078125" customWidth="1" style="510" min="6" max="6"/>
    <col width="14.390625" customWidth="1" style="510" min="7" max="7"/>
    <col width="21.1171875" customWidth="1" style="510" min="8" max="8"/>
    <col width="12.5078125" customWidth="1" style="510" min="9" max="9"/>
    <col width="12.9140625" customWidth="1" style="510" min="10" max="10"/>
    <col width="11.56640625" customWidth="1" style="510" min="11" max="12"/>
    <col width="13.85546875" customWidth="1" style="510" min="13" max="13"/>
    <col width="13.71875" bestFit="1" customWidth="1" style="510" min="14" max="14"/>
    <col width="14.52734375" customWidth="1" style="510" min="15" max="15"/>
    <col width="31.34375" bestFit="1" customWidth="1" style="510" min="16" max="16"/>
    <col width="18.16015625" customWidth="1" style="510" min="17" max="17"/>
    <col width="21.1171875" customWidth="1" style="510" min="18" max="18"/>
    <col width="19.50390625" customWidth="1" style="510" min="19" max="19"/>
    <col width="22.46484375" customWidth="1" style="510" min="20" max="20"/>
    <col width="23.13671875" customWidth="1" style="510" min="21" max="21"/>
    <col width="17.3515625" customWidth="1" style="510" min="22" max="22"/>
    <col width="20.04296875" customWidth="1" style="510" min="23" max="23"/>
    <col width="11.8359375" customWidth="1" style="510" min="24" max="24"/>
    <col width="9.28125" customWidth="1" style="510" min="25" max="25"/>
    <col width="18.29296875" customWidth="1" style="510" min="28" max="28"/>
    <col width="16.140625" customWidth="1" style="510" min="31" max="31"/>
    <col width="15.6015625" customWidth="1" style="510" min="32" max="32"/>
    <col width="16.41015625" customWidth="1" style="510" min="33" max="33"/>
    <col width="17.484375" bestFit="1" customWidth="1" style="510" min="34" max="34"/>
    <col width="13.71875" customWidth="1" style="510" min="35" max="35"/>
    <col width="13.5859375" customWidth="1" style="510" min="36" max="36"/>
    <col width="15.6015625" customWidth="1" style="510" min="37" max="37"/>
    <col width="14.9296875" customWidth="1" style="510" min="38" max="38"/>
    <col width="15.46875" customWidth="1" style="510" min="39" max="39"/>
    <col width="16.41015625" customWidth="1" style="510" min="40" max="40"/>
    <col width="14.390625" customWidth="1" style="510" min="41" max="41"/>
    <col width="13.85546875" customWidth="1" style="510" min="42" max="42"/>
    <col width="15.06640625" customWidth="1" style="510" min="43" max="43"/>
  </cols>
  <sheetData>
    <row r="1">
      <c r="A1" s="567" t="n"/>
      <c r="B1" s="567" t="n"/>
      <c r="C1" s="567" t="n"/>
      <c r="D1" s="567" t="n"/>
      <c r="E1" s="567" t="n"/>
      <c r="F1" s="567" t="n"/>
      <c r="G1" s="567" t="n"/>
      <c r="H1" s="567" t="n"/>
      <c r="I1" s="567" t="n"/>
      <c r="J1" s="567" t="n"/>
      <c r="K1" s="567" t="n"/>
      <c r="L1" s="567" t="n"/>
      <c r="M1" s="567" t="n"/>
      <c r="N1" s="567" t="n"/>
    </row>
    <row r="2" ht="30.75" customHeight="1" s="510">
      <c r="A2" s="548" t="inlineStr">
        <is>
          <t>FİTTİNG</t>
        </is>
      </c>
      <c r="B2" s="1078" t="inlineStr">
        <is>
          <t>Çap(inch)</t>
        </is>
      </c>
      <c r="C2" s="1078" t="inlineStr">
        <is>
          <t>Çap(mm)</t>
        </is>
      </c>
      <c r="D2" s="1078" t="inlineStr">
        <is>
          <t>Class</t>
        </is>
      </c>
      <c r="E2" s="1078" t="inlineStr">
        <is>
          <t>Malzeme</t>
        </is>
      </c>
      <c r="F2" s="1078" t="inlineStr">
        <is>
          <t>Design Temp C</t>
        </is>
      </c>
      <c r="G2" s="1078" t="inlineStr">
        <is>
          <t>Malzeme Standardı</t>
        </is>
      </c>
      <c r="H2" s="1078" t="inlineStr">
        <is>
          <t>Üretim Standardı</t>
        </is>
      </c>
      <c r="I2" s="1078" t="inlineStr">
        <is>
          <t>Boyut Kontrol Standardı</t>
        </is>
      </c>
      <c r="J2" s="1078" t="inlineStr">
        <is>
          <t>Manuel Seçim Malzeme</t>
        </is>
      </c>
      <c r="K2" s="1078" t="inlineStr">
        <is>
          <t>Manuel Seçim Üretim ve Malzeme</t>
        </is>
      </c>
      <c r="M2" s="567" t="n"/>
    </row>
    <row r="3" ht="21" customHeight="1" s="510">
      <c r="A3" s="558" t="inlineStr">
        <is>
          <t>FLANŞ</t>
        </is>
      </c>
      <c r="B3" s="558" t="inlineStr">
        <is>
          <t xml:space="preserve">4" </t>
        </is>
      </c>
      <c r="C3" s="558">
        <f>VLOOKUP(Tablo1538[[#This Row],[Çap(inch)]],Fitting_Flanş[[#All],[BORU DIŞ ÇAPI Anma (inch)]:[Nominal (mm)]],4,0)</f>
        <v/>
      </c>
      <c r="D3" s="558">
        <f>IF(Tablo1538[[#This Row],[Çap(mm)]]&gt;60.3," Class 600 "," Class 1500")</f>
        <v/>
      </c>
      <c r="E3" s="558" t="n"/>
      <c r="F3" s="558" t="n">
        <v>-28</v>
      </c>
      <c r="G3" s="574">
        <f>VLOOKUP(B3,Fitting_Flanş[#All],(IF(Tablo1538[[#This Row],[FİTTİNG]]="FLANŞ",7,7)),FALSE)</f>
        <v/>
      </c>
      <c r="H3" s="576">
        <f>VLOOKUP(Tablo1538[[#This Row],[Malzeme Standardı]],A55:L66,2,0)</f>
        <v/>
      </c>
      <c r="I3" s="578" t="n"/>
      <c r="J3" s="578" t="inlineStr">
        <is>
          <t>ASTM A182 F6a Class1</t>
        </is>
      </c>
      <c r="K3" s="579" t="inlineStr">
        <is>
          <t>MSS SP-44 F52</t>
        </is>
      </c>
      <c r="M3" s="522" t="n"/>
    </row>
    <row r="4" ht="29.25" customHeight="1" s="510">
      <c r="A4" s="558" t="inlineStr">
        <is>
          <t>SAPLAMA / 
SOMUN</t>
        </is>
      </c>
      <c r="B4" s="558">
        <f>B3</f>
        <v/>
      </c>
      <c r="C4" s="558">
        <f>VLOOKUP(Tablo1538[[#This Row],[Çap(inch)]],Fitting_Flanş[[#All],[BORU DIŞ ÇAPI Anma (inch)]:[Nominal (mm)]],4,0)</f>
        <v/>
      </c>
      <c r="D4" s="558">
        <f>IF(Tablo1538[[#This Row],[Çap(mm)]]&gt;60.3," Class 600 "," Class 1500")</f>
        <v/>
      </c>
      <c r="E4" s="558" t="n"/>
      <c r="F4" s="558" t="n">
        <v>-28</v>
      </c>
      <c r="G4" s="574" t="inlineStr">
        <is>
          <t xml:space="preserve"> ASTM A 193 GR B7/ ASTM A 194 GR 2H</t>
        </is>
      </c>
      <c r="H4" s="576" t="inlineStr">
        <is>
          <t xml:space="preserve"> ASTM A 193 GR B7/ ASTM A 194 GR 2H</t>
        </is>
      </c>
      <c r="I4" s="578" t="n"/>
      <c r="J4" s="578" t="n"/>
      <c r="K4" s="579" t="n"/>
      <c r="M4" s="567" t="n"/>
    </row>
    <row r="5">
      <c r="A5" s="558" t="inlineStr">
        <is>
          <t>CONTA</t>
        </is>
      </c>
      <c r="B5" s="558">
        <f>B3</f>
        <v/>
      </c>
      <c r="C5" s="558">
        <f>VLOOKUP(Tablo1538[[#This Row],[Çap(inch)]],Fitting_Flanş[[#All],[BORU DIŞ ÇAPI Anma (inch)]:[Nominal (mm)]],4,0)</f>
        <v/>
      </c>
      <c r="D5" s="558">
        <f>IF(Tablo1538[[#This Row],[Çap(mm)]]&gt;60.3," Class 600 "," Class 1500")</f>
        <v/>
      </c>
      <c r="E5" s="558" t="n"/>
      <c r="F5" s="558" t="n">
        <v>-28</v>
      </c>
      <c r="G5" s="574" t="inlineStr">
        <is>
          <t>ASME B 16.20</t>
        </is>
      </c>
      <c r="H5" s="576" t="n"/>
      <c r="I5" s="578" t="n"/>
      <c r="J5" s="578" t="n"/>
      <c r="K5" s="579" t="n"/>
      <c r="M5" s="567" t="n"/>
    </row>
    <row r="6" ht="21" customHeight="1" s="510">
      <c r="A6" s="558" t="inlineStr">
        <is>
          <t>KÖR FLANŞ</t>
        </is>
      </c>
      <c r="B6" s="558">
        <f>B3</f>
        <v/>
      </c>
      <c r="C6" s="558">
        <f>VLOOKUP(Tablo1538[[#This Row],[Çap(inch)]],Fitting_Flanş[[#All],[BORU DIŞ ÇAPI Anma (inch)]:[Nominal (mm)]],4,0)</f>
        <v/>
      </c>
      <c r="D6" s="558">
        <f>IF(Tablo1538[[#This Row],[Çap(mm)]]&gt;60.3," Class 600 "," Class 1500")</f>
        <v/>
      </c>
      <c r="E6" s="558" t="n"/>
      <c r="F6" s="558" t="n">
        <v>-28</v>
      </c>
      <c r="G6" s="574">
        <f>VLOOKUP(B6,Fitting_Flanş[#All],(IF(Tablo1538[[#This Row],[FİTTİNG]]="KÖR FLANŞ",7,5)),FALSE)</f>
        <v/>
      </c>
      <c r="H6" s="576">
        <f>H3</f>
        <v/>
      </c>
      <c r="I6" s="578" t="n"/>
      <c r="J6" s="578">
        <f>J3</f>
        <v/>
      </c>
      <c r="K6" s="579" t="inlineStr">
        <is>
          <t>MSS SP-44</t>
        </is>
      </c>
      <c r="M6" s="567" t="n"/>
    </row>
    <row r="7">
      <c r="N7" s="567" t="n"/>
      <c r="Q7" s="567" t="n"/>
      <c r="R7" s="522" t="n"/>
      <c r="S7" s="522" t="n"/>
      <c r="T7" s="522" t="n"/>
      <c r="U7" s="567" t="n"/>
      <c r="V7" s="567" t="n"/>
    </row>
    <row r="9">
      <c r="A9" s="550">
        <f>"Seçilen Flanş için Malzeme Standardının Kimyasal Kompozisyon Sınırları"</f>
        <v/>
      </c>
      <c r="B9" s="567" t="n"/>
      <c r="C9" s="567" t="n"/>
      <c r="D9" s="567" t="n"/>
      <c r="E9" s="567" t="n"/>
      <c r="F9" s="567" t="n"/>
      <c r="G9" s="567" t="n"/>
      <c r="H9" s="567" t="n"/>
      <c r="I9" s="567" t="n"/>
      <c r="J9" s="567" t="n"/>
      <c r="K9" s="567" t="n"/>
      <c r="L9" s="567" t="n"/>
      <c r="M9" s="567" t="n"/>
    </row>
    <row r="10">
      <c r="A10" s="522" t="inlineStr">
        <is>
          <t>Grade</t>
        </is>
      </c>
      <c r="B10" s="522" t="inlineStr">
        <is>
          <t>C%</t>
        </is>
      </c>
      <c r="C10" s="522" t="inlineStr">
        <is>
          <t>Mn%</t>
        </is>
      </c>
      <c r="D10" s="522" t="inlineStr">
        <is>
          <t>Si%</t>
        </is>
      </c>
      <c r="E10" s="522" t="inlineStr">
        <is>
          <t>S%</t>
        </is>
      </c>
      <c r="F10" s="522" t="inlineStr">
        <is>
          <t>P%</t>
        </is>
      </c>
      <c r="G10" s="522" t="inlineStr">
        <is>
          <t>Cr%</t>
        </is>
      </c>
      <c r="H10" s="522" t="inlineStr">
        <is>
          <t>Ni%</t>
        </is>
      </c>
      <c r="I10" s="522" t="inlineStr">
        <is>
          <t>Mo%</t>
        </is>
      </c>
      <c r="J10" s="522" t="inlineStr">
        <is>
          <t>V%</t>
        </is>
      </c>
      <c r="K10" s="522" t="inlineStr">
        <is>
          <t>Cu%</t>
        </is>
      </c>
      <c r="L10" s="522" t="inlineStr">
        <is>
          <t>Nb%</t>
        </is>
      </c>
      <c r="M10" s="522" t="inlineStr">
        <is>
          <t>N%</t>
        </is>
      </c>
      <c r="N10" s="522" t="inlineStr">
        <is>
          <t>Other</t>
        </is>
      </c>
    </row>
    <row r="11">
      <c r="A11" s="580">
        <f>G3</f>
        <v/>
      </c>
      <c r="B11" s="580">
        <f>VLOOKUP($G$3,Tablo11[#All],2,0)</f>
        <v/>
      </c>
      <c r="C11" s="580">
        <f>VLOOKUP($G$3,Tablo11[#All],3,0)</f>
        <v/>
      </c>
      <c r="D11" s="580">
        <f>VLOOKUP($G$3,Tablo11[#All],4,0)</f>
        <v/>
      </c>
      <c r="E11" s="580">
        <f>VLOOKUP($G$3,Tablo11[#All],5,0)</f>
        <v/>
      </c>
      <c r="F11" s="580">
        <f>VLOOKUP($G$3,Tablo11[#All],6,0)</f>
        <v/>
      </c>
      <c r="G11" s="580">
        <f>VLOOKUP($G$3,Tablo11[#All],7,0)</f>
        <v/>
      </c>
      <c r="H11" s="580">
        <f>VLOOKUP($G$3,Tablo11[#All],8,0)</f>
        <v/>
      </c>
      <c r="I11" s="580">
        <f>VLOOKUP($G$3,Tablo11[#All],9,0)</f>
        <v/>
      </c>
      <c r="J11" s="580">
        <f>VLOOKUP($G$3,Tablo11[#All],10,0)</f>
        <v/>
      </c>
      <c r="K11" s="580">
        <f>VLOOKUP($G$3,Tablo11[#All],11,0)</f>
        <v/>
      </c>
      <c r="L11" s="580">
        <f>VLOOKUP($G$3,Tablo11[#All],12,0)</f>
        <v/>
      </c>
      <c r="M11" s="580">
        <f>VLOOKUP($G$3,Tablo11[#All],13,0)</f>
        <v/>
      </c>
      <c r="N11" s="580">
        <f>VLOOKUP($G$3,Tablo11[#All],14,0)</f>
        <v/>
      </c>
    </row>
    <row r="12" s="510">
      <c r="A12" s="522" t="n"/>
      <c r="B12" s="522" t="n"/>
      <c r="C12" s="522" t="n"/>
      <c r="D12" s="522" t="n"/>
      <c r="E12" s="522" t="n"/>
      <c r="F12" s="522" t="n"/>
      <c r="G12" s="522" t="n"/>
      <c r="H12" s="522" t="n"/>
      <c r="I12" s="522" t="n"/>
      <c r="J12" s="522" t="n"/>
      <c r="K12" s="522" t="n"/>
      <c r="L12" s="522" t="n"/>
      <c r="M12" s="522" t="n"/>
    </row>
    <row r="13" s="510">
      <c r="A13" s="550">
        <f>"Seçilen Flanş için Üretim Standardının Kimyasal Kompozisyon Sınırları"</f>
        <v/>
      </c>
      <c r="B13" s="567" t="n"/>
      <c r="C13" s="567" t="n"/>
      <c r="D13" s="567" t="n"/>
      <c r="E13" s="567" t="n"/>
      <c r="F13" s="567" t="n"/>
      <c r="G13" s="567" t="n"/>
      <c r="H13" s="567" t="n"/>
      <c r="I13" s="567" t="n"/>
      <c r="J13" s="567" t="n"/>
      <c r="K13" s="567" t="n"/>
      <c r="L13" s="567" t="n"/>
      <c r="M13" s="567" t="n"/>
    </row>
    <row r="14" s="510">
      <c r="A14" s="522" t="inlineStr">
        <is>
          <t>Grade</t>
        </is>
      </c>
      <c r="B14" s="522" t="inlineStr">
        <is>
          <t>C%</t>
        </is>
      </c>
      <c r="C14" s="522" t="inlineStr">
        <is>
          <t>Mn%</t>
        </is>
      </c>
      <c r="D14" s="522" t="inlineStr">
        <is>
          <t>Si%</t>
        </is>
      </c>
      <c r="E14" s="522" t="inlineStr">
        <is>
          <t>S%</t>
        </is>
      </c>
      <c r="F14" s="522" t="inlineStr">
        <is>
          <t>P%</t>
        </is>
      </c>
      <c r="G14" s="522" t="inlineStr">
        <is>
          <t>Cr%</t>
        </is>
      </c>
      <c r="H14" s="522" t="inlineStr">
        <is>
          <t>Ni%</t>
        </is>
      </c>
      <c r="I14" s="522" t="inlineStr">
        <is>
          <t>Mo%</t>
        </is>
      </c>
      <c r="J14" s="522" t="inlineStr">
        <is>
          <t>V%</t>
        </is>
      </c>
      <c r="K14" s="522" t="inlineStr">
        <is>
          <t>Cu%</t>
        </is>
      </c>
      <c r="L14" s="522" t="inlineStr">
        <is>
          <t>Nb%</t>
        </is>
      </c>
      <c r="M14" s="522" t="inlineStr">
        <is>
          <t>N%</t>
        </is>
      </c>
      <c r="N14" s="522" t="inlineStr">
        <is>
          <t>Other</t>
        </is>
      </c>
    </row>
    <row r="15" s="510">
      <c r="A15" s="581">
        <f>H3</f>
        <v/>
      </c>
      <c r="B15" s="581">
        <f>VLOOKUP($H$3,$H$38:$U$49,2,0)</f>
        <v/>
      </c>
      <c r="C15" s="581">
        <f>VLOOKUP($H$3,$H$38:$U$49,3,0)</f>
        <v/>
      </c>
      <c r="D15" s="581">
        <f>VLOOKUP($H$3,$H$38:$U$49,4,0)</f>
        <v/>
      </c>
      <c r="E15" s="581">
        <f>VLOOKUP($H$3,$H$38:$U$49,5,0)</f>
        <v/>
      </c>
      <c r="F15" s="581">
        <f>VLOOKUP($H$3,$H$38:$U$49,6,0)</f>
        <v/>
      </c>
      <c r="G15" s="581">
        <f>VLOOKUP($H$3,$H$38:$U$49,7,0)</f>
        <v/>
      </c>
      <c r="H15" s="581">
        <f>VLOOKUP($H$3,$H$38:$U$49,8,0)</f>
        <v/>
      </c>
      <c r="I15" s="581">
        <f>VLOOKUP($H$3,$H$38:$U$49,9,0)</f>
        <v/>
      </c>
      <c r="J15" s="581">
        <f>VLOOKUP($H$3,$H$38:$U$49,10,0)</f>
        <v/>
      </c>
      <c r="K15" s="581">
        <f>VLOOKUP($H$3,$H$38:$U$49,11,0)</f>
        <v/>
      </c>
      <c r="L15" s="581">
        <f>VLOOKUP($H$3,$H$38:$U$49,12,0)</f>
        <v/>
      </c>
      <c r="M15" s="581">
        <f>VLOOKUP($H$3,$H$38:$U$49,13,0)</f>
        <v/>
      </c>
      <c r="N15" s="581">
        <f>VLOOKUP($H$3,$H$38:$U$49,14,0)</f>
        <v/>
      </c>
    </row>
    <row r="16" s="510">
      <c r="A16" s="551" t="n"/>
      <c r="B16" s="551" t="n"/>
      <c r="C16" s="551" t="n"/>
      <c r="D16" s="551" t="n"/>
      <c r="E16" s="551" t="n"/>
      <c r="F16" s="551" t="n"/>
      <c r="G16" s="551" t="n"/>
      <c r="H16" s="551" t="n"/>
      <c r="I16" s="551" t="n"/>
      <c r="J16" s="551" t="n"/>
      <c r="K16" s="551" t="n"/>
      <c r="L16" s="551" t="n"/>
      <c r="M16" s="551" t="n"/>
    </row>
    <row r="17" s="510">
      <c r="A17" s="550" t="inlineStr">
        <is>
          <t xml:space="preserve">Seçilen Flanş için Malzeme Standardı Mekanik Özellikler </t>
        </is>
      </c>
      <c r="B17" s="567" t="n"/>
      <c r="C17" s="567" t="n"/>
      <c r="D17" s="567" t="n"/>
      <c r="E17" s="567" t="n"/>
      <c r="F17" s="567" t="n"/>
      <c r="G17" s="567" t="n"/>
      <c r="H17" s="567" t="n"/>
      <c r="I17" s="567" t="n"/>
      <c r="J17" s="567" t="n"/>
      <c r="K17" s="567" t="n"/>
      <c r="L17" s="551" t="n"/>
      <c r="M17" s="551" t="n"/>
    </row>
    <row r="18" ht="21" customHeight="1" s="510">
      <c r="A18" s="558" t="inlineStr">
        <is>
          <t>Grade</t>
        </is>
      </c>
      <c r="B18" s="558" t="inlineStr">
        <is>
          <t>Yield Strength Min, psi</t>
        </is>
      </c>
      <c r="C18" s="558" t="inlineStr">
        <is>
          <t>Yield Strength Min, N/mm²</t>
        </is>
      </c>
      <c r="D18" s="558" t="inlineStr">
        <is>
          <t>Tensile Strength Min, psi</t>
        </is>
      </c>
      <c r="E18" s="558" t="inlineStr">
        <is>
          <t>Tensile Strength Min, N/mm²</t>
        </is>
      </c>
      <c r="F18" s="558" t="inlineStr">
        <is>
          <t>Elongation (%)</t>
        </is>
      </c>
      <c r="G18" s="558" t="inlineStr">
        <is>
          <t>Reduction of Area (%)</t>
        </is>
      </c>
      <c r="H18" s="558" t="inlineStr">
        <is>
          <t>Hardness, maximum</t>
        </is>
      </c>
      <c r="I18" s="558" t="inlineStr">
        <is>
          <t>CVN Avarage</t>
        </is>
      </c>
      <c r="J18" s="558" t="inlineStr">
        <is>
          <t>CVN Min</t>
        </is>
      </c>
      <c r="K18" s="558" t="inlineStr">
        <is>
          <t>CVN Temp C</t>
        </is>
      </c>
      <c r="L18" s="551" t="n"/>
      <c r="M18" s="551" t="n"/>
    </row>
    <row r="19" s="510">
      <c r="A19" s="582">
        <f>G3</f>
        <v/>
      </c>
      <c r="B19" s="582">
        <f>VLOOKUP($G$3,Tablo12[#All],2,0)</f>
        <v/>
      </c>
      <c r="C19" s="582">
        <f>VLOOKUP($G$3,Tablo12[#All],3,0)</f>
        <v/>
      </c>
      <c r="D19" s="582">
        <f>VLOOKUP($G$3,Tablo12[#All],4,0)</f>
        <v/>
      </c>
      <c r="E19" s="582">
        <f>VLOOKUP($G$3,Tablo12[#All],5,0)</f>
        <v/>
      </c>
      <c r="F19" s="582">
        <f>VLOOKUP($G$3,Tablo12[#All],6,0)</f>
        <v/>
      </c>
      <c r="G19" s="582">
        <f>VLOOKUP($G$3,Tablo12[#All],7,0)</f>
        <v/>
      </c>
      <c r="H19" s="582">
        <f>VLOOKUP($G$3,Tablo12[#All],8,0)</f>
        <v/>
      </c>
      <c r="I19" s="582">
        <f>VLOOKUP($G$3,Tablo12[#All],9,0)</f>
        <v/>
      </c>
      <c r="J19" s="582">
        <f>VLOOKUP($G$3,Tablo12[#All],10,0)</f>
        <v/>
      </c>
      <c r="K19" s="582">
        <f>VLOOKUP($G$3,Tablo12[#All],11,0)</f>
        <v/>
      </c>
      <c r="L19" s="551" t="n"/>
      <c r="M19" s="551" t="n"/>
    </row>
    <row r="20" s="510">
      <c r="L20" s="551" t="n"/>
      <c r="M20" s="551" t="n"/>
    </row>
    <row r="21" s="510">
      <c r="A21" s="550">
        <f>" Seçilen Flanş için Üretim Standardı Mekanik Özellikler "</f>
        <v/>
      </c>
      <c r="B21" s="567" t="n"/>
      <c r="C21" s="567" t="n"/>
      <c r="D21" s="567" t="n"/>
      <c r="E21" s="567" t="n"/>
      <c r="F21" s="567" t="n"/>
      <c r="G21" s="567" t="n"/>
      <c r="H21" s="567" t="n"/>
      <c r="L21" s="551" t="n"/>
      <c r="M21" s="551" t="n"/>
    </row>
    <row r="22" ht="21" customHeight="1" s="510">
      <c r="A22" s="558" t="inlineStr">
        <is>
          <t>Grade</t>
        </is>
      </c>
      <c r="B22" s="558" t="inlineStr">
        <is>
          <t>Yield Strength Min, psi</t>
        </is>
      </c>
      <c r="C22" s="558" t="inlineStr">
        <is>
          <t>Yield Strength Min, N/mm²</t>
        </is>
      </c>
      <c r="D22" s="558" t="inlineStr">
        <is>
          <t>Tensile Strength Min, psi</t>
        </is>
      </c>
      <c r="E22" s="558" t="inlineStr">
        <is>
          <t>Tensile Strength Min, N/mm²</t>
        </is>
      </c>
      <c r="F22" s="558" t="inlineStr">
        <is>
          <t>Elongation (%)</t>
        </is>
      </c>
      <c r="G22" s="558" t="inlineStr">
        <is>
          <t>Reduction of Area (%)</t>
        </is>
      </c>
      <c r="H22" s="558" t="inlineStr">
        <is>
          <t>Hardness, maximum HBW</t>
        </is>
      </c>
      <c r="I22" s="558" t="inlineStr">
        <is>
          <t>CVN Min avg.</t>
        </is>
      </c>
      <c r="J22" s="558" t="inlineStr">
        <is>
          <t xml:space="preserve">CVN Min </t>
        </is>
      </c>
      <c r="K22" s="558" t="inlineStr">
        <is>
          <t>CVN Temp. Celc.</t>
        </is>
      </c>
      <c r="L22" s="522" t="n"/>
      <c r="M22" s="522" t="n"/>
    </row>
    <row r="23">
      <c r="A23" s="583">
        <f>H3</f>
        <v/>
      </c>
      <c r="B23" s="583">
        <f>VLOOKUP($H$3,Tablo49[],2,0)</f>
        <v/>
      </c>
      <c r="C23" s="583">
        <f>VLOOKUP($H$3,Tablo49[],3,0)</f>
        <v/>
      </c>
      <c r="D23" s="583">
        <f>VLOOKUP($H$3,Tablo49[],4,0)</f>
        <v/>
      </c>
      <c r="E23" s="583">
        <f>VLOOKUP($H$3,Tablo49[],5,0)</f>
        <v/>
      </c>
      <c r="F23" s="583">
        <f>VLOOKUP($H$3,Tablo49[],6,0)</f>
        <v/>
      </c>
      <c r="G23" s="583">
        <f>VLOOKUP($H$3,Tablo49[],7,0)</f>
        <v/>
      </c>
      <c r="H23" s="583">
        <f>VLOOKUP($H$3,Tablo49[],8,0)</f>
        <v/>
      </c>
      <c r="I23" s="583">
        <f>VLOOKUP($H$3,Tablo49[],9,0)</f>
        <v/>
      </c>
      <c r="J23" s="583">
        <f>VLOOKUP($H$3,Tablo49[],10,0)</f>
        <v/>
      </c>
      <c r="K23" s="583">
        <f>VLOOKUP($H$3,Tablo49[],11,0)</f>
        <v/>
      </c>
      <c r="L23" s="567" t="n"/>
      <c r="M23" s="567" t="n"/>
    </row>
    <row r="24">
      <c r="I24" s="567" t="n"/>
      <c r="J24" s="567" t="n"/>
      <c r="K24" s="567" t="n"/>
      <c r="L24" s="567" t="n"/>
      <c r="M24" s="567" t="n"/>
    </row>
    <row r="25">
      <c r="A25" s="550" t="inlineStr">
        <is>
          <t>Seçilen Flanş için Malzeme Standardı Mekanik Özellikler Manuel</t>
        </is>
      </c>
      <c r="B25" s="567" t="n"/>
      <c r="C25" s="567" t="n"/>
      <c r="D25" s="567" t="n"/>
      <c r="E25" s="567" t="n"/>
      <c r="F25" s="567" t="n"/>
      <c r="G25" s="567" t="n"/>
      <c r="H25" s="567" t="n"/>
      <c r="I25" s="567" t="n"/>
      <c r="J25" s="567" t="n"/>
      <c r="K25" s="567" t="n"/>
      <c r="L25" s="567" t="n"/>
      <c r="M25" s="567" t="n"/>
    </row>
    <row r="26" ht="21" customHeight="1" s="510">
      <c r="A26" s="558" t="inlineStr">
        <is>
          <t>Yield Strength Min, psi</t>
        </is>
      </c>
      <c r="B26" s="558" t="inlineStr">
        <is>
          <t>Yield Strength Min, N/mm²</t>
        </is>
      </c>
      <c r="C26" s="558" t="inlineStr">
        <is>
          <t>Tensile Strength Min, psi</t>
        </is>
      </c>
      <c r="D26" s="558" t="inlineStr">
        <is>
          <t>Tensile Strength Min, N/mm²</t>
        </is>
      </c>
      <c r="E26" s="558" t="inlineStr">
        <is>
          <t>Elongation (%)</t>
        </is>
      </c>
      <c r="F26" s="558" t="inlineStr">
        <is>
          <t>Reduction of Area (%)</t>
        </is>
      </c>
      <c r="G26" s="558" t="inlineStr">
        <is>
          <t>Hardness, maximum</t>
        </is>
      </c>
      <c r="H26" s="558" t="inlineStr">
        <is>
          <t>CVN Avarage</t>
        </is>
      </c>
      <c r="I26" s="558" t="inlineStr">
        <is>
          <t>CVN Min</t>
        </is>
      </c>
      <c r="J26" s="558" t="inlineStr">
        <is>
          <t>CVN Temp C</t>
        </is>
      </c>
      <c r="K26" s="567" t="n"/>
      <c r="L26" s="567" t="n"/>
      <c r="M26" s="567" t="n"/>
    </row>
    <row r="27">
      <c r="A27" s="1079">
        <f>VLOOKUP($J$3,Tablo12[#All],2,0)</f>
        <v/>
      </c>
      <c r="B27" s="1079">
        <f>VLOOKUP($J$3,Tablo12[#All],3,0)</f>
        <v/>
      </c>
      <c r="C27" s="1079">
        <f>VLOOKUP($J$3,Tablo12[#All],4,0)</f>
        <v/>
      </c>
      <c r="D27" s="1079">
        <f>VLOOKUP($J$3,Tablo12[#All],5,0)</f>
        <v/>
      </c>
      <c r="E27" s="1079">
        <f>VLOOKUP($J$3,Tablo12[#All],6,0)</f>
        <v/>
      </c>
      <c r="F27" s="1079">
        <f>VLOOKUP($J$3,Tablo12[#All],7,0)</f>
        <v/>
      </c>
      <c r="G27" s="1079">
        <f>VLOOKUP($J$3,Tablo12[#All],8,0)</f>
        <v/>
      </c>
      <c r="H27" s="1079">
        <f>VLOOKUP($J$3,Tablo12[#All],9,0)</f>
        <v/>
      </c>
      <c r="I27" s="1079">
        <f>VLOOKUP($J$3,Tablo12[#All],10,0)</f>
        <v/>
      </c>
      <c r="J27" s="1079">
        <f>VLOOKUP($J$3,Tablo12[#All],11,0)</f>
        <v/>
      </c>
    </row>
    <row r="29">
      <c r="A29" s="550">
        <f>" Seçilen Flanş için Üretim Standardı Mekanik Özellikler Manuel"</f>
        <v/>
      </c>
      <c r="B29" s="567" t="n"/>
      <c r="C29" s="567" t="n"/>
      <c r="D29" s="567" t="n"/>
      <c r="E29" s="567" t="n"/>
      <c r="F29" s="567" t="n"/>
      <c r="G29" s="567" t="n"/>
      <c r="H29" s="567" t="n"/>
    </row>
    <row r="30" ht="21" customHeight="1" s="510">
      <c r="A30" s="558" t="inlineStr">
        <is>
          <t>Grade</t>
        </is>
      </c>
      <c r="B30" s="558" t="inlineStr">
        <is>
          <t>Yield Strength Min, psi</t>
        </is>
      </c>
      <c r="C30" s="558" t="inlineStr">
        <is>
          <t>Yield Strength Min, N/mm²</t>
        </is>
      </c>
      <c r="D30" s="558" t="inlineStr">
        <is>
          <t>Tensile Strength Min, psi</t>
        </is>
      </c>
      <c r="E30" s="558" t="inlineStr">
        <is>
          <t>Tensile Strength Min, N/mm²</t>
        </is>
      </c>
      <c r="F30" s="558" t="inlineStr">
        <is>
          <t>Elongation (%)</t>
        </is>
      </c>
      <c r="G30" s="558" t="inlineStr">
        <is>
          <t>Reduction of Area (%)</t>
        </is>
      </c>
      <c r="H30" s="558" t="inlineStr">
        <is>
          <t>Hardness, maximum HBW</t>
        </is>
      </c>
      <c r="I30" s="558" t="inlineStr">
        <is>
          <t>CVN Min avg.</t>
        </is>
      </c>
      <c r="J30" s="558" t="inlineStr">
        <is>
          <t xml:space="preserve">CVN Min </t>
        </is>
      </c>
      <c r="K30" s="558" t="inlineStr">
        <is>
          <t>CVN Temp. Celc.</t>
        </is>
      </c>
    </row>
    <row r="31">
      <c r="A31" s="1079">
        <f>K3</f>
        <v/>
      </c>
      <c r="B31" s="1079">
        <f>VLOOKUP($K$3,Tablo49[],2,0)</f>
        <v/>
      </c>
      <c r="C31" s="1079">
        <f>VLOOKUP($K$3,Tablo49[],3,0)</f>
        <v/>
      </c>
      <c r="D31" s="1079">
        <f>VLOOKUP($K$3,Tablo49[],4,0)</f>
        <v/>
      </c>
      <c r="E31" s="1079">
        <f>VLOOKUP($K$3,Tablo49[],5,0)</f>
        <v/>
      </c>
      <c r="F31" s="1079">
        <f>VLOOKUP($K$3,Tablo49[],6,0)</f>
        <v/>
      </c>
      <c r="G31" s="1079">
        <f>VLOOKUP($K$3,Tablo49[],7,0)</f>
        <v/>
      </c>
      <c r="H31" s="1079">
        <f>VLOOKUP($K$3,Tablo49[],8,0)</f>
        <v/>
      </c>
      <c r="I31" s="1079">
        <f>VLOOKUP($K$3,Tablo49[],9,0)</f>
        <v/>
      </c>
      <c r="J31" s="1079">
        <f>VLOOKUP($K$3,Tablo49[],10,0)</f>
        <v/>
      </c>
      <c r="K31" s="1079">
        <f>VLOOKUP($K$3,Tablo49[],11,0)</f>
        <v/>
      </c>
    </row>
    <row r="32" s="510">
      <c r="A32" s="1079" t="n"/>
      <c r="B32" s="1079" t="n"/>
      <c r="C32" s="1079" t="n"/>
      <c r="D32" s="1079" t="n"/>
      <c r="E32" s="1079" t="n"/>
      <c r="F32" s="1079" t="n"/>
      <c r="G32" s="1079" t="n"/>
      <c r="H32" s="1079" t="n"/>
      <c r="I32" s="1079" t="n"/>
      <c r="J32" s="1079" t="n"/>
      <c r="K32" s="1079" t="n"/>
    </row>
    <row r="33" s="510">
      <c r="A33" s="1079" t="n"/>
      <c r="B33" s="1079" t="n"/>
      <c r="C33" s="1079" t="n"/>
      <c r="D33" s="1079" t="n"/>
      <c r="E33" s="1079" t="n"/>
      <c r="F33" s="1079" t="n"/>
      <c r="G33" s="1079" t="n"/>
      <c r="H33" s="1079" t="n"/>
      <c r="I33" s="1079" t="n"/>
      <c r="J33" s="1079" t="n"/>
      <c r="K33" s="1079" t="n"/>
    </row>
    <row r="36" ht="27.75" customHeight="1" s="510">
      <c r="A36" s="564" t="inlineStr">
        <is>
          <t>Üretim Standardı</t>
        </is>
      </c>
      <c r="B36" s="736" t="inlineStr">
        <is>
          <t>Malzeme Standardı</t>
        </is>
      </c>
      <c r="C36" s="564" t="inlineStr">
        <is>
          <t>Class Asme B16.5</t>
        </is>
      </c>
      <c r="D36" s="736" t="inlineStr">
        <is>
          <t>Design Temp Asme B16.5</t>
        </is>
      </c>
      <c r="E36" s="564" t="inlineStr">
        <is>
          <t>Class MSS SP-44</t>
        </is>
      </c>
      <c r="F36" s="736" t="inlineStr">
        <is>
          <t>Design Temp MSS SP-44</t>
        </is>
      </c>
    </row>
    <row r="37" ht="14.1" customHeight="1" s="510" thickBot="1">
      <c r="A37" s="514" t="inlineStr">
        <is>
          <t>MSS SP-44 F36</t>
        </is>
      </c>
      <c r="B37" s="514" t="inlineStr">
        <is>
          <t>ASTM A694</t>
        </is>
      </c>
      <c r="C37" s="514" t="n">
        <v>150</v>
      </c>
      <c r="D37" s="514" t="inlineStr">
        <is>
          <t>-29 to 38</t>
        </is>
      </c>
      <c r="E37" s="514" t="n">
        <v>150</v>
      </c>
      <c r="F37" s="514" t="inlineStr">
        <is>
          <t>-29 to121</t>
        </is>
      </c>
      <c r="H37" t="inlineStr">
        <is>
          <t>MSS Sp-44 Kimyasal Kompozisyon</t>
        </is>
      </c>
    </row>
    <row r="38" ht="14.1" customHeight="1" s="510" thickBot="1">
      <c r="A38" s="514" t="inlineStr">
        <is>
          <t>MSS SP-44 F42</t>
        </is>
      </c>
      <c r="B38" s="514" t="inlineStr">
        <is>
          <t>ASTM A105</t>
        </is>
      </c>
      <c r="C38" s="514" t="n">
        <v>300</v>
      </c>
      <c r="D38" s="514" t="inlineStr">
        <is>
          <t>50</t>
        </is>
      </c>
      <c r="E38" s="514" t="n">
        <v>300</v>
      </c>
      <c r="F38" s="514" t="n">
        <v>150</v>
      </c>
      <c r="H38" s="572" t="inlineStr">
        <is>
          <t>Grade</t>
        </is>
      </c>
      <c r="I38" t="inlineStr">
        <is>
          <t>C%</t>
        </is>
      </c>
      <c r="J38" t="inlineStr">
        <is>
          <t>Mn%</t>
        </is>
      </c>
      <c r="K38" t="inlineStr">
        <is>
          <t>Si%</t>
        </is>
      </c>
      <c r="L38" t="inlineStr">
        <is>
          <t>S%</t>
        </is>
      </c>
      <c r="M38" t="inlineStr">
        <is>
          <t>P%</t>
        </is>
      </c>
      <c r="N38" t="inlineStr">
        <is>
          <t>Cr%</t>
        </is>
      </c>
      <c r="O38" t="inlineStr">
        <is>
          <t>Ni%</t>
        </is>
      </c>
      <c r="P38" t="inlineStr">
        <is>
          <t>Mo%</t>
        </is>
      </c>
      <c r="Q38" t="inlineStr">
        <is>
          <t>V%</t>
        </is>
      </c>
      <c r="R38" t="inlineStr">
        <is>
          <t>Cu%</t>
        </is>
      </c>
      <c r="S38" t="inlineStr">
        <is>
          <t>Nb%</t>
        </is>
      </c>
      <c r="T38" t="inlineStr">
        <is>
          <t>N%</t>
        </is>
      </c>
      <c r="U38" t="inlineStr">
        <is>
          <t>Other</t>
        </is>
      </c>
    </row>
    <row r="39" ht="14.1" customHeight="1" s="510">
      <c r="A39" s="514" t="inlineStr">
        <is>
          <t>MSS SP-44 F46</t>
        </is>
      </c>
      <c r="B39" s="514" t="inlineStr">
        <is>
          <t>ASTM A350</t>
        </is>
      </c>
      <c r="C39" s="514" t="n">
        <v>400</v>
      </c>
      <c r="D39" s="514" t="n">
        <v>100</v>
      </c>
      <c r="E39" s="514" t="n">
        <v>400</v>
      </c>
      <c r="F39" s="514" t="n">
        <v>175</v>
      </c>
      <c r="H39" s="584" t="inlineStr">
        <is>
          <t>MSS SP-44 F36</t>
        </is>
      </c>
      <c r="I39" s="512" t="inlineStr">
        <is>
          <t>0.30</t>
        </is>
      </c>
      <c r="J39" s="512" t="inlineStr">
        <is>
          <t>0.60/1.60</t>
        </is>
      </c>
      <c r="K39" s="512" t="inlineStr">
        <is>
          <t>0.15/0.35</t>
        </is>
      </c>
      <c r="L39" s="512" t="inlineStr">
        <is>
          <t>0.025</t>
        </is>
      </c>
      <c r="M39" s="512" t="inlineStr">
        <is>
          <t>0.025</t>
        </is>
      </c>
      <c r="N39" s="512" t="inlineStr">
        <is>
          <t>0.30</t>
        </is>
      </c>
      <c r="O39" s="512" t="inlineStr">
        <is>
          <t>0.40</t>
        </is>
      </c>
      <c r="P39" s="512" t="inlineStr">
        <is>
          <t>0.12</t>
        </is>
      </c>
      <c r="Q39" s="512" t="inlineStr">
        <is>
          <t>0.11</t>
        </is>
      </c>
      <c r="R39" s="512" t="inlineStr">
        <is>
          <t>0.40</t>
        </is>
      </c>
      <c r="S39" s="512" t="inlineStr">
        <is>
          <t>0.05</t>
        </is>
      </c>
      <c r="T39" s="512" t="n"/>
      <c r="U39" s="512" t="inlineStr">
        <is>
          <t>Cu+Ni+Cr+Mo&lt;1.00</t>
        </is>
      </c>
    </row>
    <row r="40" ht="14.1" customHeight="1" s="510">
      <c r="A40" s="514" t="inlineStr">
        <is>
          <t>MSS SP-44 F48</t>
        </is>
      </c>
      <c r="B40" s="514" t="inlineStr">
        <is>
          <t>ASTM A707</t>
        </is>
      </c>
      <c r="C40" s="514" t="n">
        <v>600</v>
      </c>
      <c r="D40" s="514" t="n">
        <v>150</v>
      </c>
      <c r="E40" s="514" t="n">
        <v>600</v>
      </c>
      <c r="F40" s="514" t="n">
        <v>200</v>
      </c>
      <c r="H40" s="585" t="inlineStr">
        <is>
          <t>MSS SP-44 F42</t>
        </is>
      </c>
      <c r="I40" s="512" t="inlineStr">
        <is>
          <t>0.30</t>
        </is>
      </c>
      <c r="J40" s="512" t="inlineStr">
        <is>
          <t>0.60/1.60</t>
        </is>
      </c>
      <c r="K40" s="512" t="inlineStr">
        <is>
          <t>0.15/0.35</t>
        </is>
      </c>
      <c r="L40" s="512" t="inlineStr">
        <is>
          <t>0.025</t>
        </is>
      </c>
      <c r="M40" s="512" t="inlineStr">
        <is>
          <t>0.025</t>
        </is>
      </c>
      <c r="N40" s="512" t="inlineStr">
        <is>
          <t>0.30</t>
        </is>
      </c>
      <c r="O40" s="512" t="inlineStr">
        <is>
          <t>0.40</t>
        </is>
      </c>
      <c r="P40" s="512" t="inlineStr">
        <is>
          <t>0.12</t>
        </is>
      </c>
      <c r="Q40" s="512" t="inlineStr">
        <is>
          <t>0.11</t>
        </is>
      </c>
      <c r="R40" s="512" t="inlineStr">
        <is>
          <t>0.40</t>
        </is>
      </c>
      <c r="S40" s="512" t="inlineStr">
        <is>
          <t>0.05</t>
        </is>
      </c>
      <c r="T40" s="512" t="n"/>
      <c r="U40" s="512" t="inlineStr">
        <is>
          <t>Cu+Ni+Cr+Mo&lt;1.00</t>
        </is>
      </c>
    </row>
    <row r="41" ht="14.1" customHeight="1" s="510">
      <c r="A41" s="514" t="inlineStr">
        <is>
          <t>MSS SP-44 F50</t>
        </is>
      </c>
      <c r="B41" s="514" t="n"/>
      <c r="C41" s="514" t="n">
        <v>900</v>
      </c>
      <c r="D41" s="514" t="n">
        <v>200</v>
      </c>
      <c r="E41" s="514" t="n">
        <v>900</v>
      </c>
      <c r="F41" s="514" t="n">
        <v>225</v>
      </c>
      <c r="H41" s="584" t="inlineStr">
        <is>
          <t>MSS SP-44 F46</t>
        </is>
      </c>
      <c r="I41" s="512" t="inlineStr">
        <is>
          <t>0.30</t>
        </is>
      </c>
      <c r="J41" s="512" t="inlineStr">
        <is>
          <t>0.60/1.60</t>
        </is>
      </c>
      <c r="K41" s="512" t="inlineStr">
        <is>
          <t>0.15/0.35</t>
        </is>
      </c>
      <c r="L41" s="512" t="inlineStr">
        <is>
          <t>0.025</t>
        </is>
      </c>
      <c r="M41" s="512" t="inlineStr">
        <is>
          <t>0.025</t>
        </is>
      </c>
      <c r="N41" s="512" t="inlineStr">
        <is>
          <t>0.30</t>
        </is>
      </c>
      <c r="O41" s="512" t="inlineStr">
        <is>
          <t>0.40</t>
        </is>
      </c>
      <c r="P41" s="512" t="inlineStr">
        <is>
          <t>0.12</t>
        </is>
      </c>
      <c r="Q41" s="512" t="inlineStr">
        <is>
          <t>0.11</t>
        </is>
      </c>
      <c r="R41" s="512" t="inlineStr">
        <is>
          <t>0.40</t>
        </is>
      </c>
      <c r="S41" s="512" t="inlineStr">
        <is>
          <t>0.05</t>
        </is>
      </c>
      <c r="T41" s="512" t="n"/>
      <c r="U41" s="512" t="inlineStr">
        <is>
          <t>Cu+Ni+Cr+Mo&lt;1.00</t>
        </is>
      </c>
    </row>
    <row r="42" ht="14.1" customHeight="1" s="510">
      <c r="A42" s="514" t="inlineStr">
        <is>
          <t>MSS SP-44 F52</t>
        </is>
      </c>
      <c r="B42" s="514" t="n"/>
      <c r="C42" s="514" t="n">
        <v>1500</v>
      </c>
      <c r="D42" s="514" t="n">
        <v>250</v>
      </c>
      <c r="E42" s="514" t="n"/>
      <c r="F42" s="514" t="n">
        <v>232</v>
      </c>
      <c r="H42" s="585" t="inlineStr">
        <is>
          <t>MSS SP-44 F48</t>
        </is>
      </c>
      <c r="I42" s="512" t="inlineStr">
        <is>
          <t>0.30</t>
        </is>
      </c>
      <c r="J42" s="512" t="inlineStr">
        <is>
          <t>0.60/1.60</t>
        </is>
      </c>
      <c r="K42" s="512" t="inlineStr">
        <is>
          <t>0.15/0.35</t>
        </is>
      </c>
      <c r="L42" s="512" t="inlineStr">
        <is>
          <t>0.025</t>
        </is>
      </c>
      <c r="M42" s="512" t="inlineStr">
        <is>
          <t>0.025</t>
        </is>
      </c>
      <c r="N42" s="512" t="inlineStr">
        <is>
          <t>0.30</t>
        </is>
      </c>
      <c r="O42" s="512" t="inlineStr">
        <is>
          <t>0.40</t>
        </is>
      </c>
      <c r="P42" s="512" t="inlineStr">
        <is>
          <t>0.12</t>
        </is>
      </c>
      <c r="Q42" s="512" t="inlineStr">
        <is>
          <t>0.11</t>
        </is>
      </c>
      <c r="R42" s="512" t="inlineStr">
        <is>
          <t>0.40</t>
        </is>
      </c>
      <c r="S42" s="512" t="inlineStr">
        <is>
          <t>0.05</t>
        </is>
      </c>
      <c r="T42" s="512" t="n"/>
      <c r="U42" s="512" t="inlineStr">
        <is>
          <t>Cu+Ni+Cr+Mo&lt;1.00</t>
        </is>
      </c>
    </row>
    <row r="43" ht="14.1" customHeight="1" s="510">
      <c r="A43" s="514" t="inlineStr">
        <is>
          <t>MSS SP-44 F56</t>
        </is>
      </c>
      <c r="B43" s="514" t="n"/>
      <c r="C43" s="514" t="n">
        <v>2500</v>
      </c>
      <c r="D43" s="514" t="n">
        <v>300</v>
      </c>
      <c r="E43" s="514" t="n"/>
      <c r="F43" s="514" t="n"/>
      <c r="H43" s="584" t="inlineStr">
        <is>
          <t>MSS SP-44 F50</t>
        </is>
      </c>
      <c r="I43" s="512" t="inlineStr">
        <is>
          <t>0.30</t>
        </is>
      </c>
      <c r="J43" s="512" t="inlineStr">
        <is>
          <t>0.60/1.60</t>
        </is>
      </c>
      <c r="K43" s="512" t="inlineStr">
        <is>
          <t>0.15/0.35</t>
        </is>
      </c>
      <c r="L43" s="512" t="inlineStr">
        <is>
          <t>0.025</t>
        </is>
      </c>
      <c r="M43" s="512" t="inlineStr">
        <is>
          <t>0.025</t>
        </is>
      </c>
      <c r="N43" s="512" t="inlineStr">
        <is>
          <t>0.30</t>
        </is>
      </c>
      <c r="O43" s="512" t="inlineStr">
        <is>
          <t>0.40</t>
        </is>
      </c>
      <c r="P43" s="512" t="inlineStr">
        <is>
          <t>0.12</t>
        </is>
      </c>
      <c r="Q43" s="512" t="inlineStr">
        <is>
          <t>0.11</t>
        </is>
      </c>
      <c r="R43" s="512" t="inlineStr">
        <is>
          <t>0.40</t>
        </is>
      </c>
      <c r="S43" s="512" t="inlineStr">
        <is>
          <t>0.05</t>
        </is>
      </c>
      <c r="T43" s="512" t="n"/>
      <c r="U43" s="512" t="inlineStr">
        <is>
          <t>Cu+Ni+Cr+Mo&lt;1.00</t>
        </is>
      </c>
    </row>
    <row r="44" ht="14.1" customHeight="1" s="510">
      <c r="A44" s="514" t="inlineStr">
        <is>
          <t>MSS SP-44 F60</t>
        </is>
      </c>
      <c r="B44" s="514" t="n"/>
      <c r="C44" s="514" t="n"/>
      <c r="D44" s="514" t="n">
        <v>325</v>
      </c>
      <c r="E44" s="514" t="n"/>
      <c r="F44" s="514" t="n"/>
      <c r="H44" s="585" t="inlineStr">
        <is>
          <t>MSS SP-44 F52</t>
        </is>
      </c>
      <c r="I44" s="512" t="inlineStr">
        <is>
          <t>0.30</t>
        </is>
      </c>
      <c r="J44" s="512" t="inlineStr">
        <is>
          <t>0.60/1.60</t>
        </is>
      </c>
      <c r="K44" s="512" t="inlineStr">
        <is>
          <t>0.15/0.35</t>
        </is>
      </c>
      <c r="L44" s="512" t="inlineStr">
        <is>
          <t>0.025</t>
        </is>
      </c>
      <c r="M44" s="512" t="inlineStr">
        <is>
          <t>0.025</t>
        </is>
      </c>
      <c r="N44" s="512" t="inlineStr">
        <is>
          <t>0.30</t>
        </is>
      </c>
      <c r="O44" s="512" t="inlineStr">
        <is>
          <t>0.40</t>
        </is>
      </c>
      <c r="P44" s="512" t="inlineStr">
        <is>
          <t>0.12</t>
        </is>
      </c>
      <c r="Q44" s="512" t="inlineStr">
        <is>
          <t>0.11</t>
        </is>
      </c>
      <c r="R44" s="512" t="inlineStr">
        <is>
          <t>0.40</t>
        </is>
      </c>
      <c r="S44" s="512" t="inlineStr">
        <is>
          <t>0.05</t>
        </is>
      </c>
      <c r="T44" s="512" t="n"/>
      <c r="U44" s="512" t="inlineStr">
        <is>
          <t>Cu+Ni+Cr+Mo&lt;1.00</t>
        </is>
      </c>
      <c r="AE44" t="inlineStr">
        <is>
          <t>ASME B16.5 ve ASME B16.47</t>
        </is>
      </c>
    </row>
    <row r="45" ht="14.1" customHeight="1" s="510" thickBot="1">
      <c r="A45" s="514" t="inlineStr">
        <is>
          <t>MSS SP-44 F65</t>
        </is>
      </c>
      <c r="B45" s="514" t="n"/>
      <c r="C45" s="514" t="n"/>
      <c r="D45" s="514" t="n">
        <v>350</v>
      </c>
      <c r="E45" s="514" t="n"/>
      <c r="F45" s="514" t="n"/>
      <c r="H45" s="584" t="inlineStr">
        <is>
          <t>MSS SP-44 F56</t>
        </is>
      </c>
      <c r="I45" s="512" t="inlineStr">
        <is>
          <t>0.30</t>
        </is>
      </c>
      <c r="J45" s="512" t="inlineStr">
        <is>
          <t>0.60/1.60</t>
        </is>
      </c>
      <c r="K45" s="512" t="inlineStr">
        <is>
          <t>0.15/0.35</t>
        </is>
      </c>
      <c r="L45" s="512" t="inlineStr">
        <is>
          <t>0.025</t>
        </is>
      </c>
      <c r="M45" s="512" t="inlineStr">
        <is>
          <t>0.025</t>
        </is>
      </c>
      <c r="N45" s="512" t="inlineStr">
        <is>
          <t>0.30</t>
        </is>
      </c>
      <c r="O45" s="512" t="inlineStr">
        <is>
          <t>0.40</t>
        </is>
      </c>
      <c r="P45" s="512" t="inlineStr">
        <is>
          <t>0.12</t>
        </is>
      </c>
      <c r="Q45" s="512" t="inlineStr">
        <is>
          <t>0.11</t>
        </is>
      </c>
      <c r="R45" s="512" t="inlineStr">
        <is>
          <t>0.40</t>
        </is>
      </c>
      <c r="S45" s="512" t="inlineStr">
        <is>
          <t>0.05</t>
        </is>
      </c>
      <c r="T45" s="512" t="n"/>
      <c r="U45" s="512" t="inlineStr">
        <is>
          <t>Cu+Ni+Cr+Mo&lt;1.00</t>
        </is>
      </c>
      <c r="AE45" s="500" t="inlineStr">
        <is>
          <t>C%</t>
        </is>
      </c>
      <c r="AF45" s="501" t="inlineStr">
        <is>
          <t>Mn%</t>
        </is>
      </c>
      <c r="AG45" s="501" t="inlineStr">
        <is>
          <t>Si%</t>
        </is>
      </c>
      <c r="AH45" s="501" t="inlineStr">
        <is>
          <t>S%</t>
        </is>
      </c>
      <c r="AI45" s="501" t="inlineStr">
        <is>
          <t>P%</t>
        </is>
      </c>
      <c r="AJ45" s="501" t="inlineStr">
        <is>
          <t>Cr%</t>
        </is>
      </c>
      <c r="AK45" s="501" t="inlineStr">
        <is>
          <t>Ni%</t>
        </is>
      </c>
      <c r="AL45" s="501" t="inlineStr">
        <is>
          <t>Mo%</t>
        </is>
      </c>
      <c r="AM45" s="501" t="inlineStr">
        <is>
          <t>V%</t>
        </is>
      </c>
      <c r="AN45" s="501" t="inlineStr">
        <is>
          <t>Cu%</t>
        </is>
      </c>
      <c r="AO45" s="501" t="inlineStr">
        <is>
          <t>Nb%</t>
        </is>
      </c>
      <c r="AP45" s="501" t="inlineStr">
        <is>
          <t>N%</t>
        </is>
      </c>
      <c r="AQ45" s="502" t="inlineStr">
        <is>
          <t>Other</t>
        </is>
      </c>
    </row>
    <row r="46" ht="14.1" customHeight="1" s="510" thickTop="1">
      <c r="A46" s="514" t="inlineStr">
        <is>
          <t>MSS SP-44 F70</t>
        </is>
      </c>
      <c r="B46" s="514" t="n"/>
      <c r="C46" s="514" t="n"/>
      <c r="D46" s="514" t="n">
        <v>375</v>
      </c>
      <c r="E46" s="514" t="n"/>
      <c r="F46" s="514" t="n"/>
      <c r="H46" s="585" t="inlineStr">
        <is>
          <t>MSS SP-44 F60</t>
        </is>
      </c>
      <c r="I46" s="512" t="inlineStr">
        <is>
          <t>0.30</t>
        </is>
      </c>
      <c r="J46" s="512" t="inlineStr">
        <is>
          <t>0.60/1.60</t>
        </is>
      </c>
      <c r="K46" s="512" t="inlineStr">
        <is>
          <t>0.15/0.35</t>
        </is>
      </c>
      <c r="L46" s="512" t="inlineStr">
        <is>
          <t>0.025</t>
        </is>
      </c>
      <c r="M46" s="512" t="inlineStr">
        <is>
          <t>0.025</t>
        </is>
      </c>
      <c r="N46" s="512" t="inlineStr">
        <is>
          <t>0.30</t>
        </is>
      </c>
      <c r="O46" s="512" t="inlineStr">
        <is>
          <t>0.40</t>
        </is>
      </c>
      <c r="P46" s="512" t="inlineStr">
        <is>
          <t>0.12</t>
        </is>
      </c>
      <c r="Q46" s="512" t="inlineStr">
        <is>
          <t>0.11</t>
        </is>
      </c>
      <c r="R46" s="512" t="inlineStr">
        <is>
          <t>0.40</t>
        </is>
      </c>
      <c r="S46" s="512" t="inlineStr">
        <is>
          <t>0.05</t>
        </is>
      </c>
      <c r="T46" s="512" t="n"/>
      <c r="U46" s="512" t="inlineStr">
        <is>
          <t>Cu+Ni+Cr+Mo&lt;1.00</t>
        </is>
      </c>
      <c r="AE46" s="512" t="inlineStr">
        <is>
          <t>Standartta Yok</t>
        </is>
      </c>
      <c r="AF46" s="512" t="inlineStr">
        <is>
          <t>Standartta Yok</t>
        </is>
      </c>
      <c r="AG46" s="512" t="inlineStr">
        <is>
          <t>Standartta Yok</t>
        </is>
      </c>
      <c r="AH46" s="512" t="inlineStr">
        <is>
          <t>Standartta Yok</t>
        </is>
      </c>
      <c r="AI46" s="512" t="inlineStr">
        <is>
          <t>Standartta Yok</t>
        </is>
      </c>
      <c r="AJ46" s="512" t="inlineStr">
        <is>
          <t>Standartta Yok</t>
        </is>
      </c>
      <c r="AK46" s="512" t="inlineStr">
        <is>
          <t>Standartta Yok</t>
        </is>
      </c>
      <c r="AL46" s="512" t="inlineStr">
        <is>
          <t>Standartta Yok</t>
        </is>
      </c>
      <c r="AM46" s="512" t="inlineStr">
        <is>
          <t>Standartta Yok</t>
        </is>
      </c>
      <c r="AN46" s="512" t="inlineStr">
        <is>
          <t>Standartta Yok</t>
        </is>
      </c>
      <c r="AO46" s="512" t="inlineStr">
        <is>
          <t>Standartta Yok</t>
        </is>
      </c>
      <c r="AP46" s="512" t="inlineStr">
        <is>
          <t>Standartta Yok</t>
        </is>
      </c>
      <c r="AQ46" s="512" t="inlineStr">
        <is>
          <t>Standartta Yok</t>
        </is>
      </c>
    </row>
    <row r="47" ht="14.1" customHeight="1" s="510">
      <c r="A47" s="514" t="inlineStr">
        <is>
          <t>MSS SP-44 F80</t>
        </is>
      </c>
      <c r="B47" s="514" t="n"/>
      <c r="C47" s="514" t="n"/>
      <c r="D47" s="514" t="n">
        <v>400</v>
      </c>
      <c r="E47" s="514" t="n"/>
      <c r="F47" s="514" t="n"/>
      <c r="H47" s="584" t="inlineStr">
        <is>
          <t>MSS SP-44 F65</t>
        </is>
      </c>
      <c r="I47" s="512" t="inlineStr">
        <is>
          <t>0.30</t>
        </is>
      </c>
      <c r="J47" s="512" t="inlineStr">
        <is>
          <t>0.60/1.60</t>
        </is>
      </c>
      <c r="K47" s="512" t="inlineStr">
        <is>
          <t>0.15/0.35</t>
        </is>
      </c>
      <c r="L47" s="512" t="inlineStr">
        <is>
          <t>0.025</t>
        </is>
      </c>
      <c r="M47" s="512" t="inlineStr">
        <is>
          <t>0.025</t>
        </is>
      </c>
      <c r="N47" s="512" t="inlineStr">
        <is>
          <t>0.30</t>
        </is>
      </c>
      <c r="O47" s="512" t="inlineStr">
        <is>
          <t>0.40</t>
        </is>
      </c>
      <c r="P47" s="512" t="inlineStr">
        <is>
          <t>0.12</t>
        </is>
      </c>
      <c r="Q47" s="512" t="inlineStr">
        <is>
          <t>0.11</t>
        </is>
      </c>
      <c r="R47" s="512" t="inlineStr">
        <is>
          <t>0.40</t>
        </is>
      </c>
      <c r="S47" s="512" t="inlineStr">
        <is>
          <t>0.05</t>
        </is>
      </c>
      <c r="T47" s="512" t="n"/>
      <c r="U47" s="512" t="inlineStr">
        <is>
          <t>Cu+Ni+Cr+Mo&lt;1.00</t>
        </is>
      </c>
    </row>
    <row r="48" ht="14.1" customHeight="1" s="510" thickBot="1">
      <c r="A48" s="514" t="inlineStr">
        <is>
          <t>ASME B16.5</t>
        </is>
      </c>
      <c r="B48" s="514" t="n"/>
      <c r="C48" s="514" t="n"/>
      <c r="D48" s="514" t="n">
        <v>425</v>
      </c>
      <c r="E48" s="514" t="n"/>
      <c r="F48" s="514" t="n"/>
      <c r="H48" s="585" t="inlineStr">
        <is>
          <t>MSS SP-44 F70</t>
        </is>
      </c>
      <c r="I48" s="512" t="inlineStr">
        <is>
          <t>0.30</t>
        </is>
      </c>
      <c r="J48" s="512" t="inlineStr">
        <is>
          <t>0.60/1.60</t>
        </is>
      </c>
      <c r="K48" s="512" t="inlineStr">
        <is>
          <t>0.15/0.35</t>
        </is>
      </c>
      <c r="L48" s="512" t="inlineStr">
        <is>
          <t>0.025</t>
        </is>
      </c>
      <c r="M48" s="512" t="inlineStr">
        <is>
          <t>0.025</t>
        </is>
      </c>
      <c r="N48" s="512" t="inlineStr">
        <is>
          <t>0.30</t>
        </is>
      </c>
      <c r="O48" s="512" t="inlineStr">
        <is>
          <t>0.40</t>
        </is>
      </c>
      <c r="P48" s="512" t="inlineStr">
        <is>
          <t>0.12</t>
        </is>
      </c>
      <c r="Q48" s="512" t="inlineStr">
        <is>
          <t>0.11</t>
        </is>
      </c>
      <c r="R48" s="512" t="inlineStr">
        <is>
          <t>0.40</t>
        </is>
      </c>
      <c r="S48" s="512" t="inlineStr">
        <is>
          <t>0.05</t>
        </is>
      </c>
      <c r="T48" s="512" t="n"/>
      <c r="U48" s="512" t="inlineStr">
        <is>
          <t>Cu+Ni+Cr+Mo&lt;1.00</t>
        </is>
      </c>
    </row>
    <row r="49" ht="14.1" customHeight="1" s="510" thickBot="1">
      <c r="A49" s="514" t="inlineStr">
        <is>
          <t>ASME B16.47</t>
        </is>
      </c>
      <c r="B49" s="514" t="n"/>
      <c r="C49" s="514" t="n"/>
      <c r="D49" s="514" t="n">
        <v>450</v>
      </c>
      <c r="E49" s="514" t="n"/>
      <c r="F49" s="514" t="n"/>
      <c r="H49" s="586" t="inlineStr">
        <is>
          <t>MSS SP-44 F80</t>
        </is>
      </c>
      <c r="I49" s="512" t="inlineStr">
        <is>
          <t>0.30</t>
        </is>
      </c>
      <c r="J49" s="512" t="inlineStr">
        <is>
          <t>0.60/1.60</t>
        </is>
      </c>
      <c r="K49" s="512" t="inlineStr">
        <is>
          <t>0.15/0.35</t>
        </is>
      </c>
      <c r="L49" s="512" t="inlineStr">
        <is>
          <t>0.025</t>
        </is>
      </c>
      <c r="M49" s="512" t="inlineStr">
        <is>
          <t>0.025</t>
        </is>
      </c>
      <c r="N49" s="512" t="inlineStr">
        <is>
          <t>0.30</t>
        </is>
      </c>
      <c r="O49" s="512" t="inlineStr">
        <is>
          <t>0.40</t>
        </is>
      </c>
      <c r="P49" s="512" t="inlineStr">
        <is>
          <t>0.12</t>
        </is>
      </c>
      <c r="Q49" s="512" t="inlineStr">
        <is>
          <t>0.11</t>
        </is>
      </c>
      <c r="R49" s="512" t="inlineStr">
        <is>
          <t>0.40</t>
        </is>
      </c>
      <c r="S49" s="512" t="inlineStr">
        <is>
          <t>0.05</t>
        </is>
      </c>
      <c r="T49" s="512" t="n"/>
      <c r="U49" s="512" t="inlineStr">
        <is>
          <t>Cu+Ni+Cr+Mo&lt;1.00</t>
        </is>
      </c>
      <c r="AE49" s="556" t="inlineStr">
        <is>
          <t>Grade</t>
        </is>
      </c>
      <c r="AF49" s="556" t="inlineStr">
        <is>
          <t>Yield Strength Min, psi</t>
        </is>
      </c>
      <c r="AG49" s="554" t="inlineStr">
        <is>
          <t>Yield Strength Min, N/mm²</t>
        </is>
      </c>
      <c r="AH49" s="554" t="inlineStr">
        <is>
          <t>Tensile Strength Min, psi</t>
        </is>
      </c>
      <c r="AI49" s="554" t="inlineStr">
        <is>
          <t>Tensile Strength Min, N/mm²</t>
        </is>
      </c>
      <c r="AJ49" s="554" t="inlineStr">
        <is>
          <t>Elongation (%)</t>
        </is>
      </c>
      <c r="AK49" s="554" t="inlineStr">
        <is>
          <t>Reduction of Area (%)</t>
        </is>
      </c>
      <c r="AL49" s="554" t="inlineStr">
        <is>
          <t>Hardness, maximum HBW</t>
        </is>
      </c>
      <c r="AM49" s="557" t="inlineStr">
        <is>
          <t>CVN Min avg.</t>
        </is>
      </c>
      <c r="AN49" s="557" t="inlineStr">
        <is>
          <t xml:space="preserve">CVN Min </t>
        </is>
      </c>
      <c r="AO49" s="555" t="inlineStr">
        <is>
          <t>CVN Temp. Celc.</t>
        </is>
      </c>
    </row>
    <row r="50" ht="15.75" customHeight="1" s="510">
      <c r="B50" s="514" t="n"/>
      <c r="C50" s="514" t="n"/>
      <c r="D50" s="514" t="n">
        <v>475</v>
      </c>
      <c r="E50" s="514" t="n"/>
      <c r="F50" s="514" t="n"/>
      <c r="AE50" s="559" t="inlineStr">
        <is>
          <t>Standartta Yok</t>
        </is>
      </c>
      <c r="AF50" s="559" t="inlineStr">
        <is>
          <t>Standartta Yok</t>
        </is>
      </c>
      <c r="AG50" s="559" t="inlineStr">
        <is>
          <t>Standartta Yok</t>
        </is>
      </c>
      <c r="AH50" s="559" t="inlineStr">
        <is>
          <t>Standartta Yok</t>
        </is>
      </c>
      <c r="AI50" s="559" t="inlineStr">
        <is>
          <t>Standartta Yok</t>
        </is>
      </c>
      <c r="AJ50" s="559" t="inlineStr">
        <is>
          <t>Standartta Yok</t>
        </is>
      </c>
      <c r="AK50" s="559" t="inlineStr">
        <is>
          <t>Standartta Yok</t>
        </is>
      </c>
      <c r="AL50" s="559" t="inlineStr">
        <is>
          <t>Standartta Yok</t>
        </is>
      </c>
      <c r="AM50" s="559" t="inlineStr">
        <is>
          <t>Standartta Yok</t>
        </is>
      </c>
      <c r="AN50" s="559" t="inlineStr">
        <is>
          <t>Standartta Yok</t>
        </is>
      </c>
      <c r="AO50" s="559" t="inlineStr">
        <is>
          <t>Standartta Yok</t>
        </is>
      </c>
    </row>
    <row r="51" s="510">
      <c r="B51" s="514" t="n"/>
      <c r="C51" s="514" t="n"/>
      <c r="D51" s="514" t="n">
        <v>500</v>
      </c>
      <c r="E51" s="514" t="n"/>
      <c r="F51" s="514" t="n"/>
    </row>
    <row r="52" s="510">
      <c r="A52" s="514" t="n"/>
      <c r="B52" s="514" t="n"/>
      <c r="C52" s="514" t="n"/>
      <c r="D52" s="514" t="n">
        <v>538</v>
      </c>
      <c r="E52" s="514" t="n"/>
      <c r="F52" s="514" t="n"/>
    </row>
    <row r="53" s="510"/>
    <row r="54" s="510">
      <c r="B54" t="inlineStr">
        <is>
          <t>MSS Sp-44 Mekanik Özellikler</t>
        </is>
      </c>
    </row>
    <row r="55" ht="21.75" customHeight="1" s="510" thickBot="1">
      <c r="B55" s="504" t="inlineStr">
        <is>
          <t>Grade</t>
        </is>
      </c>
      <c r="C55" s="504" t="inlineStr">
        <is>
          <t>Yield Strength Min, psi</t>
        </is>
      </c>
      <c r="D55" s="505" t="inlineStr">
        <is>
          <t>Yield Strength Min, N/mm²</t>
        </is>
      </c>
      <c r="E55" s="505" t="inlineStr">
        <is>
          <t>Tensile Strength Min, psi</t>
        </is>
      </c>
      <c r="F55" s="505" t="inlineStr">
        <is>
          <t>Tensile Strength Min, N/mm²</t>
        </is>
      </c>
      <c r="G55" s="505" t="inlineStr">
        <is>
          <t>Elongation (%)</t>
        </is>
      </c>
      <c r="H55" s="505" t="inlineStr">
        <is>
          <t>Reduction of Area (%)</t>
        </is>
      </c>
      <c r="I55" s="505" t="inlineStr">
        <is>
          <t>Hardness, maximum HBW</t>
        </is>
      </c>
      <c r="J55" s="506" t="inlineStr">
        <is>
          <t>CVN Min avg.</t>
        </is>
      </c>
      <c r="K55" s="506" t="inlineStr">
        <is>
          <t xml:space="preserve">CVN Min </t>
        </is>
      </c>
      <c r="L55" s="553" t="inlineStr">
        <is>
          <t>CVN Temp. Celc.</t>
        </is>
      </c>
    </row>
    <row r="56" ht="15.75" customHeight="1" s="510" thickTop="1">
      <c r="B56" s="514" t="inlineStr">
        <is>
          <t>MSS SP-44 F36</t>
        </is>
      </c>
      <c r="C56" s="514" t="n">
        <v>36000</v>
      </c>
      <c r="D56" s="514" t="n">
        <v>248</v>
      </c>
      <c r="E56" s="514" t="n">
        <v>60000</v>
      </c>
      <c r="F56" s="514" t="n">
        <v>414</v>
      </c>
      <c r="G56" s="514" t="n">
        <v>20</v>
      </c>
      <c r="H56" s="514" t="n"/>
      <c r="I56" s="514" t="n">
        <v>235</v>
      </c>
      <c r="J56" s="514" t="n"/>
      <c r="K56" s="514" t="n"/>
      <c r="L56" s="514" t="n"/>
    </row>
    <row r="57">
      <c r="A57" s="571" t="inlineStr">
        <is>
          <t>ASTM A694 F42</t>
        </is>
      </c>
      <c r="B57" s="514" t="inlineStr">
        <is>
          <t>MSS SP-44 F42</t>
        </is>
      </c>
      <c r="C57" s="514" t="n">
        <v>42000</v>
      </c>
      <c r="D57" s="514" t="n">
        <v>290</v>
      </c>
      <c r="E57" s="514" t="n">
        <v>60000</v>
      </c>
      <c r="F57" s="514" t="n">
        <v>414</v>
      </c>
      <c r="G57" s="514" t="n">
        <v>20</v>
      </c>
      <c r="H57" s="514" t="n"/>
      <c r="I57" s="514" t="n">
        <v>235</v>
      </c>
      <c r="J57" s="514" t="n"/>
      <c r="K57" s="514" t="n"/>
      <c r="L57" s="514" t="n"/>
    </row>
    <row r="58">
      <c r="A58" s="571" t="inlineStr">
        <is>
          <t>ASTM A694 F46</t>
        </is>
      </c>
      <c r="B58" s="514" t="inlineStr">
        <is>
          <t>MSS SP-44 F46</t>
        </is>
      </c>
      <c r="C58" s="514" t="n">
        <v>46000</v>
      </c>
      <c r="D58" s="514" t="n">
        <v>317</v>
      </c>
      <c r="E58" s="514" t="n">
        <v>60000</v>
      </c>
      <c r="F58" s="514" t="n">
        <v>414</v>
      </c>
      <c r="G58" s="514" t="n">
        <v>20</v>
      </c>
      <c r="H58" s="514" t="n"/>
      <c r="I58" s="514" t="n">
        <v>235</v>
      </c>
      <c r="J58" s="514" t="n">
        <v>27</v>
      </c>
      <c r="K58" s="514" t="n">
        <v>20</v>
      </c>
      <c r="L58" s="514" t="n">
        <v>-45</v>
      </c>
    </row>
    <row r="59">
      <c r="A59" s="571" t="inlineStr">
        <is>
          <t>ASTM A694 F48</t>
        </is>
      </c>
      <c r="B59" s="514" t="inlineStr">
        <is>
          <t>MSS SP-44 F48</t>
        </is>
      </c>
      <c r="C59" s="514" t="n">
        <v>48000</v>
      </c>
      <c r="D59" s="514" t="n">
        <v>331</v>
      </c>
      <c r="E59" s="514" t="n">
        <v>62000</v>
      </c>
      <c r="F59" s="514" t="n">
        <v>427</v>
      </c>
      <c r="G59" s="514" t="n">
        <v>20</v>
      </c>
      <c r="H59" s="514" t="n"/>
      <c r="I59" s="514" t="n">
        <v>235</v>
      </c>
      <c r="J59" s="514" t="n">
        <v>27</v>
      </c>
      <c r="K59" s="514" t="n">
        <v>20</v>
      </c>
      <c r="L59" s="514" t="n">
        <v>-45</v>
      </c>
    </row>
    <row r="60">
      <c r="A60" s="571" t="inlineStr">
        <is>
          <t>ASTM A694 F50</t>
        </is>
      </c>
      <c r="B60" s="514" t="inlineStr">
        <is>
          <t>MSS SP-44 F50</t>
        </is>
      </c>
      <c r="C60" s="514" t="n">
        <v>50000</v>
      </c>
      <c r="D60" s="514" t="n">
        <v>345</v>
      </c>
      <c r="E60" s="514" t="n">
        <v>64000</v>
      </c>
      <c r="F60" s="514" t="n">
        <v>441</v>
      </c>
      <c r="G60" s="514" t="n">
        <v>20</v>
      </c>
      <c r="H60" s="514" t="n"/>
      <c r="I60" s="514" t="n">
        <v>235</v>
      </c>
      <c r="J60" s="514" t="n">
        <v>27</v>
      </c>
      <c r="K60" s="514" t="n">
        <v>20</v>
      </c>
      <c r="L60" s="514" t="n">
        <v>-45</v>
      </c>
    </row>
    <row r="61">
      <c r="A61" s="571" t="inlineStr">
        <is>
          <t>ASTM A694 F52</t>
        </is>
      </c>
      <c r="B61" s="514" t="inlineStr">
        <is>
          <t>MSS SP-44 F52</t>
        </is>
      </c>
      <c r="C61" s="514" t="n">
        <v>52000</v>
      </c>
      <c r="D61" s="514" t="n">
        <v>359</v>
      </c>
      <c r="E61" s="514" t="n">
        <v>66000</v>
      </c>
      <c r="F61" s="514" t="n">
        <v>455</v>
      </c>
      <c r="G61" s="514" t="n">
        <v>20</v>
      </c>
      <c r="H61" s="514" t="n"/>
      <c r="I61" s="514" t="n">
        <v>235</v>
      </c>
      <c r="J61" s="514" t="n">
        <v>27</v>
      </c>
      <c r="K61" s="514" t="n">
        <v>20</v>
      </c>
      <c r="L61" s="514" t="n">
        <v>-45</v>
      </c>
    </row>
    <row r="62">
      <c r="A62" s="571" t="inlineStr">
        <is>
          <t>ASTM A694 F56</t>
        </is>
      </c>
      <c r="B62" s="514" t="inlineStr">
        <is>
          <t>MSS SP-44 F56</t>
        </is>
      </c>
      <c r="C62" s="514" t="n">
        <v>56000</v>
      </c>
      <c r="D62" s="514" t="n">
        <v>386</v>
      </c>
      <c r="E62" s="514" t="n">
        <v>68000</v>
      </c>
      <c r="F62" s="514" t="n">
        <v>469</v>
      </c>
      <c r="G62" s="514" t="n">
        <v>20</v>
      </c>
      <c r="H62" s="514" t="n"/>
      <c r="I62" s="514" t="n">
        <v>235</v>
      </c>
      <c r="J62" s="514" t="n">
        <v>27</v>
      </c>
      <c r="K62" s="514" t="n">
        <v>20</v>
      </c>
      <c r="L62" s="514" t="n">
        <v>-45</v>
      </c>
    </row>
    <row r="63">
      <c r="A63" s="571" t="inlineStr">
        <is>
          <t>ASTM A694 F60</t>
        </is>
      </c>
      <c r="B63" s="514" t="inlineStr">
        <is>
          <t>MSS SP-44 F60</t>
        </is>
      </c>
      <c r="C63" s="514" t="n">
        <v>60000</v>
      </c>
      <c r="D63" s="514" t="n">
        <v>414</v>
      </c>
      <c r="E63" s="514" t="n">
        <v>75000</v>
      </c>
      <c r="F63" s="514" t="n">
        <v>517</v>
      </c>
      <c r="G63" s="514" t="n">
        <v>20</v>
      </c>
      <c r="H63" s="514" t="n"/>
      <c r="I63" s="514" t="n">
        <v>235</v>
      </c>
      <c r="J63" s="514" t="n">
        <v>27</v>
      </c>
      <c r="K63" s="514" t="n">
        <v>20</v>
      </c>
      <c r="L63" s="514" t="n">
        <v>-45</v>
      </c>
    </row>
    <row r="64">
      <c r="A64" s="571" t="inlineStr">
        <is>
          <t>ASTM A694 F65</t>
        </is>
      </c>
      <c r="B64" s="514" t="inlineStr">
        <is>
          <t>MSS SP-44 F65</t>
        </is>
      </c>
      <c r="C64" s="514" t="n">
        <v>65000</v>
      </c>
      <c r="D64" s="514" t="n">
        <v>448</v>
      </c>
      <c r="E64" s="514" t="n">
        <v>77000</v>
      </c>
      <c r="F64" s="514" t="n">
        <v>531</v>
      </c>
      <c r="G64" s="514" t="n">
        <v>18</v>
      </c>
      <c r="H64" s="514" t="n"/>
      <c r="I64" s="514" t="n">
        <v>235</v>
      </c>
      <c r="J64" s="514" t="n">
        <v>27</v>
      </c>
      <c r="K64" s="514" t="n">
        <v>20</v>
      </c>
      <c r="L64" s="514" t="n">
        <v>-45</v>
      </c>
    </row>
    <row r="65">
      <c r="A65" s="571" t="inlineStr">
        <is>
          <t>ASTM A694 F70</t>
        </is>
      </c>
      <c r="B65" s="514" t="inlineStr">
        <is>
          <t>MSS SP-44 F70</t>
        </is>
      </c>
      <c r="C65" s="514" t="n">
        <v>70000</v>
      </c>
      <c r="D65" s="514" t="n">
        <v>483</v>
      </c>
      <c r="E65" s="514" t="n">
        <v>80000</v>
      </c>
      <c r="F65" s="514" t="n">
        <v>552</v>
      </c>
      <c r="G65" s="514" t="n">
        <v>18</v>
      </c>
      <c r="H65" s="514" t="n"/>
      <c r="I65" s="514" t="n">
        <v>235</v>
      </c>
      <c r="J65" s="514" t="n">
        <v>27</v>
      </c>
      <c r="K65" s="514" t="n">
        <v>20</v>
      </c>
      <c r="L65" s="514" t="n">
        <v>-45</v>
      </c>
    </row>
    <row r="66">
      <c r="A66" s="571" t="inlineStr">
        <is>
          <t>ASTM A694 F80</t>
        </is>
      </c>
      <c r="B66" s="514" t="inlineStr">
        <is>
          <t>MSS SP-44 F80</t>
        </is>
      </c>
      <c r="C66" s="514" t="n">
        <v>80000</v>
      </c>
      <c r="D66" s="514" t="n">
        <v>550</v>
      </c>
      <c r="E66" s="514" t="n">
        <v>90000</v>
      </c>
      <c r="F66" s="514" t="n">
        <v>620</v>
      </c>
      <c r="G66" s="514" t="n">
        <v>16</v>
      </c>
      <c r="H66" s="514" t="n"/>
      <c r="I66" s="514" t="n">
        <v>235</v>
      </c>
      <c r="J66" s="514" t="n">
        <v>27</v>
      </c>
      <c r="K66" s="514" t="n">
        <v>20</v>
      </c>
      <c r="L66" s="514" t="n">
        <v>-45</v>
      </c>
    </row>
    <row r="67">
      <c r="C67" t="inlineStr">
        <is>
          <t>MSS SP-44 Pressure Temperature Ratings</t>
        </is>
      </c>
    </row>
    <row r="68">
      <c r="C68" t="inlineStr">
        <is>
          <t>Temperature  ©</t>
        </is>
      </c>
      <c r="D68" s="494" t="inlineStr">
        <is>
          <t>150</t>
        </is>
      </c>
      <c r="E68" s="494" t="inlineStr">
        <is>
          <t>300</t>
        </is>
      </c>
      <c r="F68" s="494" t="inlineStr">
        <is>
          <t>400</t>
        </is>
      </c>
      <c r="G68" s="494" t="inlineStr">
        <is>
          <t>600</t>
        </is>
      </c>
      <c r="H68" s="494" t="inlineStr">
        <is>
          <t>900</t>
        </is>
      </c>
    </row>
    <row r="69">
      <c r="C69" s="514">
        <f>"-29 to121"</f>
        <v/>
      </c>
      <c r="D69" s="514" t="n">
        <v>19.6</v>
      </c>
      <c r="E69" s="514" t="n">
        <v>51</v>
      </c>
      <c r="F69" s="514" t="n">
        <v>68.3</v>
      </c>
      <c r="G69" s="514" t="n">
        <v>102</v>
      </c>
      <c r="H69" s="514" t="n">
        <v>153.1</v>
      </c>
    </row>
    <row r="70">
      <c r="C70" s="514" t="n">
        <v>150</v>
      </c>
      <c r="D70" s="514" t="n">
        <v>18.9</v>
      </c>
      <c r="E70" s="514" t="n">
        <v>49.2</v>
      </c>
      <c r="F70" s="514" t="n">
        <v>65.8</v>
      </c>
      <c r="G70" s="514" t="n">
        <v>98.5</v>
      </c>
      <c r="H70" s="514" t="n">
        <v>147.7</v>
      </c>
    </row>
    <row r="71">
      <c r="C71" s="494" t="n">
        <v>175</v>
      </c>
      <c r="D71" s="514" t="n">
        <v>18.3</v>
      </c>
      <c r="E71" s="514" t="n">
        <v>47.7</v>
      </c>
      <c r="F71" s="514" t="n">
        <v>63.9</v>
      </c>
      <c r="G71" s="514" t="n">
        <v>95.40000000000001</v>
      </c>
      <c r="H71" s="514" t="n">
        <v>143</v>
      </c>
    </row>
    <row r="72">
      <c r="C72" s="514" t="n">
        <v>200</v>
      </c>
      <c r="D72" s="514" t="n">
        <v>17.7</v>
      </c>
      <c r="E72" s="514" t="n">
        <v>46.8</v>
      </c>
      <c r="F72" s="514" t="n">
        <v>62.8</v>
      </c>
      <c r="G72" s="514" t="n">
        <v>93.7</v>
      </c>
      <c r="H72" s="514" t="n">
        <v>140.7</v>
      </c>
    </row>
    <row r="73">
      <c r="C73" s="494" t="n">
        <v>225</v>
      </c>
      <c r="D73" s="514" t="n">
        <v>17.1</v>
      </c>
      <c r="E73" s="514" t="n">
        <v>44.6</v>
      </c>
      <c r="F73" s="514" t="n">
        <v>59.8</v>
      </c>
      <c r="G73" s="514" t="n">
        <v>89.40000000000001</v>
      </c>
      <c r="H73" s="514" t="n">
        <v>134.1</v>
      </c>
    </row>
    <row r="74">
      <c r="C74" s="514" t="n">
        <v>232</v>
      </c>
      <c r="D74" s="514" t="n">
        <v>16.9</v>
      </c>
      <c r="E74" s="514" t="n">
        <v>4.1</v>
      </c>
      <c r="F74" s="514" t="n">
        <v>59.3</v>
      </c>
      <c r="G74" s="514" t="n">
        <v>88.59999999999999</v>
      </c>
      <c r="H74" s="514" t="n">
        <v>132.7</v>
      </c>
    </row>
  </sheetData>
  <dataValidations count="3">
    <dataValidation sqref="K3 K6" showDropDown="0" showInputMessage="1" showErrorMessage="1" allowBlank="1" type="list">
      <formula1>$A$37:$A$49</formula1>
    </dataValidation>
    <dataValidation sqref="H3" showDropDown="0" showInputMessage="1" showErrorMessage="1" allowBlank="1" type="list">
      <formula1>$A$37:$A$47</formula1>
    </dataValidation>
    <dataValidation sqref="A3:A6" showDropDown="0" showInputMessage="1" showErrorMessage="1" allowBlank="1" type="list">
      <formula1>$A$9:$A$27</formula1>
    </dataValidation>
  </dataValidations>
  <pageMargins left="0.7" right="0.7" top="0.75" bottom="0.75" header="0.3" footer="0.3"/>
  <drawing xmlns:r="http://schemas.openxmlformats.org/officeDocument/2006/relationships" r:id="rId1"/>
  <tableParts count="12">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xl/worksheets/sheet9.xml><?xml version="1.0" encoding="utf-8"?>
<worksheet xmlns="http://schemas.openxmlformats.org/spreadsheetml/2006/main">
  <sheetPr codeName="Sayfa9" published="0">
    <outlinePr summaryBelow="1" summaryRight="1"/>
    <pageSetUpPr/>
  </sheetPr>
  <dimension ref="A1:BS143"/>
  <sheetViews>
    <sheetView topLeftCell="R79" zoomScale="70" zoomScaleNormal="70" workbookViewId="0">
      <selection activeCell="BG74" sqref="BG74"/>
    </sheetView>
  </sheetViews>
  <sheetFormatPr baseColWidth="8" defaultRowHeight="15"/>
  <cols>
    <col width="24.48046875" customWidth="1" style="510" min="3" max="3"/>
    <col width="28.11328125" customWidth="1" style="510" min="4" max="4"/>
    <col width="20.3125" customWidth="1" style="510" min="5" max="5"/>
    <col width="22.8671875" customWidth="1" style="510" min="6" max="6"/>
    <col width="20.84765625" customWidth="1" style="510" min="7" max="7"/>
    <col width="15.87109375" bestFit="1" customWidth="1" style="510" min="8" max="8"/>
    <col hidden="1" width="5.37890625" customWidth="1" style="510" min="9" max="9"/>
    <col width="16.94921875" customWidth="1" style="510" min="10" max="10"/>
    <col width="9.4140625" customWidth="1" style="510" min="11" max="11"/>
    <col width="13.31640625" customWidth="1" style="510" min="12" max="12"/>
    <col width="13.5859375" customWidth="1" style="510" min="13" max="13"/>
    <col width="15.87109375" customWidth="1" style="510" min="17" max="17"/>
    <col width="5.37890625" customWidth="1" style="1119" min="18" max="18"/>
    <col width="15.46875" customWidth="1" style="510" min="19" max="19"/>
    <col width="13.85546875" customWidth="1" style="510" min="20" max="20"/>
    <col width="24.6171875" customWidth="1" style="510" min="21" max="21"/>
    <col width="11.8359375" customWidth="1" style="510" min="22" max="22"/>
    <col width="13.31640625" customWidth="1" style="510" min="23" max="23"/>
    <col width="13.5859375" customWidth="1" style="510" min="24" max="24"/>
    <col width="24.88671875" customWidth="1" style="510" min="25" max="25"/>
    <col width="17.484375" customWidth="1" style="510" min="26" max="26"/>
    <col width="9.55078125" customWidth="1" style="510" min="27" max="27"/>
    <col width="13.31640625" customWidth="1" style="510" min="29" max="29"/>
    <col width="30.9375" bestFit="1" customWidth="1" style="510" min="30" max="30"/>
    <col width="12.10546875" customWidth="1" style="510" min="31" max="31"/>
    <col width="46.6796875" bestFit="1" customWidth="1" style="510" min="32" max="32"/>
    <col width="14.390625" customWidth="1" style="510" min="33" max="33"/>
    <col width="14.390625" customWidth="1" style="510" min="57" max="57"/>
    <col width="19.1015625" customWidth="1" style="510" min="58" max="58"/>
    <col width="30.1328125" customWidth="1" style="510" min="59" max="59"/>
    <col width="29.59375" customWidth="1" style="510" min="60" max="60"/>
    <col width="19.1015625" customWidth="1" style="510" min="61" max="61"/>
    <col width="14.9296875" customWidth="1" style="510" min="62" max="62"/>
    <col width="16.54296875" customWidth="1" style="510" min="63" max="63"/>
    <col width="17.484375" customWidth="1" style="510" min="64" max="64"/>
    <col width="18.16015625" customWidth="1" style="510" min="65" max="65"/>
    <col width="18.29296875" customWidth="1" style="510" min="66" max="66"/>
    <col width="13.44921875" customWidth="1" style="510" min="67" max="67"/>
    <col width="12.10546875" customWidth="1" style="510" min="68" max="68"/>
    <col width="11.02734375" customWidth="1" style="510" min="69" max="69"/>
  </cols>
  <sheetData>
    <row r="1">
      <c r="A1" s="526" t="n"/>
      <c r="B1" s="526" t="n"/>
      <c r="C1" s="526" t="n"/>
      <c r="D1" s="526" t="n"/>
      <c r="E1" s="526" t="n"/>
      <c r="F1" s="526" t="n"/>
      <c r="G1" s="526" t="n"/>
      <c r="H1" s="526" t="n"/>
      <c r="I1" s="526" t="n"/>
      <c r="J1" s="526" t="n"/>
      <c r="K1" s="526" t="n"/>
      <c r="L1" s="526" t="n"/>
      <c r="M1" s="1119" t="n"/>
      <c r="N1" s="1119" t="n"/>
      <c r="O1" s="1119" t="n"/>
      <c r="P1" s="1119" t="n"/>
      <c r="Q1" s="1119" t="n"/>
      <c r="S1" s="1119" t="n"/>
      <c r="T1" s="380" t="n"/>
      <c r="U1" s="380" t="n"/>
      <c r="V1" s="380" t="n"/>
      <c r="W1" s="380" t="n"/>
      <c r="X1" s="380" t="n"/>
      <c r="Y1" s="380" t="n"/>
      <c r="Z1" s="380" t="n"/>
      <c r="AA1" s="380" t="n"/>
      <c r="AB1" s="380" t="n"/>
      <c r="AC1" s="380" t="n"/>
      <c r="AD1" s="380" t="n"/>
      <c r="AE1" s="380" t="n"/>
      <c r="AF1" s="380" t="n"/>
      <c r="AG1" s="380" t="n"/>
      <c r="AH1" s="380" t="n"/>
      <c r="AI1" s="380" t="n"/>
      <c r="AJ1" s="380" t="n"/>
      <c r="AK1" s="380" t="n"/>
      <c r="AL1" s="380" t="n"/>
      <c r="AM1" s="380" t="n"/>
      <c r="AN1" s="380" t="n"/>
      <c r="AO1" s="1119" t="n"/>
      <c r="AP1" s="1119" t="n"/>
      <c r="AQ1" s="527" t="n"/>
      <c r="AR1" s="527" t="n"/>
      <c r="AS1" s="527" t="n"/>
      <c r="AT1" s="527" t="n"/>
      <c r="AU1" s="527" t="n"/>
      <c r="AV1" s="527" t="n"/>
      <c r="AW1" s="527" t="n"/>
      <c r="AX1" s="527" t="n"/>
      <c r="AY1" s="527" t="n"/>
      <c r="AZ1" s="527" t="n"/>
      <c r="BA1" s="527" t="n"/>
      <c r="BB1" s="527" t="n"/>
      <c r="BC1" s="527" t="n"/>
      <c r="BD1" s="527" t="n"/>
      <c r="BE1" s="527" t="n"/>
    </row>
    <row r="2">
      <c r="A2" s="526" t="n"/>
      <c r="B2" s="526" t="n"/>
      <c r="C2" s="526" t="n"/>
      <c r="D2" s="526" t="n"/>
      <c r="E2" s="526" t="n"/>
      <c r="F2" s="526" t="n"/>
      <c r="G2" s="526" t="n"/>
      <c r="H2" s="526" t="n"/>
      <c r="I2" s="526" t="n"/>
      <c r="J2" s="526" t="n"/>
      <c r="K2" s="526" t="n"/>
      <c r="L2" s="526" t="n"/>
      <c r="M2" s="1119" t="n"/>
      <c r="N2" s="1119" t="n"/>
      <c r="O2" s="1119" t="n"/>
      <c r="P2" s="1119" t="n"/>
      <c r="Q2" s="1119" t="n"/>
      <c r="S2" s="1119" t="n"/>
      <c r="T2" s="380" t="n"/>
      <c r="U2" s="380" t="n"/>
      <c r="V2" s="380" t="n"/>
      <c r="W2" s="380" t="n"/>
      <c r="X2" s="380" t="n"/>
      <c r="Y2" s="380" t="n"/>
      <c r="Z2" s="380" t="n"/>
      <c r="AA2" s="380" t="n"/>
      <c r="AB2" s="380" t="n"/>
      <c r="AC2" s="380" t="n"/>
      <c r="AD2" s="380" t="n"/>
      <c r="AE2" s="380" t="n"/>
      <c r="AF2" s="380" t="n"/>
      <c r="AG2" s="380" t="n"/>
      <c r="AH2" s="380" t="n"/>
      <c r="AI2" s="380" t="n"/>
      <c r="AJ2" s="380" t="n"/>
      <c r="AK2" s="380" t="n"/>
      <c r="AL2" s="380" t="n"/>
      <c r="AM2" s="380" t="n"/>
      <c r="AN2" s="380" t="n"/>
      <c r="AO2" s="1119" t="n"/>
      <c r="AP2" s="1119" t="n"/>
      <c r="AQ2" s="527" t="n"/>
      <c r="AR2" s="527" t="n"/>
      <c r="AS2" s="527" t="n"/>
      <c r="AT2" s="527" t="n"/>
      <c r="AU2" s="527" t="n"/>
      <c r="AV2" s="527" t="n"/>
      <c r="AW2" s="527" t="n"/>
      <c r="AX2" s="527" t="n"/>
      <c r="AY2" s="527" t="n"/>
      <c r="AZ2" s="527" t="n"/>
      <c r="BA2" s="527" t="n"/>
      <c r="BB2" s="527" t="n"/>
      <c r="BC2" s="527" t="n"/>
      <c r="BD2" s="527" t="n"/>
      <c r="BE2" s="527" t="n"/>
    </row>
    <row r="3">
      <c r="A3" s="526" t="n"/>
      <c r="B3" s="526" t="n"/>
      <c r="C3" s="526" t="n"/>
      <c r="D3" s="526" t="n"/>
      <c r="E3" s="526" t="n"/>
      <c r="F3" s="526" t="n"/>
      <c r="G3" s="526" t="n"/>
      <c r="H3" s="526" t="n"/>
      <c r="I3" s="526" t="n"/>
      <c r="J3" s="526" t="n"/>
      <c r="K3" s="526" t="n"/>
      <c r="L3" s="526" t="n"/>
      <c r="M3" s="1119" t="n"/>
      <c r="N3" s="1119" t="n"/>
      <c r="O3" s="1119" t="n"/>
      <c r="P3" s="1119" t="n"/>
      <c r="Q3" s="1119" t="n"/>
      <c r="S3" s="1119" t="n"/>
      <c r="T3" s="380" t="n"/>
      <c r="U3" s="380" t="n"/>
      <c r="V3" s="380" t="n"/>
      <c r="W3" s="380" t="n"/>
      <c r="X3" s="380" t="n"/>
      <c r="Y3" s="380" t="n"/>
      <c r="Z3" s="380" t="n"/>
      <c r="AA3" s="380" t="n"/>
      <c r="AB3" s="380" t="n"/>
      <c r="AC3" s="380" t="n"/>
      <c r="AD3" s="380" t="n"/>
      <c r="AE3" s="380" t="n"/>
      <c r="AF3" s="380" t="n"/>
      <c r="AG3" s="380" t="n"/>
      <c r="AH3" s="380" t="n"/>
      <c r="AI3" s="380" t="n"/>
      <c r="AJ3" s="380" t="n"/>
      <c r="AK3" s="380" t="n"/>
      <c r="AL3" s="380" t="n"/>
      <c r="AM3" s="380" t="n"/>
      <c r="AN3" s="380" t="n"/>
      <c r="AO3" s="1119" t="n"/>
      <c r="AP3" s="1119" t="n"/>
      <c r="AQ3" s="527" t="n"/>
      <c r="AR3" s="527" t="n"/>
      <c r="AS3" s="527" t="n"/>
      <c r="AT3" s="527" t="n"/>
      <c r="AU3" s="527" t="n"/>
      <c r="AV3" s="527" t="n"/>
      <c r="AW3" s="527" t="n"/>
      <c r="AX3" s="527" t="n"/>
      <c r="AY3" s="527" t="n"/>
      <c r="AZ3" s="527" t="n"/>
      <c r="BA3" s="527" t="n"/>
      <c r="BB3" s="527" t="n"/>
      <c r="BC3" s="527" t="n"/>
      <c r="BD3" s="527" t="n"/>
      <c r="BE3" s="527" t="n"/>
    </row>
    <row r="4">
      <c r="A4" s="526" t="n"/>
      <c r="B4" s="526" t="n"/>
      <c r="C4" s="526" t="n"/>
      <c r="D4" s="526" t="n"/>
      <c r="E4" s="526" t="n"/>
      <c r="F4" s="526" t="n"/>
      <c r="G4" s="526" t="n"/>
      <c r="H4" s="526" t="n"/>
      <c r="I4" s="526" t="n"/>
      <c r="J4" s="526" t="n"/>
      <c r="K4" s="526" t="n"/>
      <c r="L4" s="526" t="n"/>
      <c r="M4" s="1119" t="n"/>
      <c r="N4" s="1119" t="n"/>
      <c r="O4" s="1119" t="n"/>
      <c r="P4" s="1119" t="n"/>
      <c r="Q4" s="1119" t="n"/>
      <c r="S4" s="1119" t="n"/>
      <c r="T4" s="380" t="n"/>
      <c r="U4" s="380" t="n"/>
      <c r="V4" s="380" t="n"/>
      <c r="W4" s="380" t="n"/>
      <c r="X4" s="380" t="n"/>
      <c r="Y4" s="380" t="n"/>
      <c r="Z4" s="380" t="n"/>
      <c r="AA4" s="380" t="n"/>
      <c r="AB4" s="380" t="n"/>
      <c r="AC4" s="380" t="n"/>
      <c r="AD4" s="380" t="n"/>
      <c r="AE4" s="380" t="n"/>
      <c r="AF4" s="380" t="n"/>
      <c r="AG4" s="380" t="n"/>
      <c r="AH4" s="380" t="n"/>
      <c r="AI4" s="380" t="n"/>
      <c r="AJ4" s="380" t="n"/>
      <c r="AK4" s="380" t="n"/>
      <c r="AL4" s="380" t="n"/>
      <c r="AM4" s="380" t="n"/>
      <c r="AN4" s="380" t="n"/>
      <c r="AO4" s="1119" t="n"/>
      <c r="AP4" s="1119" t="n"/>
      <c r="AQ4" s="527" t="n"/>
      <c r="AR4" s="527" t="n"/>
      <c r="AS4" s="527" t="n"/>
      <c r="AT4" s="527" t="n"/>
      <c r="AU4" s="527" t="n"/>
      <c r="AV4" s="527" t="n"/>
      <c r="AW4" s="527" t="n"/>
      <c r="AX4" s="527" t="n"/>
      <c r="AY4" s="527" t="n"/>
      <c r="AZ4" s="527" t="n"/>
      <c r="BA4" s="527" t="n"/>
      <c r="BB4" s="527" t="n"/>
      <c r="BC4" s="527" t="n"/>
      <c r="BD4" s="527" t="n"/>
      <c r="BE4" s="527" t="n"/>
    </row>
    <row r="5">
      <c r="A5" s="526" t="n"/>
      <c r="B5" s="526" t="n"/>
      <c r="C5" s="526" t="n"/>
      <c r="D5" s="526" t="n"/>
      <c r="E5" s="526" t="n"/>
      <c r="F5" s="526" t="n"/>
      <c r="G5" s="526" t="n"/>
      <c r="H5" s="526" t="n"/>
      <c r="I5" s="526" t="n"/>
      <c r="J5" s="526" t="n"/>
      <c r="K5" s="526" t="n"/>
      <c r="L5" s="526" t="n"/>
      <c r="M5" s="1119" t="n"/>
      <c r="N5" s="1119" t="n"/>
      <c r="O5" s="1119" t="n"/>
      <c r="P5" s="1119" t="n"/>
      <c r="Q5" s="1119" t="n"/>
      <c r="S5" s="1119" t="n"/>
      <c r="T5" s="380" t="n"/>
      <c r="U5" s="380" t="n"/>
      <c r="V5" s="380" t="n"/>
      <c r="W5" s="380" t="n"/>
      <c r="X5" s="380" t="n"/>
      <c r="Y5" s="380" t="n"/>
      <c r="Z5" s="380" t="n"/>
      <c r="AA5" s="380" t="n"/>
      <c r="AB5" s="380" t="n"/>
      <c r="AC5" s="380" t="n"/>
      <c r="AD5" s="380" t="n"/>
      <c r="AE5" s="380" t="n"/>
      <c r="AF5" s="380" t="n"/>
      <c r="AG5" s="380" t="n"/>
      <c r="AH5" s="380" t="n"/>
      <c r="AI5" s="380" t="n"/>
      <c r="AJ5" s="380" t="n"/>
      <c r="AK5" s="380" t="n"/>
      <c r="AL5" s="380" t="n"/>
      <c r="AM5" s="380" t="n"/>
      <c r="AN5" s="380" t="n"/>
      <c r="AO5" s="1119" t="n"/>
      <c r="AP5" s="1119" t="n"/>
      <c r="AQ5" s="527" t="n"/>
      <c r="AR5" s="527" t="n"/>
      <c r="AS5" s="527" t="n"/>
      <c r="AT5" s="527" t="n"/>
      <c r="AU5" s="527" t="n"/>
      <c r="AV5" s="527" t="n"/>
      <c r="AW5" s="527" t="n"/>
      <c r="AX5" s="527" t="n"/>
      <c r="AY5" s="527" t="n"/>
      <c r="AZ5" s="527" t="n"/>
      <c r="BA5" s="527" t="n"/>
      <c r="BB5" s="527" t="n"/>
      <c r="BC5" s="527" t="n"/>
      <c r="BD5" s="527" t="n"/>
      <c r="BE5" s="527" t="n"/>
    </row>
    <row r="6">
      <c r="A6" s="526" t="n"/>
      <c r="B6" s="526" t="n"/>
      <c r="C6" s="526" t="n"/>
      <c r="D6" s="526" t="n"/>
      <c r="E6" s="526" t="n"/>
      <c r="F6" s="526" t="n"/>
      <c r="G6" s="526" t="n"/>
      <c r="H6" s="526" t="n"/>
      <c r="I6" s="526" t="n"/>
      <c r="J6" s="526" t="n"/>
      <c r="K6" s="526" t="n"/>
      <c r="L6" s="526" t="n"/>
      <c r="M6" s="1119" t="n"/>
      <c r="N6" s="1119" t="n"/>
      <c r="O6" s="1119" t="n"/>
      <c r="P6" s="1119" t="n"/>
      <c r="Q6" s="1119" t="n"/>
      <c r="S6" s="1119" t="n"/>
      <c r="T6" s="380" t="n"/>
      <c r="U6" s="380" t="n"/>
      <c r="V6" s="380" t="n"/>
      <c r="W6" s="380" t="n"/>
      <c r="X6" s="380" t="n"/>
      <c r="Y6" s="380" t="n"/>
      <c r="Z6" s="380" t="n"/>
      <c r="AA6" s="380" t="n"/>
      <c r="AB6" s="380" t="n"/>
      <c r="AC6" s="380" t="n"/>
      <c r="AD6" s="380" t="n"/>
      <c r="AE6" s="380" t="n"/>
      <c r="AF6" s="380" t="n"/>
      <c r="AG6" s="380" t="n"/>
      <c r="AH6" s="380" t="n"/>
      <c r="AI6" s="380" t="n"/>
      <c r="AJ6" s="380" t="n"/>
      <c r="AK6" s="380" t="n"/>
      <c r="AL6" s="380" t="n"/>
      <c r="AM6" s="380" t="n"/>
      <c r="AN6" s="380" t="n"/>
      <c r="AO6" s="1119" t="n"/>
      <c r="AP6" s="1119" t="n"/>
      <c r="AQ6" s="527" t="n"/>
      <c r="AR6" s="527" t="n"/>
      <c r="AS6" s="527" t="n"/>
      <c r="AT6" s="527" t="n"/>
      <c r="AU6" s="527" t="n"/>
      <c r="AV6" s="527" t="n"/>
      <c r="AW6" s="527" t="n"/>
      <c r="AX6" s="527" t="n"/>
      <c r="AY6" s="527" t="n"/>
      <c r="AZ6" s="527" t="n"/>
      <c r="BA6" s="527" t="n"/>
      <c r="BB6" s="527" t="n"/>
      <c r="BC6" s="527" t="n"/>
      <c r="BD6" s="527" t="n"/>
      <c r="BE6" s="527" t="n"/>
    </row>
    <row r="7">
      <c r="A7" s="526" t="n"/>
      <c r="B7" s="526" t="n"/>
      <c r="C7" s="526" t="n"/>
      <c r="D7" s="526" t="n"/>
      <c r="E7" s="526" t="n"/>
      <c r="F7" s="526" t="n"/>
      <c r="G7" s="526" t="n"/>
      <c r="H7" s="526" t="n"/>
      <c r="I7" s="526" t="n"/>
      <c r="J7" s="526" t="n"/>
      <c r="K7" s="526" t="n"/>
      <c r="L7" s="526" t="n"/>
      <c r="M7" s="1119" t="n"/>
      <c r="N7" s="1119" t="n"/>
      <c r="O7" s="1119" t="n"/>
      <c r="P7" s="1119" t="n"/>
      <c r="Q7" s="1119" t="n"/>
      <c r="S7" s="1119" t="n"/>
      <c r="T7" s="380" t="n"/>
      <c r="U7" s="380" t="n"/>
      <c r="V7" s="380" t="n"/>
      <c r="W7" s="380" t="n"/>
      <c r="X7" s="380" t="n"/>
      <c r="Y7" s="380" t="n"/>
      <c r="Z7" s="380" t="n"/>
      <c r="AA7" s="380" t="n"/>
      <c r="AB7" s="380" t="n"/>
      <c r="AC7" s="380" t="n"/>
      <c r="AD7" s="380" t="n"/>
      <c r="AE7" s="380" t="n"/>
      <c r="AF7" s="380" t="n"/>
      <c r="AG7" s="380" t="n"/>
      <c r="AH7" s="380" t="n"/>
      <c r="AI7" s="380" t="n"/>
      <c r="AJ7" s="380" t="n"/>
      <c r="AK7" s="380" t="n"/>
      <c r="AL7" s="380" t="n"/>
      <c r="AM7" s="380" t="n"/>
      <c r="AN7" s="380" t="n"/>
      <c r="AO7" s="1119" t="n"/>
      <c r="AP7" s="1119" t="n"/>
      <c r="AQ7" s="527" t="n"/>
      <c r="AR7" s="527" t="n"/>
      <c r="AS7" s="527" t="n"/>
      <c r="AT7" s="527" t="n"/>
      <c r="AU7" s="527" t="n"/>
      <c r="AV7" s="527" t="n"/>
      <c r="AW7" s="527" t="n"/>
      <c r="AX7" s="527" t="n"/>
      <c r="AY7" s="527" t="n"/>
      <c r="AZ7" s="527" t="n"/>
      <c r="BA7" s="527" t="n"/>
      <c r="BB7" s="527" t="n"/>
      <c r="BC7" s="527" t="n"/>
      <c r="BD7" s="527" t="n"/>
      <c r="BE7" s="527" t="n"/>
    </row>
    <row r="8">
      <c r="A8" s="526" t="n"/>
      <c r="B8" s="526" t="n"/>
      <c r="C8" s="526" t="n"/>
      <c r="D8" s="526" t="n"/>
      <c r="E8" s="526" t="n"/>
      <c r="F8" s="526" t="n"/>
      <c r="G8" s="526" t="n"/>
      <c r="H8" s="526" t="n"/>
      <c r="I8" s="526" t="n"/>
      <c r="J8" s="526" t="n"/>
      <c r="K8" s="526" t="n"/>
      <c r="L8" s="526" t="n"/>
      <c r="M8" s="1119" t="n"/>
      <c r="N8" s="1119" t="n"/>
      <c r="O8" s="1119" t="n"/>
      <c r="P8" s="1119" t="n"/>
      <c r="Q8" s="1119" t="n"/>
      <c r="S8" s="1119" t="n"/>
      <c r="T8" s="380" t="n"/>
      <c r="U8" s="380" t="n"/>
      <c r="V8" s="380" t="n"/>
      <c r="W8" s="380" t="n"/>
      <c r="X8" s="380" t="n"/>
      <c r="Y8" s="380" t="n"/>
      <c r="Z8" s="380" t="n"/>
      <c r="AA8" s="380" t="n"/>
      <c r="AB8" s="380" t="n"/>
      <c r="AC8" s="380" t="n"/>
      <c r="AD8" s="380" t="n"/>
      <c r="AE8" s="380" t="n"/>
      <c r="AF8" s="380" t="n"/>
      <c r="AG8" s="380" t="n"/>
      <c r="AH8" s="380" t="n"/>
      <c r="AI8" s="380" t="n"/>
      <c r="AJ8" s="380" t="n"/>
      <c r="AK8" s="380" t="n"/>
      <c r="AL8" s="380" t="n"/>
      <c r="AM8" s="380" t="n"/>
      <c r="AN8" s="380" t="n"/>
      <c r="AO8" s="1119" t="n"/>
      <c r="AP8" s="1119" t="n"/>
      <c r="AQ8" s="527" t="n"/>
      <c r="AR8" s="527" t="n"/>
      <c r="AS8" s="527" t="n"/>
      <c r="AT8" s="527" t="n"/>
      <c r="AU8" s="527" t="n"/>
      <c r="AV8" s="527" t="n"/>
      <c r="AW8" s="527" t="n"/>
      <c r="AX8" s="527" t="n"/>
      <c r="AY8" s="527" t="n"/>
      <c r="AZ8" s="527" t="n"/>
      <c r="BA8" s="527" t="n"/>
      <c r="BB8" s="527" t="n"/>
      <c r="BC8" s="527" t="n"/>
      <c r="BD8" s="527" t="n"/>
      <c r="BE8" s="527" t="n"/>
    </row>
    <row r="9">
      <c r="A9" s="526" t="n"/>
      <c r="B9" s="526" t="n"/>
      <c r="C9" s="526" t="n"/>
      <c r="D9" s="526" t="n"/>
      <c r="E9" s="526" t="n"/>
      <c r="F9" s="526" t="n"/>
      <c r="G9" s="526" t="n"/>
      <c r="H9" s="526" t="n"/>
      <c r="I9" s="526" t="n"/>
      <c r="J9" s="526" t="n"/>
      <c r="K9" s="526" t="n"/>
      <c r="L9" s="526" t="n"/>
      <c r="M9" s="1119" t="n"/>
      <c r="N9" s="1119" t="n"/>
      <c r="O9" s="1119" t="n"/>
      <c r="P9" s="1119" t="n"/>
      <c r="Q9" s="1119" t="n"/>
      <c r="S9" s="1119" t="n"/>
      <c r="T9" s="380" t="n"/>
      <c r="U9" s="380" t="n"/>
      <c r="V9" s="380" t="n"/>
      <c r="W9" s="380" t="n"/>
      <c r="X9" s="380" t="n"/>
      <c r="Y9" s="380" t="n"/>
      <c r="Z9" s="380" t="n"/>
      <c r="AA9" s="380" t="n"/>
      <c r="AB9" s="380" t="n"/>
      <c r="AC9" s="380" t="n"/>
      <c r="AD9" s="380" t="n"/>
      <c r="AE9" s="380" t="n"/>
      <c r="AF9" s="380" t="n"/>
      <c r="AG9" s="380" t="n"/>
      <c r="AH9" s="380" t="n"/>
      <c r="AI9" s="380" t="n"/>
      <c r="AJ9" s="380" t="n"/>
      <c r="AK9" s="380" t="n"/>
      <c r="AL9" s="380" t="n"/>
      <c r="AM9" s="380" t="n"/>
      <c r="AN9" s="380" t="n"/>
      <c r="AO9" s="1119" t="n"/>
      <c r="AP9" s="1119" t="n"/>
      <c r="AQ9" s="527" t="n"/>
      <c r="AR9" s="527" t="n"/>
      <c r="AS9" s="527" t="n"/>
      <c r="AT9" s="527" t="n"/>
      <c r="AU9" s="527" t="n"/>
      <c r="AV9" s="527" t="n"/>
      <c r="AW9" s="527" t="n"/>
      <c r="AX9" s="527" t="n"/>
      <c r="AY9" s="527" t="n"/>
      <c r="AZ9" s="527" t="n"/>
      <c r="BA9" s="527" t="n"/>
      <c r="BB9" s="527" t="n"/>
      <c r="BC9" s="527" t="n"/>
      <c r="BD9" s="527" t="n"/>
      <c r="BE9" s="527" t="n"/>
    </row>
    <row r="10">
      <c r="A10" s="526" t="n"/>
      <c r="B10" s="526" t="n"/>
      <c r="C10" s="526" t="n"/>
      <c r="D10" s="526" t="n"/>
      <c r="E10" s="526" t="n"/>
      <c r="F10" s="526" t="n"/>
      <c r="G10" s="526" t="n"/>
      <c r="H10" s="526" t="n"/>
      <c r="I10" s="526" t="n"/>
      <c r="J10" s="526" t="n"/>
      <c r="K10" s="526" t="n"/>
      <c r="L10" s="526" t="n"/>
      <c r="M10" s="1119" t="n"/>
      <c r="N10" s="1119" t="n"/>
      <c r="O10" s="1119" t="n"/>
      <c r="P10" s="1119" t="n"/>
      <c r="Q10" s="1119" t="n"/>
      <c r="S10" s="1119" t="n"/>
      <c r="T10" s="380" t="n"/>
      <c r="U10" s="380" t="n"/>
      <c r="V10" s="380" t="n"/>
      <c r="W10" s="380" t="n"/>
      <c r="X10" s="380" t="n"/>
      <c r="Y10" s="380" t="n"/>
      <c r="Z10" s="380" t="n"/>
      <c r="AA10" s="380" t="n"/>
      <c r="AB10" s="380" t="n"/>
      <c r="AC10" s="380" t="n"/>
      <c r="AD10" s="380" t="n"/>
      <c r="AE10" s="380" t="n"/>
      <c r="AF10" s="380" t="n"/>
      <c r="AG10" s="380" t="n"/>
      <c r="AH10" s="380" t="n"/>
      <c r="AI10" s="380" t="n"/>
      <c r="AJ10" s="380" t="n"/>
      <c r="AK10" s="380" t="n"/>
      <c r="AL10" s="380" t="n"/>
      <c r="AM10" s="380" t="n"/>
      <c r="AN10" s="380" t="n"/>
      <c r="AO10" s="1119" t="n"/>
      <c r="AP10" s="1119" t="n"/>
      <c r="AQ10" s="527" t="n"/>
      <c r="AR10" s="527" t="n"/>
      <c r="AS10" s="527" t="n"/>
      <c r="AT10" s="527" t="n"/>
      <c r="AU10" s="527" t="n"/>
      <c r="AV10" s="527" t="n"/>
      <c r="AW10" s="527" t="n"/>
      <c r="AX10" s="527" t="n"/>
      <c r="AY10" s="527" t="n"/>
      <c r="AZ10" s="527" t="n"/>
      <c r="BA10" s="527" t="n"/>
      <c r="BB10" s="527" t="n"/>
      <c r="BC10" s="527" t="n"/>
      <c r="BD10" s="527" t="n"/>
      <c r="BE10" s="527" t="n"/>
    </row>
    <row r="11">
      <c r="A11" s="526" t="n"/>
      <c r="B11" s="526" t="n"/>
      <c r="C11" s="526" t="n"/>
      <c r="D11" s="526" t="n"/>
      <c r="E11" s="526" t="n"/>
      <c r="F11" s="526" t="n"/>
      <c r="G11" s="526" t="n"/>
      <c r="H11" s="526" t="n"/>
      <c r="I11" s="526" t="n"/>
      <c r="J11" s="526" t="n"/>
      <c r="K11" s="526" t="n"/>
      <c r="L11" s="526" t="n"/>
      <c r="M11" s="1119" t="n"/>
      <c r="N11" s="1119" t="n"/>
      <c r="O11" s="1119" t="n"/>
      <c r="P11" s="1119" t="n"/>
      <c r="Q11" s="1119" t="n"/>
      <c r="S11" s="1119" t="n"/>
      <c r="T11" s="380" t="n"/>
      <c r="U11" s="380" t="n"/>
      <c r="V11" s="380" t="n"/>
      <c r="W11" s="380" t="n"/>
      <c r="X11" s="380" t="n"/>
      <c r="Y11" s="380" t="n"/>
      <c r="Z11" s="380" t="n"/>
      <c r="AA11" s="380" t="n"/>
      <c r="AB11" s="380" t="n"/>
      <c r="AC11" s="380" t="n"/>
      <c r="AD11" s="380" t="n"/>
      <c r="AE11" s="380" t="n"/>
      <c r="AF11" s="380" t="n"/>
      <c r="AG11" s="380" t="n"/>
      <c r="AH11" s="380" t="n"/>
      <c r="AI11" s="380" t="n"/>
      <c r="AJ11" s="380" t="n"/>
      <c r="AK11" s="380" t="n"/>
      <c r="AL11" s="380" t="n"/>
      <c r="AM11" s="380" t="n"/>
      <c r="AN11" s="380" t="n"/>
      <c r="AO11" s="1119" t="n"/>
      <c r="AP11" s="1119" t="n"/>
      <c r="AQ11" s="527" t="n"/>
      <c r="AR11" s="527" t="n"/>
      <c r="AS11" s="527" t="n"/>
      <c r="AT11" s="527" t="n"/>
      <c r="AU11" s="527" t="n"/>
      <c r="AV11" s="527" t="n"/>
      <c r="AW11" s="527" t="n"/>
      <c r="AX11" s="527" t="n"/>
      <c r="AY11" s="527" t="n"/>
      <c r="AZ11" s="527" t="n"/>
      <c r="BA11" s="527" t="n"/>
      <c r="BB11" s="527" t="n"/>
      <c r="BC11" s="527" t="n"/>
      <c r="BD11" s="527" t="n"/>
      <c r="BE11" s="527" t="n"/>
    </row>
    <row r="12">
      <c r="A12" s="526" t="n"/>
      <c r="B12" s="526" t="n"/>
      <c r="C12" s="526" t="n"/>
      <c r="D12" s="526" t="n"/>
      <c r="E12" s="526" t="n"/>
      <c r="F12" s="526" t="n"/>
      <c r="G12" s="526" t="n"/>
      <c r="H12" s="526" t="n"/>
      <c r="I12" s="526" t="n"/>
      <c r="J12" s="526" t="n"/>
      <c r="K12" s="526" t="n"/>
      <c r="L12" s="526" t="n"/>
      <c r="M12" s="1119" t="n"/>
      <c r="N12" s="1119" t="n"/>
      <c r="O12" s="1119" t="n"/>
      <c r="P12" s="1119" t="n"/>
      <c r="Q12" s="1119" t="n"/>
      <c r="S12" s="1119" t="n"/>
      <c r="T12" s="380" t="n"/>
      <c r="U12" s="380" t="n"/>
      <c r="V12" s="380" t="n"/>
      <c r="W12" s="380" t="n"/>
      <c r="X12" s="380" t="n"/>
      <c r="Y12" s="380" t="n"/>
      <c r="Z12" s="380" t="n"/>
      <c r="AA12" s="380" t="n"/>
      <c r="AB12" s="380" t="n"/>
      <c r="AC12" s="380" t="n"/>
      <c r="AD12" s="380" t="n"/>
      <c r="AE12" s="380" t="n"/>
      <c r="AF12" s="380" t="n"/>
      <c r="AG12" s="380" t="n"/>
      <c r="AH12" s="380" t="n"/>
      <c r="AI12" s="380" t="n"/>
      <c r="AJ12" s="380" t="n"/>
      <c r="AK12" s="380" t="n"/>
      <c r="AL12" s="380" t="n"/>
      <c r="AM12" s="380" t="n"/>
      <c r="AN12" s="380" t="n"/>
      <c r="AO12" s="1119" t="n"/>
      <c r="AP12" s="1119" t="n"/>
      <c r="AQ12" s="527" t="n"/>
      <c r="AR12" s="527" t="n"/>
      <c r="AS12" s="527" t="n"/>
      <c r="AT12" s="527" t="n"/>
      <c r="AU12" s="527" t="n"/>
      <c r="AV12" s="527" t="n"/>
      <c r="AW12" s="527" t="n"/>
      <c r="AX12" s="527" t="n"/>
      <c r="AY12" s="527" t="n"/>
      <c r="AZ12" s="527" t="n"/>
      <c r="BA12" s="527" t="n"/>
      <c r="BB12" s="527" t="n"/>
      <c r="BC12" s="527" t="n"/>
      <c r="BD12" s="527" t="n"/>
      <c r="BE12" s="527" t="n"/>
    </row>
    <row r="13">
      <c r="A13" s="526" t="n"/>
      <c r="B13" s="526" t="n"/>
      <c r="C13" s="526" t="n"/>
      <c r="D13" s="526" t="n"/>
      <c r="E13" s="526" t="n"/>
      <c r="F13" s="526" t="n"/>
      <c r="G13" s="526" t="n"/>
      <c r="H13" s="526" t="n"/>
      <c r="I13" s="526" t="n"/>
      <c r="J13" s="526" t="n"/>
      <c r="K13" s="526" t="n"/>
      <c r="L13" s="526" t="n"/>
      <c r="M13" s="1119" t="n"/>
      <c r="N13" s="1119" t="n"/>
      <c r="O13" s="1119" t="n"/>
      <c r="P13" s="1119" t="n"/>
      <c r="Q13" s="1119" t="n"/>
      <c r="S13" s="1119" t="n"/>
      <c r="T13" s="380" t="n"/>
      <c r="U13" s="380" t="n"/>
      <c r="V13" s="380" t="n"/>
      <c r="W13" s="380" t="n"/>
      <c r="X13" s="380" t="n"/>
      <c r="Y13" s="380" t="n"/>
      <c r="Z13" s="380" t="n"/>
      <c r="AA13" s="380" t="n"/>
      <c r="AB13" s="380" t="n"/>
      <c r="AC13" s="380" t="n"/>
      <c r="AD13" s="380" t="n"/>
      <c r="AE13" s="380" t="n"/>
      <c r="AF13" s="380" t="n"/>
      <c r="AG13" s="380" t="n"/>
      <c r="AH13" s="380" t="n"/>
      <c r="AI13" s="380" t="n"/>
      <c r="AJ13" s="380" t="n"/>
      <c r="AK13" s="380" t="n"/>
      <c r="AL13" s="380" t="n"/>
      <c r="AM13" s="380" t="n"/>
      <c r="AN13" s="380" t="n"/>
      <c r="AO13" s="1119" t="n"/>
      <c r="AP13" s="1119" t="n"/>
      <c r="AQ13" s="527" t="n"/>
      <c r="AR13" s="527" t="n"/>
      <c r="AS13" s="527" t="n"/>
      <c r="AT13" s="527" t="n"/>
      <c r="AU13" s="527" t="n"/>
      <c r="AV13" s="527" t="n"/>
      <c r="AW13" s="527" t="n"/>
      <c r="AX13" s="527" t="n"/>
      <c r="AY13" s="527" t="n"/>
      <c r="AZ13" s="527" t="n"/>
      <c r="BA13" s="527" t="n"/>
      <c r="BB13" s="527" t="n"/>
      <c r="BC13" s="527" t="n"/>
      <c r="BD13" s="527" t="n"/>
      <c r="BE13" s="527" t="n"/>
      <c r="BF13" s="527" t="n"/>
      <c r="BG13" s="527" t="n"/>
      <c r="BH13" s="527" t="n"/>
      <c r="BI13" s="527" t="n"/>
      <c r="BJ13" s="527" t="n"/>
      <c r="BK13" s="527" t="n"/>
      <c r="BL13" s="527" t="n"/>
      <c r="BM13" s="527" t="n"/>
      <c r="BN13" s="527" t="n"/>
      <c r="BO13" s="527" t="n"/>
      <c r="BP13" s="527" t="n"/>
      <c r="BQ13" s="527" t="n"/>
      <c r="BR13" s="527" t="n"/>
    </row>
    <row r="14">
      <c r="A14" s="526" t="n"/>
      <c r="B14" s="526" t="n"/>
      <c r="C14" s="526" t="n"/>
      <c r="D14" s="526" t="n"/>
      <c r="E14" s="526" t="n"/>
      <c r="F14" s="526" t="n"/>
      <c r="G14" s="526" t="n"/>
      <c r="H14" s="526" t="n"/>
      <c r="I14" s="526" t="n"/>
      <c r="J14" s="526" t="n"/>
      <c r="K14" s="526" t="n"/>
      <c r="L14" s="526" t="n"/>
      <c r="M14" s="1119" t="n"/>
      <c r="N14" s="1119" t="n"/>
      <c r="O14" s="1119" t="n"/>
      <c r="P14" s="1119" t="n"/>
      <c r="Q14" s="1119" t="n"/>
      <c r="S14" s="1119" t="n"/>
      <c r="T14" s="380" t="n"/>
      <c r="U14" s="380" t="n"/>
      <c r="V14" s="380" t="n"/>
      <c r="W14" s="380" t="n"/>
      <c r="X14" s="380" t="n"/>
      <c r="Y14" s="380" t="n"/>
      <c r="Z14" s="380" t="n"/>
      <c r="AA14" s="380" t="n"/>
      <c r="AB14" s="380" t="n"/>
      <c r="AC14" s="380" t="n"/>
      <c r="AD14" s="380" t="n"/>
      <c r="AE14" s="380" t="n"/>
      <c r="AF14" s="380" t="n"/>
      <c r="AG14" s="380" t="n"/>
      <c r="AH14" s="380" t="n"/>
      <c r="AI14" s="380" t="n"/>
      <c r="AJ14" s="380" t="n"/>
      <c r="AK14" s="380" t="n"/>
      <c r="AL14" s="380" t="n"/>
      <c r="AM14" s="380" t="n"/>
      <c r="AN14" s="380" t="n"/>
      <c r="AO14" s="1119" t="n"/>
      <c r="AP14" s="1119" t="n"/>
      <c r="AQ14" s="527" t="n"/>
      <c r="AR14" s="527" t="n"/>
      <c r="AS14" s="527" t="n"/>
      <c r="AT14" s="527" t="n"/>
      <c r="AU14" s="527" t="n"/>
      <c r="AV14" s="527" t="n"/>
      <c r="AW14" s="527" t="n"/>
      <c r="AX14" s="527" t="n"/>
      <c r="AY14" s="527" t="n"/>
      <c r="AZ14" s="527" t="n"/>
      <c r="BA14" s="527" t="n"/>
      <c r="BB14" s="527" t="n"/>
      <c r="BC14" s="527" t="n"/>
      <c r="BD14" s="527" t="n"/>
      <c r="BE14" s="527" t="n"/>
      <c r="BF14" s="527" t="n"/>
      <c r="BG14" s="527" t="n"/>
      <c r="BH14" s="527" t="n"/>
      <c r="BI14" s="527" t="n"/>
      <c r="BJ14" s="527" t="n"/>
      <c r="BK14" s="527" t="n"/>
      <c r="BL14" s="527" t="n"/>
      <c r="BM14" s="527" t="n"/>
      <c r="BN14" s="527" t="n"/>
      <c r="BO14" s="527" t="n"/>
      <c r="BP14" s="527" t="n"/>
      <c r="BQ14" s="527" t="n"/>
      <c r="BR14" s="527" t="n"/>
    </row>
    <row r="15">
      <c r="A15" s="526" t="n"/>
      <c r="B15" s="526" t="n"/>
      <c r="C15" s="526" t="n"/>
      <c r="D15" s="526" t="n"/>
      <c r="E15" s="526" t="n"/>
      <c r="F15" s="537" t="inlineStr">
        <is>
          <t>ASTM A694</t>
        </is>
      </c>
      <c r="G15" s="537" t="n"/>
      <c r="H15" s="526" t="n"/>
      <c r="I15" s="526" t="n"/>
      <c r="J15" s="526" t="n"/>
      <c r="K15" s="526" t="n"/>
      <c r="L15" s="526" t="n"/>
      <c r="M15" s="1119" t="n"/>
      <c r="N15" s="1119" t="n"/>
      <c r="O15" s="1119" t="n"/>
      <c r="P15" s="1119" t="n"/>
      <c r="Q15" s="1119" t="n"/>
      <c r="S15" s="1119" t="n"/>
      <c r="T15" s="380" t="n"/>
      <c r="U15" s="380" t="n"/>
      <c r="V15" s="380" t="n"/>
      <c r="W15" s="380" t="n"/>
      <c r="X15" s="380" t="n"/>
      <c r="Y15" s="380" t="n"/>
      <c r="Z15" s="380" t="n"/>
      <c r="AA15" s="380" t="n"/>
      <c r="AB15" s="380" t="n"/>
      <c r="AC15" s="380" t="n"/>
      <c r="AD15" s="380" t="n"/>
      <c r="AE15" s="380" t="n"/>
      <c r="AF15" s="380" t="n"/>
      <c r="AG15" s="380" t="n"/>
      <c r="AH15" s="380" t="n"/>
      <c r="AI15" s="380" t="n"/>
      <c r="AJ15" s="380" t="n"/>
      <c r="AK15" s="380" t="n"/>
      <c r="AL15" s="380" t="n"/>
      <c r="AM15" s="380" t="n"/>
      <c r="AN15" s="380" t="n"/>
      <c r="AO15" s="1119" t="n"/>
      <c r="AP15" s="1119" t="n"/>
      <c r="AQ15" s="527" t="n"/>
      <c r="AR15" s="527" t="n"/>
      <c r="AS15" s="527" t="n"/>
      <c r="AT15" s="527" t="n"/>
      <c r="AU15" s="527" t="n"/>
      <c r="AV15" s="527" t="n"/>
      <c r="AW15" s="527" t="n"/>
      <c r="AX15" s="527" t="n"/>
      <c r="AY15" s="527" t="n"/>
      <c r="AZ15" s="527" t="n"/>
      <c r="BA15" s="527" t="n"/>
      <c r="BB15" s="527" t="n"/>
      <c r="BC15" s="527" t="n"/>
      <c r="BD15" s="527" t="n"/>
      <c r="BE15" s="527" t="n"/>
      <c r="BF15" s="527" t="n"/>
      <c r="BG15" s="527" t="n"/>
      <c r="BH15" s="527" t="n"/>
      <c r="BI15" s="527" t="n"/>
      <c r="BJ15" s="527" t="n"/>
      <c r="BK15" s="527" t="n"/>
      <c r="BL15" s="527" t="n"/>
      <c r="BM15" s="527" t="n"/>
      <c r="BN15" s="527" t="n"/>
      <c r="BO15" s="527" t="n"/>
      <c r="BP15" s="527" t="n"/>
      <c r="BQ15" s="527" t="n"/>
      <c r="BR15" s="527" t="n"/>
    </row>
    <row r="16">
      <c r="A16" s="526" t="n"/>
      <c r="B16" s="526" t="n"/>
      <c r="C16" s="526" t="n"/>
      <c r="D16" s="526" t="n"/>
      <c r="E16" s="526" t="n"/>
      <c r="F16" s="526" t="inlineStr">
        <is>
          <t>Chemical Requirements</t>
        </is>
      </c>
      <c r="G16" s="526" t="n"/>
      <c r="H16" s="526" t="n"/>
      <c r="I16" s="526" t="n"/>
      <c r="J16" s="526" t="n"/>
      <c r="K16" s="526" t="n"/>
      <c r="L16" s="526" t="n"/>
      <c r="M16" s="1119" t="n"/>
      <c r="N16" s="1119" t="n"/>
      <c r="O16" s="1119" t="n"/>
      <c r="P16" s="1119" t="n"/>
      <c r="Q16" s="1119" t="n"/>
      <c r="S16" s="1119" t="n"/>
      <c r="T16" s="380" t="n"/>
      <c r="U16" s="380" t="n"/>
      <c r="V16" s="380" t="n"/>
      <c r="W16" s="380" t="n"/>
      <c r="X16" s="380" t="n"/>
      <c r="Y16" s="380" t="n"/>
      <c r="Z16" s="380" t="n"/>
      <c r="AA16" s="380" t="n"/>
      <c r="AB16" s="380" t="n"/>
      <c r="AC16" s="380" t="n"/>
      <c r="AD16" s="380" t="n"/>
      <c r="AE16" s="380" t="n"/>
      <c r="AF16" s="380" t="n"/>
      <c r="AG16" s="380" t="n"/>
      <c r="AH16" s="380" t="n"/>
      <c r="AI16" s="380" t="n"/>
      <c r="AJ16" s="380" t="n"/>
      <c r="AK16" s="380" t="n"/>
      <c r="AL16" s="380" t="n"/>
      <c r="AM16" s="380" t="n"/>
      <c r="AN16" s="380" t="n"/>
      <c r="AO16" s="1119" t="n"/>
      <c r="AP16" s="1119" t="n"/>
      <c r="AQ16" s="527" t="n"/>
      <c r="AR16" s="527" t="n"/>
      <c r="AS16" s="527" t="n"/>
      <c r="AT16" s="527" t="n"/>
      <c r="AU16" s="527" t="n"/>
      <c r="AV16" s="527" t="n"/>
      <c r="AW16" s="527" t="n"/>
      <c r="AX16" s="527" t="n"/>
      <c r="AY16" s="527" t="n"/>
      <c r="AZ16" s="527" t="n"/>
      <c r="BA16" s="527" t="n"/>
      <c r="BB16" s="527" t="n"/>
      <c r="BC16" s="527" t="n"/>
      <c r="BD16" s="527" t="n"/>
      <c r="BE16" s="527" t="n"/>
      <c r="BF16" s="527" t="n"/>
      <c r="BG16" s="527" t="n"/>
      <c r="BH16" s="527" t="n"/>
      <c r="BI16" s="527" t="n"/>
      <c r="BJ16" s="527" t="n"/>
      <c r="BK16" s="527" t="n"/>
      <c r="BL16" s="527" t="n"/>
      <c r="BM16" s="527" t="n"/>
      <c r="BN16" s="527" t="n"/>
      <c r="BO16" s="527" t="n"/>
      <c r="BP16" s="527" t="n"/>
      <c r="BQ16" s="527" t="n"/>
      <c r="BR16" s="527" t="n"/>
    </row>
    <row r="17">
      <c r="A17" s="526" t="n"/>
      <c r="B17" s="526" t="n"/>
      <c r="C17" s="526" t="n"/>
      <c r="D17" s="526" t="n"/>
      <c r="E17" s="526" t="n"/>
      <c r="F17" s="473" t="inlineStr">
        <is>
          <t>Composition, %</t>
        </is>
      </c>
      <c r="G17" s="534" t="inlineStr">
        <is>
          <t>Carbon</t>
        </is>
      </c>
      <c r="H17" s="534" t="inlineStr">
        <is>
          <t>Manganese</t>
        </is>
      </c>
      <c r="I17" s="534" t="inlineStr">
        <is>
          <t>Phosphorus</t>
        </is>
      </c>
      <c r="J17" s="534" t="inlineStr">
        <is>
          <t>Sulfur</t>
        </is>
      </c>
      <c r="K17" s="475" t="inlineStr">
        <is>
          <t>Silicon</t>
        </is>
      </c>
      <c r="L17" s="534" t="inlineStr">
        <is>
          <t>Phosphorus2</t>
        </is>
      </c>
      <c r="M17" s="1119" t="n"/>
      <c r="N17" s="1119" t="n"/>
      <c r="O17" s="1119" t="n"/>
      <c r="P17" s="1119" t="n"/>
      <c r="Q17" s="1119" t="n"/>
      <c r="S17" s="1119" t="n"/>
      <c r="T17" s="380" t="n"/>
      <c r="U17" s="380" t="n"/>
      <c r="V17" s="380" t="n"/>
      <c r="W17" s="380" t="n"/>
      <c r="X17" s="380" t="n"/>
      <c r="Y17" s="380" t="n"/>
      <c r="Z17" s="380" t="n"/>
      <c r="AA17" s="380" t="n"/>
      <c r="AB17" s="380" t="n"/>
      <c r="AC17" s="380" t="n"/>
      <c r="AD17" s="380" t="n"/>
      <c r="AE17" s="380" t="n"/>
      <c r="AF17" s="380" t="n"/>
      <c r="AG17" s="380" t="n"/>
      <c r="AH17" s="380" t="n"/>
      <c r="AI17" s="380" t="n"/>
      <c r="AJ17" s="380" t="n"/>
      <c r="AK17" s="380" t="n"/>
      <c r="AL17" s="380" t="n"/>
      <c r="AM17" s="380" t="n"/>
      <c r="AN17" s="380" t="n"/>
      <c r="AO17" s="1119" t="n"/>
      <c r="AP17" s="1119" t="n"/>
      <c r="AQ17" s="527" t="n"/>
      <c r="AR17" s="527" t="n"/>
      <c r="AS17" s="527" t="n"/>
      <c r="AT17" s="527" t="n"/>
      <c r="AU17" s="527" t="n"/>
      <c r="AV17" s="527" t="n"/>
      <c r="AW17" s="527" t="n"/>
      <c r="AX17" s="527" t="n"/>
      <c r="AY17" s="527" t="n"/>
      <c r="AZ17" s="527" t="n"/>
      <c r="BA17" s="527" t="n"/>
      <c r="BB17" s="527" t="n"/>
      <c r="BC17" s="527" t="n"/>
      <c r="BD17" s="527" t="n"/>
      <c r="BE17" s="527" t="n"/>
      <c r="BF17" s="527" t="n"/>
      <c r="BG17" s="527" t="n"/>
      <c r="BH17" s="527" t="n"/>
      <c r="BI17" s="527" t="n"/>
      <c r="BJ17" s="527" t="n"/>
      <c r="BK17" s="527" t="n"/>
      <c r="BL17" s="527" t="n"/>
      <c r="BM17" s="527" t="n"/>
      <c r="BN17" s="527" t="n"/>
      <c r="BO17" s="527" t="n"/>
      <c r="BP17" s="527" t="n"/>
      <c r="BQ17" s="527" t="n"/>
      <c r="BR17" s="527" t="n"/>
    </row>
    <row r="18">
      <c r="A18" s="526" t="n"/>
      <c r="B18" s="526" t="n"/>
      <c r="C18" s="526" t="n"/>
      <c r="D18" s="526" t="n"/>
      <c r="E18" s="526" t="n"/>
      <c r="F18" s="471" t="inlineStr">
        <is>
          <t>Heat Analysis</t>
        </is>
      </c>
      <c r="G18" s="369" t="n">
        <v>0.3</v>
      </c>
      <c r="H18" s="369" t="n">
        <v>1.6</v>
      </c>
      <c r="I18" s="369" t="n">
        <v>0.025</v>
      </c>
      <c r="J18" s="369" t="n">
        <v>0.025</v>
      </c>
      <c r="K18" s="472" t="inlineStr">
        <is>
          <t>0,15-0,35</t>
        </is>
      </c>
      <c r="L18" s="552" t="n">
        <v>0.025</v>
      </c>
      <c r="M18" s="1119" t="n"/>
      <c r="N18" s="1119" t="n"/>
      <c r="O18" s="1119" t="n"/>
      <c r="P18" s="1119" t="n"/>
      <c r="Q18" s="1119" t="n"/>
      <c r="S18" s="1119" t="n"/>
      <c r="T18" s="380" t="n"/>
      <c r="U18" s="380" t="n"/>
      <c r="V18" s="380" t="n"/>
      <c r="W18" s="380" t="n"/>
      <c r="X18" s="380" t="n"/>
      <c r="Y18" s="380" t="n"/>
      <c r="Z18" s="380" t="n"/>
      <c r="AA18" s="380" t="n"/>
      <c r="AB18" s="380" t="n"/>
      <c r="AC18" s="380" t="n"/>
      <c r="AD18" s="380" t="n"/>
      <c r="AE18" s="380" t="n"/>
      <c r="AF18" s="380" t="n"/>
      <c r="AG18" s="380" t="n"/>
      <c r="AH18" s="380" t="n"/>
      <c r="AI18" s="380" t="n"/>
      <c r="AJ18" s="380" t="n"/>
      <c r="AK18" s="380" t="n"/>
      <c r="AL18" s="380" t="n"/>
      <c r="AM18" s="380" t="n"/>
      <c r="AN18" s="380" t="n"/>
      <c r="AO18" s="1119" t="n"/>
      <c r="AP18" s="1119"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7" t="n"/>
      <c r="BK18" s="527" t="n"/>
      <c r="BL18" s="527" t="n"/>
      <c r="BM18" s="527" t="n"/>
      <c r="BN18" s="527" t="n"/>
      <c r="BO18" s="527" t="n"/>
      <c r="BP18" s="527" t="n"/>
      <c r="BQ18" s="527" t="n"/>
      <c r="BR18" s="527" t="n"/>
    </row>
    <row r="19">
      <c r="A19" s="526" t="n"/>
      <c r="B19" s="526" t="n"/>
      <c r="C19" s="526" t="n"/>
      <c r="D19" s="526" t="n"/>
      <c r="E19" s="526" t="n"/>
      <c r="F19" s="476" t="inlineStr">
        <is>
          <t>Product Analysis</t>
        </is>
      </c>
      <c r="G19" s="369" t="n">
        <v>0.3</v>
      </c>
      <c r="H19" s="369" t="n">
        <v>1.6</v>
      </c>
      <c r="I19" s="369" t="n">
        <v>0.025</v>
      </c>
      <c r="J19" s="369" t="n">
        <v>0.025</v>
      </c>
      <c r="K19" s="472" t="inlineStr">
        <is>
          <t>0,15-0,36</t>
        </is>
      </c>
      <c r="L19" s="552" t="n">
        <v>1.025</v>
      </c>
      <c r="M19" s="1119" t="n"/>
      <c r="N19" s="1119" t="n"/>
      <c r="O19" s="1119" t="n"/>
      <c r="P19" s="1119" t="n"/>
      <c r="Q19" s="1119" t="n"/>
      <c r="S19" s="1119" t="n"/>
      <c r="T19" s="380" t="n"/>
      <c r="U19" s="380" t="n"/>
      <c r="V19" s="380" t="n"/>
      <c r="W19" s="380" t="n"/>
      <c r="X19" s="380" t="n"/>
      <c r="Y19" s="380" t="n"/>
      <c r="Z19" s="380" t="n"/>
      <c r="AA19" s="380" t="n"/>
      <c r="AB19" s="380" t="n"/>
      <c r="AC19" s="380" t="n"/>
      <c r="AD19" s="380" t="n"/>
      <c r="AE19" s="380" t="n"/>
      <c r="AF19" s="380" t="n"/>
      <c r="AG19" s="380" t="n"/>
      <c r="AH19" s="380" t="n"/>
      <c r="AI19" s="380" t="n"/>
      <c r="AJ19" s="380" t="n"/>
      <c r="AK19" s="380" t="n"/>
      <c r="AL19" s="380" t="n"/>
      <c r="AM19" s="380" t="n"/>
      <c r="AN19" s="380" t="n"/>
      <c r="AO19" s="1119" t="n"/>
      <c r="AP19" s="1119"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7" t="n"/>
      <c r="BK19" s="527" t="n"/>
      <c r="BL19" s="527" t="n"/>
      <c r="BM19" s="527" t="n"/>
      <c r="BN19" s="527" t="n"/>
      <c r="BO19" s="527" t="n"/>
      <c r="BP19" s="527" t="n"/>
      <c r="BQ19" s="527" t="n"/>
      <c r="BR19" s="527" t="n"/>
    </row>
    <row r="20">
      <c r="A20" s="526" t="n"/>
      <c r="B20" s="526" t="n"/>
      <c r="C20" s="526" t="n"/>
      <c r="D20" s="526" t="n"/>
      <c r="E20" s="526" t="n"/>
      <c r="F20" s="526" t="n"/>
      <c r="G20" s="526" t="n"/>
      <c r="H20" s="526" t="n"/>
      <c r="I20" s="526" t="n"/>
      <c r="J20" s="526" t="n"/>
      <c r="K20" s="526" t="n"/>
      <c r="L20" s="526" t="n"/>
      <c r="M20" s="1119" t="n"/>
      <c r="N20" s="1119" t="n"/>
      <c r="O20" s="1119" t="n"/>
      <c r="P20" s="1119" t="n"/>
      <c r="Q20" s="1119" t="n"/>
      <c r="S20" s="1119" t="n"/>
      <c r="T20" s="380" t="n"/>
      <c r="U20" s="380" t="n"/>
      <c r="V20" s="380" t="n"/>
      <c r="W20" s="380" t="n"/>
      <c r="X20" s="380" t="n"/>
      <c r="Y20" s="380" t="n"/>
      <c r="Z20" s="380" t="n"/>
      <c r="AA20" s="380" t="n"/>
      <c r="AB20" s="380" t="n"/>
      <c r="AC20" s="380" t="n"/>
      <c r="AD20" s="380" t="n"/>
      <c r="AE20" s="380" t="n"/>
      <c r="AF20" s="380" t="n"/>
      <c r="AG20" s="380" t="n"/>
      <c r="AH20" s="380" t="n"/>
      <c r="AI20" s="380" t="n"/>
      <c r="AJ20" s="380" t="n"/>
      <c r="AK20" s="380" t="n"/>
      <c r="AL20" s="380" t="n"/>
      <c r="AM20" s="380" t="n"/>
      <c r="AN20" s="380" t="n"/>
      <c r="AO20" s="1119" t="n"/>
      <c r="AP20" s="1119"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7" t="n"/>
      <c r="BK20" s="527" t="n"/>
      <c r="BL20" s="527" t="n"/>
      <c r="BM20" s="527" t="n"/>
      <c r="BN20" s="527" t="n"/>
      <c r="BO20" s="527" t="n"/>
      <c r="BP20" s="527" t="n"/>
      <c r="BQ20" s="527" t="n"/>
      <c r="BR20" s="527" t="n"/>
    </row>
    <row r="21">
      <c r="A21" s="526" t="n"/>
      <c r="B21" s="1101" t="inlineStr">
        <is>
          <t>ASTM A694</t>
        </is>
      </c>
      <c r="C21" s="754" t="n"/>
      <c r="D21" s="537" t="n"/>
      <c r="E21" s="526" t="n"/>
      <c r="F21" s="526" t="n"/>
      <c r="G21" s="526" t="n"/>
      <c r="H21" s="526" t="n"/>
      <c r="I21" s="526" t="n"/>
      <c r="J21" s="526" t="n"/>
      <c r="K21" s="526" t="n"/>
      <c r="L21" s="526" t="n"/>
      <c r="M21" s="1119" t="n"/>
      <c r="N21" s="1119" t="n"/>
      <c r="O21" s="1119" t="n"/>
      <c r="P21" s="1119" t="n"/>
      <c r="Q21" s="1119" t="n"/>
      <c r="S21" s="1119" t="n"/>
      <c r="T21" s="380" t="n"/>
      <c r="U21" s="380" t="n"/>
      <c r="V21" s="380" t="n"/>
      <c r="W21" s="380" t="n"/>
      <c r="X21" s="380" t="n"/>
      <c r="Y21" s="380" t="n"/>
      <c r="Z21" s="380" t="n"/>
      <c r="AA21" s="380" t="n"/>
      <c r="AB21" s="380" t="n"/>
      <c r="AC21" s="380" t="n"/>
      <c r="AD21" s="380" t="n"/>
      <c r="AE21" s="380" t="n"/>
      <c r="AF21" s="380" t="n"/>
      <c r="AG21" s="380" t="n"/>
      <c r="AH21" s="380" t="n"/>
      <c r="AI21" s="380" t="n"/>
      <c r="AJ21" s="380" t="n"/>
      <c r="AK21" s="380" t="n"/>
      <c r="AL21" s="380" t="n"/>
      <c r="AM21" s="380" t="n"/>
      <c r="AN21" s="380" t="n"/>
      <c r="AO21" s="1119" t="n"/>
      <c r="AP21" s="1119"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7" t="n"/>
      <c r="BK21" s="527" t="n"/>
      <c r="BL21" s="527" t="n"/>
      <c r="BM21" s="527" t="n"/>
      <c r="BN21" s="527" t="n"/>
      <c r="BO21" s="527" t="n"/>
      <c r="BP21" s="527" t="n"/>
      <c r="BQ21" s="527" t="n"/>
      <c r="BR21" s="527" t="n"/>
    </row>
    <row r="22" ht="30" customHeight="1" s="510">
      <c r="A22" s="526" t="n"/>
      <c r="B22" s="464" t="inlineStr">
        <is>
          <t>Grade</t>
        </is>
      </c>
      <c r="C22" s="465" t="inlineStr">
        <is>
          <t xml:space="preserve">Yield Strength (0.2% offset),min, psi </t>
        </is>
      </c>
      <c r="D22" s="465" t="inlineStr">
        <is>
          <t>Yield Strength (0.2% offset),min Mpa</t>
        </is>
      </c>
      <c r="E22" s="93" t="inlineStr">
        <is>
          <t xml:space="preserve">Tensile Strength, min, psi </t>
        </is>
      </c>
      <c r="F22" s="93" t="inlineStr">
        <is>
          <t>Tensile Strength, min MPa</t>
        </is>
      </c>
      <c r="G22" s="466" t="inlineStr">
        <is>
          <t>Elongation in 2 in, or 50 mm, min %</t>
        </is>
      </c>
      <c r="H22" s="526" t="n"/>
      <c r="I22" s="526" t="n"/>
      <c r="J22" s="526" t="n"/>
      <c r="K22" s="526" t="n"/>
      <c r="L22" s="526" t="n"/>
      <c r="M22" s="1119" t="n"/>
      <c r="N22" s="1119" t="n"/>
      <c r="O22" s="1119" t="n"/>
      <c r="P22" s="1119" t="n"/>
      <c r="Q22" s="1119" t="n"/>
      <c r="S22" s="1119" t="n"/>
      <c r="T22" s="380" t="n"/>
      <c r="U22" s="380" t="n"/>
      <c r="V22" s="380" t="n"/>
      <c r="W22" s="380" t="n"/>
      <c r="X22" s="380" t="n"/>
      <c r="Y22" s="380" t="n"/>
      <c r="Z22" s="380" t="n"/>
      <c r="AA22" s="380" t="n"/>
      <c r="AB22" s="380" t="n"/>
      <c r="AC22" s="380" t="n"/>
      <c r="AD22" s="380" t="n"/>
      <c r="AE22" s="380" t="n"/>
      <c r="AF22" s="380" t="n"/>
      <c r="AG22" s="380" t="n"/>
      <c r="AH22" s="380" t="n"/>
      <c r="AI22" s="380" t="n"/>
      <c r="AJ22" s="380" t="n"/>
      <c r="AK22" s="380" t="n"/>
      <c r="AL22" s="380" t="n"/>
      <c r="AM22" s="380" t="n"/>
      <c r="AN22" s="380" t="n"/>
      <c r="AO22" s="1119" t="n"/>
      <c r="AP22" s="1119" t="n"/>
      <c r="AQ22" s="527" t="n"/>
      <c r="AR22" s="527" t="n"/>
      <c r="AS22" s="527" t="n"/>
      <c r="AT22" s="527" t="n"/>
      <c r="AU22" s="527" t="n"/>
      <c r="AV22" s="527" t="n"/>
      <c r="AW22" s="527" t="n"/>
      <c r="AX22" s="527" t="n"/>
      <c r="AY22" s="527" t="n"/>
      <c r="AZ22" s="527" t="n"/>
      <c r="BA22" s="527" t="n"/>
      <c r="BB22" s="527" t="n"/>
      <c r="BC22" s="527" t="n"/>
      <c r="BD22" s="527" t="n"/>
      <c r="BE22" s="527" t="inlineStr">
        <is>
          <t>ASTM A350 Chemical Requirements</t>
        </is>
      </c>
      <c r="BF22" s="527" t="n"/>
      <c r="BG22" s="527" t="n"/>
      <c r="BH22" s="527" t="n"/>
      <c r="BI22" s="527" t="n"/>
      <c r="BJ22" s="527" t="n"/>
      <c r="BK22" s="527" t="n"/>
      <c r="BL22" s="527" t="n"/>
      <c r="BM22" s="527" t="n"/>
      <c r="BN22" s="527" t="n"/>
      <c r="BO22" s="527" t="n"/>
      <c r="BP22" s="527" t="n"/>
      <c r="BQ22" s="527" t="n"/>
      <c r="BR22" s="527" t="n"/>
    </row>
    <row r="23">
      <c r="A23" s="526" t="n"/>
      <c r="B23" s="471" t="inlineStr">
        <is>
          <t>F42</t>
        </is>
      </c>
      <c r="C23" s="84" t="n">
        <v>42000</v>
      </c>
      <c r="D23" s="84" t="n">
        <v>290</v>
      </c>
      <c r="E23" s="369" t="n">
        <v>60000</v>
      </c>
      <c r="F23" s="369" t="n">
        <v>415</v>
      </c>
      <c r="G23" s="463" t="n">
        <v>20</v>
      </c>
      <c r="H23" s="526" t="n"/>
      <c r="I23" s="526" t="n"/>
      <c r="J23" s="526" t="n"/>
      <c r="K23" s="526" t="n"/>
      <c r="L23" s="526" t="n"/>
      <c r="M23" s="1119" t="n"/>
      <c r="N23" s="1119" t="n"/>
      <c r="O23" s="1119" t="n"/>
      <c r="P23" s="1119" t="n"/>
      <c r="Q23" s="1119" t="n"/>
      <c r="S23" s="1119" t="n"/>
      <c r="T23" s="380" t="n"/>
      <c r="U23" s="380" t="n"/>
      <c r="V23" s="380" t="n"/>
      <c r="W23" s="380" t="n"/>
      <c r="X23" s="380" t="n"/>
      <c r="Y23" s="380" t="n"/>
      <c r="Z23" s="380" t="n"/>
      <c r="AA23" s="380" t="n"/>
      <c r="AB23" s="380" t="n"/>
      <c r="AC23" s="380" t="n"/>
      <c r="AD23" s="380" t="n"/>
      <c r="AE23" s="380" t="n"/>
      <c r="AF23" s="380" t="n"/>
      <c r="AG23" s="380" t="n"/>
      <c r="AH23" s="380" t="n"/>
      <c r="AI23" s="380" t="n"/>
      <c r="AJ23" s="380" t="n"/>
      <c r="AK23" s="380" t="n"/>
      <c r="AL23" s="380" t="n"/>
      <c r="AM23" s="380" t="n"/>
      <c r="AN23" s="380" t="n"/>
      <c r="AO23" s="1119" t="n"/>
      <c r="AP23" s="1119" t="n"/>
      <c r="AQ23" s="527" t="n"/>
      <c r="AR23" s="527" t="n"/>
      <c r="AS23" s="527" t="n"/>
      <c r="AT23" s="527" t="n"/>
      <c r="AU23" s="527" t="n"/>
      <c r="AV23" s="527" t="n"/>
      <c r="AW23" s="527" t="n"/>
      <c r="AX23" s="527" t="n"/>
      <c r="AY23" s="527" t="n"/>
      <c r="AZ23" s="527" t="n"/>
      <c r="BA23" s="527" t="n"/>
      <c r="BB23" s="527" t="n"/>
      <c r="BC23" s="527" t="n"/>
      <c r="BD23" s="527" t="n"/>
      <c r="BE23" s="396" t="inlineStr">
        <is>
          <t>Sütun1</t>
        </is>
      </c>
      <c r="BF23" s="1118" t="inlineStr">
        <is>
          <t>Carbon</t>
        </is>
      </c>
      <c r="BG23" s="1118" t="inlineStr">
        <is>
          <t>Manganese</t>
        </is>
      </c>
      <c r="BH23" s="1118" t="inlineStr">
        <is>
          <t>Phosphorus</t>
        </is>
      </c>
      <c r="BI23" s="1118" t="inlineStr">
        <is>
          <t>Sulfur</t>
        </is>
      </c>
      <c r="BJ23" s="1118" t="inlineStr">
        <is>
          <t>Silicon</t>
        </is>
      </c>
      <c r="BK23" s="1118" t="inlineStr">
        <is>
          <t>Nickel</t>
        </is>
      </c>
      <c r="BL23" s="1118" t="inlineStr">
        <is>
          <t>Chromium</t>
        </is>
      </c>
      <c r="BM23" s="1118" t="inlineStr">
        <is>
          <t>Molybdenum</t>
        </is>
      </c>
      <c r="BN23" s="1118" t="inlineStr">
        <is>
          <t>Copper</t>
        </is>
      </c>
      <c r="BO23" s="1118" t="inlineStr">
        <is>
          <t>Columbium</t>
        </is>
      </c>
      <c r="BP23" s="1118" t="inlineStr">
        <is>
          <t>Vanadium</t>
        </is>
      </c>
      <c r="BQ23" s="397" t="inlineStr">
        <is>
          <t>Nitrogen</t>
        </is>
      </c>
      <c r="BR23" s="527" t="n"/>
    </row>
    <row r="24">
      <c r="A24" s="526" t="n"/>
      <c r="B24" s="471" t="inlineStr">
        <is>
          <t>F46</t>
        </is>
      </c>
      <c r="C24" s="84" t="n">
        <v>46000</v>
      </c>
      <c r="D24" s="84" t="n">
        <v>315</v>
      </c>
      <c r="E24" s="369" t="n">
        <v>60000</v>
      </c>
      <c r="F24" s="369" t="n">
        <v>415</v>
      </c>
      <c r="G24" s="463" t="n">
        <v>20</v>
      </c>
      <c r="H24" s="526" t="n"/>
      <c r="I24" s="526" t="n"/>
      <c r="J24" s="526" t="n"/>
      <c r="K24" s="526" t="n"/>
      <c r="L24" s="526" t="n"/>
      <c r="M24" s="1119" t="n"/>
      <c r="N24" s="1119" t="n"/>
      <c r="O24" s="1119" t="n"/>
      <c r="P24" s="1119" t="n"/>
      <c r="Q24" s="1119" t="n"/>
      <c r="S24" s="1119" t="n"/>
      <c r="T24" s="380" t="n"/>
      <c r="U24" s="380" t="n"/>
      <c r="V24" s="380" t="n"/>
      <c r="W24" s="380" t="n"/>
      <c r="X24" s="380" t="n"/>
      <c r="Y24" s="380" t="n"/>
      <c r="Z24" s="380" t="n"/>
      <c r="AA24" s="380" t="n"/>
      <c r="AB24" s="380" t="n"/>
      <c r="AC24" s="380" t="n"/>
      <c r="AD24" s="380" t="n"/>
      <c r="AE24" s="380" t="n"/>
      <c r="AF24" s="380" t="n"/>
      <c r="AG24" s="380" t="n"/>
      <c r="AH24" s="380" t="n"/>
      <c r="AI24" s="380" t="n"/>
      <c r="AJ24" s="380" t="n"/>
      <c r="AK24" s="380" t="n"/>
      <c r="AL24" s="380" t="n"/>
      <c r="AM24" s="380" t="n"/>
      <c r="AN24" s="380" t="n"/>
      <c r="AO24" s="1119" t="n"/>
      <c r="AP24" s="1119" t="n"/>
      <c r="AQ24" s="527" t="n"/>
      <c r="AR24" s="527" t="n"/>
      <c r="AS24" s="527" t="n"/>
      <c r="AT24" s="527" t="n"/>
      <c r="AU24" s="527" t="n"/>
      <c r="AV24" s="527" t="n"/>
      <c r="AW24" s="527" t="n"/>
      <c r="AX24" s="527" t="n"/>
      <c r="AY24" s="527" t="n"/>
      <c r="AZ24" s="527" t="n"/>
      <c r="BA24" s="527" t="n"/>
      <c r="BB24" s="527" t="n"/>
      <c r="BC24" s="527" t="n"/>
      <c r="BD24" s="527" t="n"/>
      <c r="BE24" s="403" t="inlineStr">
        <is>
          <t>Grade LF1</t>
        </is>
      </c>
      <c r="BF24" s="1113" t="inlineStr">
        <is>
          <t>0.30</t>
        </is>
      </c>
      <c r="BG24" s="1113" t="inlineStr">
        <is>
          <t>0.60-1.35</t>
        </is>
      </c>
      <c r="BH24" s="1113" t="inlineStr">
        <is>
          <t>0.035</t>
        </is>
      </c>
      <c r="BI24" s="1113" t="inlineStr">
        <is>
          <t>0.040</t>
        </is>
      </c>
      <c r="BJ24" s="1113" t="inlineStr">
        <is>
          <t>0.2-0.30</t>
        </is>
      </c>
      <c r="BK24" s="1113" t="inlineStr">
        <is>
          <t>0.40</t>
        </is>
      </c>
      <c r="BL24" s="1113" t="inlineStr">
        <is>
          <t>0.30</t>
        </is>
      </c>
      <c r="BM24" s="1113" t="inlineStr">
        <is>
          <t>0.12</t>
        </is>
      </c>
      <c r="BN24" s="1113" t="inlineStr">
        <is>
          <t>0.40</t>
        </is>
      </c>
      <c r="BO24" s="1113" t="inlineStr">
        <is>
          <t>0.02</t>
        </is>
      </c>
      <c r="BP24" s="1113" t="inlineStr">
        <is>
          <t>0.05</t>
        </is>
      </c>
      <c r="BQ24" s="395" t="n"/>
      <c r="BR24" s="527" t="n"/>
    </row>
    <row r="25">
      <c r="A25" s="526" t="n"/>
      <c r="B25" s="471" t="inlineStr">
        <is>
          <t>F48</t>
        </is>
      </c>
      <c r="C25" s="84" t="n">
        <v>48000</v>
      </c>
      <c r="D25" s="84" t="n">
        <v>330</v>
      </c>
      <c r="E25" s="369" t="n">
        <v>62000</v>
      </c>
      <c r="F25" s="369" t="n">
        <v>420</v>
      </c>
      <c r="G25" s="463" t="n">
        <v>20</v>
      </c>
      <c r="H25" s="526" t="n"/>
      <c r="I25" s="526" t="n"/>
      <c r="J25" s="526" t="n"/>
      <c r="K25" s="526" t="n"/>
      <c r="L25" s="526" t="n"/>
      <c r="M25" s="1119" t="n"/>
      <c r="N25" s="1119" t="n"/>
      <c r="O25" s="1119" t="n"/>
      <c r="P25" s="1119" t="n"/>
      <c r="Q25" s="1119" t="n"/>
      <c r="S25" s="1119" t="n"/>
      <c r="T25" s="380" t="n"/>
      <c r="U25" s="380" t="n"/>
      <c r="V25" s="380" t="n"/>
      <c r="W25" s="380" t="n"/>
      <c r="X25" s="380" t="n"/>
      <c r="Y25" s="380" t="n"/>
      <c r="Z25" s="380" t="n"/>
      <c r="AA25" s="380" t="n"/>
      <c r="AB25" s="380" t="n"/>
      <c r="AC25" s="380" t="n"/>
      <c r="AD25" s="380" t="n"/>
      <c r="AE25" s="380" t="n"/>
      <c r="AF25" s="380" t="n"/>
      <c r="AG25" s="380" t="n"/>
      <c r="AH25" s="380" t="n"/>
      <c r="AI25" s="380" t="n"/>
      <c r="AJ25" s="380" t="n"/>
      <c r="AK25" s="380" t="n"/>
      <c r="AL25" s="380" t="n"/>
      <c r="AM25" s="380" t="n"/>
      <c r="AN25" s="380" t="n"/>
      <c r="AO25" s="1119" t="n"/>
      <c r="AP25" s="1119" t="n"/>
      <c r="AQ25" s="527" t="n"/>
      <c r="AR25" s="527" t="n"/>
      <c r="AS25" s="527" t="n"/>
      <c r="AT25" s="527" t="n"/>
      <c r="AU25" s="527" t="n"/>
      <c r="AV25" s="527" t="n"/>
      <c r="AW25" s="527" t="n"/>
      <c r="AX25" s="527" t="n"/>
      <c r="AY25" s="527" t="n"/>
      <c r="AZ25" s="527" t="n"/>
      <c r="BA25" s="527" t="n"/>
      <c r="BB25" s="527" t="n"/>
      <c r="BC25" s="527" t="n"/>
      <c r="BD25" s="527" t="n"/>
      <c r="BE25" s="403" t="inlineStr">
        <is>
          <t>Grade LF2</t>
        </is>
      </c>
      <c r="BF25" s="1113" t="inlineStr">
        <is>
          <t>0.30</t>
        </is>
      </c>
      <c r="BG25" s="1113" t="inlineStr">
        <is>
          <t>0.60-1.35</t>
        </is>
      </c>
      <c r="BH25" s="1113" t="inlineStr">
        <is>
          <t>0.035</t>
        </is>
      </c>
      <c r="BI25" s="1113" t="inlineStr">
        <is>
          <t>0.040</t>
        </is>
      </c>
      <c r="BJ25" s="1113" t="inlineStr">
        <is>
          <t>0.15-0.30</t>
        </is>
      </c>
      <c r="BK25" s="1113" t="inlineStr">
        <is>
          <t>0.40</t>
        </is>
      </c>
      <c r="BL25" s="1113" t="inlineStr">
        <is>
          <t>0.30</t>
        </is>
      </c>
      <c r="BM25" s="1113" t="inlineStr">
        <is>
          <t>0.12</t>
        </is>
      </c>
      <c r="BN25" s="1113" t="inlineStr">
        <is>
          <t>0.40</t>
        </is>
      </c>
      <c r="BO25" s="1113" t="inlineStr">
        <is>
          <t>0.02</t>
        </is>
      </c>
      <c r="BP25" s="1113" t="inlineStr">
        <is>
          <t>0.05</t>
        </is>
      </c>
      <c r="BQ25" s="395" t="n"/>
      <c r="BR25" s="527" t="n"/>
    </row>
    <row r="26">
      <c r="A26" s="526" t="n"/>
      <c r="B26" s="471" t="inlineStr">
        <is>
          <t>F50</t>
        </is>
      </c>
      <c r="C26" s="84" t="n">
        <v>50000</v>
      </c>
      <c r="D26" s="84" t="n">
        <v>345</v>
      </c>
      <c r="E26" s="369" t="n">
        <v>64000</v>
      </c>
      <c r="F26" s="369" t="n">
        <v>440</v>
      </c>
      <c r="G26" s="463" t="n">
        <v>20</v>
      </c>
      <c r="H26" s="526" t="n"/>
      <c r="I26" s="526" t="n"/>
      <c r="J26" s="526" t="n"/>
      <c r="K26" s="526" t="n"/>
      <c r="L26" s="526" t="n"/>
      <c r="M26" s="1119" t="n"/>
      <c r="N26" s="1119" t="n"/>
      <c r="O26" s="1119" t="n"/>
      <c r="P26" s="1119" t="n"/>
      <c r="Q26" s="1119" t="n"/>
      <c r="S26" s="1119" t="n"/>
      <c r="T26" s="380" t="n"/>
      <c r="U26" s="380" t="n"/>
      <c r="V26" s="380" t="n"/>
      <c r="W26" s="380" t="n"/>
      <c r="X26" s="380" t="n"/>
      <c r="Y26" s="380" t="n"/>
      <c r="Z26" s="380" t="n"/>
      <c r="AA26" s="380" t="n"/>
      <c r="AB26" s="380" t="n"/>
      <c r="AC26" s="380" t="n"/>
      <c r="AD26" s="380" t="n"/>
      <c r="AE26" s="380" t="n"/>
      <c r="AF26" s="380" t="n"/>
      <c r="AG26" s="380" t="n"/>
      <c r="AH26" s="380" t="n"/>
      <c r="AI26" s="380" t="n"/>
      <c r="AJ26" s="380" t="n"/>
      <c r="AK26" s="380" t="n"/>
      <c r="AL26" s="380" t="n"/>
      <c r="AM26" s="380" t="n"/>
      <c r="AN26" s="380" t="n"/>
      <c r="AO26" s="1119" t="n"/>
      <c r="AP26" s="1119" t="n"/>
      <c r="AQ26" s="527" t="n"/>
      <c r="AR26" s="527" t="n"/>
      <c r="AS26" s="527" t="n"/>
      <c r="AT26" s="527" t="n"/>
      <c r="AU26" s="527" t="n"/>
      <c r="AV26" s="527" t="n"/>
      <c r="AW26" s="527" t="n"/>
      <c r="AX26" s="527" t="n"/>
      <c r="AY26" s="527" t="n"/>
      <c r="AZ26" s="527" t="n"/>
      <c r="BA26" s="527" t="n"/>
      <c r="BB26" s="527" t="n"/>
      <c r="BC26" s="527" t="n"/>
      <c r="BD26" s="527" t="n"/>
      <c r="BE26" s="403" t="inlineStr">
        <is>
          <t>Grade LF3</t>
        </is>
      </c>
      <c r="BF26" s="1113" t="inlineStr">
        <is>
          <t>0.20</t>
        </is>
      </c>
      <c r="BG26" s="1113" t="inlineStr">
        <is>
          <t>0.90</t>
        </is>
      </c>
      <c r="BH26" s="1113" t="inlineStr">
        <is>
          <t>0.035</t>
        </is>
      </c>
      <c r="BI26" s="1113" t="inlineStr">
        <is>
          <t>0.040</t>
        </is>
      </c>
      <c r="BJ26" s="1113" t="inlineStr">
        <is>
          <t>0.20-0.35</t>
        </is>
      </c>
      <c r="BK26" s="1113" t="inlineStr">
        <is>
          <t>3.3-3.7</t>
        </is>
      </c>
      <c r="BL26" s="1113" t="inlineStr">
        <is>
          <t>0.30</t>
        </is>
      </c>
      <c r="BM26" s="1113" t="inlineStr">
        <is>
          <t>0.12</t>
        </is>
      </c>
      <c r="BN26" s="1113" t="inlineStr">
        <is>
          <t>0.40</t>
        </is>
      </c>
      <c r="BO26" s="1113" t="inlineStr">
        <is>
          <t>0.02</t>
        </is>
      </c>
      <c r="BP26" s="1113" t="inlineStr">
        <is>
          <t>0.03</t>
        </is>
      </c>
      <c r="BQ26" s="395" t="n"/>
      <c r="BR26" s="527" t="n"/>
    </row>
    <row r="27" ht="15.75" customHeight="1" s="510" thickBot="1">
      <c r="A27" s="526" t="n"/>
      <c r="B27" s="471" t="inlineStr">
        <is>
          <t>F52</t>
        </is>
      </c>
      <c r="C27" s="84" t="n">
        <v>52000</v>
      </c>
      <c r="D27" s="84" t="n">
        <v>360</v>
      </c>
      <c r="E27" s="369" t="n">
        <v>66000</v>
      </c>
      <c r="F27" s="369" t="n">
        <v>455</v>
      </c>
      <c r="G27" s="463" t="n">
        <v>20</v>
      </c>
      <c r="H27" s="526" t="n"/>
      <c r="I27" s="526" t="n"/>
      <c r="J27" s="526" t="n"/>
      <c r="K27" s="526" t="n"/>
      <c r="L27" s="526" t="n"/>
      <c r="M27" s="1119" t="n"/>
      <c r="N27" s="1119" t="n"/>
      <c r="O27" s="1119" t="n"/>
      <c r="P27" s="1119" t="n"/>
      <c r="Q27" s="1119" t="n"/>
      <c r="S27" s="1119" t="n"/>
      <c r="T27" s="380" t="n"/>
      <c r="U27" s="380" t="n"/>
      <c r="V27" s="380" t="n"/>
      <c r="W27" s="380" t="n"/>
      <c r="X27" s="380" t="n"/>
      <c r="Y27" s="380" t="n"/>
      <c r="Z27" s="380" t="n"/>
      <c r="AA27" s="380" t="n"/>
      <c r="AB27" s="380" t="n"/>
      <c r="AC27" s="380" t="n"/>
      <c r="AD27" s="380" t="n"/>
      <c r="AE27" s="380" t="n"/>
      <c r="AF27" s="380" t="n"/>
      <c r="AG27" s="380" t="n"/>
      <c r="AH27" s="380" t="n"/>
      <c r="AI27" s="380" t="n"/>
      <c r="AJ27" s="380" t="n"/>
      <c r="AK27" s="380" t="n"/>
      <c r="AL27" s="380" t="n"/>
      <c r="AM27" s="380" t="n"/>
      <c r="AN27" s="380" t="n"/>
      <c r="AO27" s="1119" t="n"/>
      <c r="AP27" s="1119" t="n"/>
      <c r="AQ27" s="527" t="n"/>
      <c r="AR27" s="527" t="n"/>
      <c r="AS27" s="527" t="n"/>
      <c r="AT27" s="527" t="n"/>
      <c r="AU27" s="527" t="n"/>
      <c r="AV27" s="527" t="n"/>
      <c r="AW27" s="527" t="n"/>
      <c r="AX27" s="527" t="n"/>
      <c r="AY27" s="527" t="n"/>
      <c r="AZ27" s="527" t="n"/>
      <c r="BA27" s="527" t="n"/>
      <c r="BB27" s="527" t="n"/>
      <c r="BC27" s="527" t="n"/>
      <c r="BD27" s="527" t="n"/>
      <c r="BE27" s="403" t="inlineStr">
        <is>
          <t>Grade LF5</t>
        </is>
      </c>
      <c r="BF27" s="1113" t="inlineStr">
        <is>
          <t>0.30</t>
        </is>
      </c>
      <c r="BG27" s="1113" t="inlineStr">
        <is>
          <t>0.60-1.35</t>
        </is>
      </c>
      <c r="BH27" s="1113" t="inlineStr">
        <is>
          <t>0.035</t>
        </is>
      </c>
      <c r="BI27" s="1113" t="inlineStr">
        <is>
          <t>0.040</t>
        </is>
      </c>
      <c r="BJ27" s="1113" t="inlineStr">
        <is>
          <t>0.20-0.35</t>
        </is>
      </c>
      <c r="BK27" s="1113" t="inlineStr">
        <is>
          <t>1.0-2.0</t>
        </is>
      </c>
      <c r="BL27" s="1113" t="inlineStr">
        <is>
          <t>0.30</t>
        </is>
      </c>
      <c r="BM27" s="1113" t="inlineStr">
        <is>
          <t>0.12</t>
        </is>
      </c>
      <c r="BN27" s="1113" t="inlineStr">
        <is>
          <t>0.40</t>
        </is>
      </c>
      <c r="BO27" s="1113" t="inlineStr">
        <is>
          <t>0.02</t>
        </is>
      </c>
      <c r="BP27" s="1113" t="inlineStr">
        <is>
          <t>0.03</t>
        </is>
      </c>
      <c r="BQ27" s="395" t="n"/>
      <c r="BR27" s="527" t="n"/>
    </row>
    <row r="28" ht="15.75" customHeight="1" s="510" thickBot="1">
      <c r="A28" s="526" t="n"/>
      <c r="B28" s="471" t="inlineStr">
        <is>
          <t>F56</t>
        </is>
      </c>
      <c r="C28" s="84" t="n">
        <v>56000</v>
      </c>
      <c r="D28" s="84" t="n">
        <v>385</v>
      </c>
      <c r="E28" s="369" t="n">
        <v>68000</v>
      </c>
      <c r="F28" s="369" t="n">
        <v>470</v>
      </c>
      <c r="G28" s="463" t="n">
        <v>20</v>
      </c>
      <c r="H28" s="526" t="n"/>
      <c r="I28" s="526" t="n"/>
      <c r="J28" s="526" t="n"/>
      <c r="K28" s="526" t="n"/>
      <c r="L28" s="526" t="n"/>
      <c r="M28" s="1119" t="n"/>
      <c r="N28" s="1119" t="n"/>
      <c r="O28" s="1119" t="n"/>
      <c r="P28" s="1119" t="n"/>
      <c r="Q28" s="1119" t="n"/>
      <c r="S28" s="1119" t="n"/>
      <c r="T28" s="380" t="n"/>
      <c r="U28" s="351" t="inlineStr">
        <is>
          <t>ASTM A105</t>
        </is>
      </c>
      <c r="V28" s="1102" t="inlineStr">
        <is>
          <t xml:space="preserve">Yield </t>
        </is>
      </c>
      <c r="W28" s="1164" t="n"/>
      <c r="X28" s="1104" t="inlineStr">
        <is>
          <t>Tensile</t>
        </is>
      </c>
      <c r="Y28" s="1164" t="n"/>
      <c r="Z28" s="380" t="n"/>
      <c r="AA28" s="380" t="n"/>
      <c r="AB28" s="380" t="n"/>
      <c r="AC28" s="380" t="n"/>
      <c r="AD28" s="380" t="n"/>
      <c r="AE28" s="380" t="n"/>
      <c r="AF28" s="380" t="n"/>
      <c r="AG28" s="380" t="n"/>
      <c r="AH28" s="380" t="n"/>
      <c r="AI28" s="380" t="n"/>
      <c r="AJ28" s="380" t="n"/>
      <c r="AK28" s="380" t="n"/>
      <c r="AL28" s="380" t="n"/>
      <c r="AM28" s="380" t="n"/>
      <c r="AN28" s="380" t="n"/>
      <c r="AO28" s="1119" t="n"/>
      <c r="AP28" s="1119" t="n"/>
      <c r="AQ28" s="527" t="n"/>
      <c r="AR28" s="527" t="n"/>
      <c r="AS28" s="527" t="n"/>
      <c r="AT28" s="527" t="n"/>
      <c r="AU28" s="527" t="n"/>
      <c r="AV28" s="527" t="n"/>
      <c r="AW28" s="527" t="n"/>
      <c r="AX28" s="527" t="n"/>
      <c r="AY28" s="527" t="n"/>
      <c r="AZ28" s="527" t="n"/>
      <c r="BA28" s="527" t="n"/>
      <c r="BB28" s="527" t="n"/>
      <c r="BC28" s="527" t="n"/>
      <c r="BD28" s="527" t="n"/>
      <c r="BE28" s="403" t="inlineStr">
        <is>
          <t>Grade LF6</t>
        </is>
      </c>
      <c r="BF28" s="370" t="inlineStr">
        <is>
          <t>0.22</t>
        </is>
      </c>
      <c r="BG28" s="1113" t="inlineStr">
        <is>
          <t>1.15-1.50</t>
        </is>
      </c>
      <c r="BH28" s="1113" t="inlineStr">
        <is>
          <t>0.025</t>
        </is>
      </c>
      <c r="BI28" s="1113" t="inlineStr">
        <is>
          <t>0.035</t>
        </is>
      </c>
      <c r="BJ28" s="1113" t="inlineStr">
        <is>
          <t>0.15-0.30</t>
        </is>
      </c>
      <c r="BK28" s="1113" t="inlineStr">
        <is>
          <t>0.40</t>
        </is>
      </c>
      <c r="BL28" s="1113" t="inlineStr">
        <is>
          <t>0.30</t>
        </is>
      </c>
      <c r="BM28" s="1113" t="inlineStr">
        <is>
          <t>0.12</t>
        </is>
      </c>
      <c r="BN28" s="1113" t="inlineStr">
        <is>
          <t>0.40</t>
        </is>
      </c>
      <c r="BO28" s="1113" t="inlineStr">
        <is>
          <t>0.02</t>
        </is>
      </c>
      <c r="BP28" s="1113" t="inlineStr">
        <is>
          <t>0.04-0.11</t>
        </is>
      </c>
      <c r="BQ28" s="395" t="inlineStr">
        <is>
          <t>0.01-0.030</t>
        </is>
      </c>
      <c r="BR28" s="527" t="n"/>
    </row>
    <row r="29">
      <c r="A29" s="526" t="n"/>
      <c r="B29" s="471" t="inlineStr">
        <is>
          <t>F60</t>
        </is>
      </c>
      <c r="C29" s="84" t="n">
        <v>60000</v>
      </c>
      <c r="D29" s="84" t="n">
        <v>415</v>
      </c>
      <c r="E29" s="369" t="n">
        <v>75000</v>
      </c>
      <c r="F29" s="369" t="n">
        <v>515</v>
      </c>
      <c r="G29" s="463" t="n">
        <v>20</v>
      </c>
      <c r="H29" s="526" t="n"/>
      <c r="I29" s="526" t="n"/>
      <c r="J29" s="526" t="n"/>
      <c r="K29" s="526" t="n"/>
      <c r="L29" s="526" t="n"/>
      <c r="M29" s="1119" t="n"/>
      <c r="N29" s="1119" t="n"/>
      <c r="O29" s="1119" t="n"/>
      <c r="P29" s="1119" t="n"/>
      <c r="Q29" s="1119" t="n"/>
      <c r="S29" s="1119" t="n"/>
      <c r="T29" s="380" t="n"/>
      <c r="U29" s="86" t="inlineStr">
        <is>
          <t>Grade</t>
        </is>
      </c>
      <c r="V29" s="352" t="inlineStr">
        <is>
          <t xml:space="preserve">psi </t>
        </is>
      </c>
      <c r="W29" s="352" t="inlineStr">
        <is>
          <t>Mpa</t>
        </is>
      </c>
      <c r="X29" s="352" t="inlineStr">
        <is>
          <t xml:space="preserve">psi </t>
        </is>
      </c>
      <c r="Y29" s="353" t="inlineStr">
        <is>
          <t>Mpa</t>
        </is>
      </c>
      <c r="Z29" s="380" t="n"/>
      <c r="AA29" s="380" t="n"/>
      <c r="AB29" s="380" t="n"/>
      <c r="AC29" s="380" t="n"/>
      <c r="AD29" s="380" t="n"/>
      <c r="AE29" s="380" t="n"/>
      <c r="AF29" s="380" t="n"/>
      <c r="AG29" s="380" t="n"/>
      <c r="AH29" s="380" t="n"/>
      <c r="AI29" s="380" t="n"/>
      <c r="AJ29" s="380" t="n"/>
      <c r="AK29" s="380" t="n"/>
      <c r="AL29" s="380" t="n"/>
      <c r="AM29" s="380" t="n"/>
      <c r="AN29" s="380" t="n"/>
      <c r="AO29" s="1119" t="n"/>
      <c r="AP29" s="1119" t="n"/>
      <c r="AQ29" s="527" t="n"/>
      <c r="AR29" s="527" t="n"/>
      <c r="AS29" s="527" t="n"/>
      <c r="AT29" s="527" t="n"/>
      <c r="AU29" s="527" t="n"/>
      <c r="AV29" s="527" t="n"/>
      <c r="AW29" s="527" t="n"/>
      <c r="AX29" s="527" t="n"/>
      <c r="AY29" s="527" t="n"/>
      <c r="AZ29" s="527" t="n"/>
      <c r="BA29" s="527" t="n"/>
      <c r="BB29" s="527" t="n"/>
      <c r="BC29" s="527" t="n"/>
      <c r="BD29" s="527" t="n"/>
      <c r="BE29" s="403" t="inlineStr">
        <is>
          <t>Grade LF9</t>
        </is>
      </c>
      <c r="BF29" s="1113" t="inlineStr">
        <is>
          <t>0.20</t>
        </is>
      </c>
      <c r="BG29" s="1113" t="inlineStr">
        <is>
          <t>0.40-1.06</t>
        </is>
      </c>
      <c r="BH29" s="1113" t="inlineStr">
        <is>
          <t>0.040</t>
        </is>
      </c>
      <c r="BI29" s="1113" t="inlineStr">
        <is>
          <t>0.040</t>
        </is>
      </c>
      <c r="BJ29" s="1113" t="n"/>
      <c r="BK29" s="1113" t="inlineStr">
        <is>
          <t>1.60-2.24</t>
        </is>
      </c>
      <c r="BL29" s="1113" t="inlineStr">
        <is>
          <t>0.30</t>
        </is>
      </c>
      <c r="BM29" s="1113" t="inlineStr">
        <is>
          <t>0.12</t>
        </is>
      </c>
      <c r="BN29" s="1113" t="inlineStr">
        <is>
          <t>0.75-1.25</t>
        </is>
      </c>
      <c r="BO29" s="1113" t="inlineStr">
        <is>
          <t>0.02</t>
        </is>
      </c>
      <c r="BP29" s="1113" t="inlineStr">
        <is>
          <t>0.03</t>
        </is>
      </c>
      <c r="BQ29" s="395" t="n"/>
      <c r="BR29" s="527" t="n"/>
    </row>
    <row r="30" ht="15.75" customHeight="1" s="510" thickBot="1">
      <c r="A30" s="526" t="n"/>
      <c r="B30" s="471" t="inlineStr">
        <is>
          <t>F65</t>
        </is>
      </c>
      <c r="C30" s="84" t="n">
        <v>65000</v>
      </c>
      <c r="D30" s="84" t="n">
        <v>450</v>
      </c>
      <c r="E30" s="369" t="n">
        <v>77000</v>
      </c>
      <c r="F30" s="369" t="n">
        <v>530</v>
      </c>
      <c r="G30" s="463" t="n">
        <v>20</v>
      </c>
      <c r="H30" s="526" t="n"/>
      <c r="I30" s="526" t="n"/>
      <c r="J30" s="526" t="n"/>
      <c r="K30" s="526" t="n"/>
      <c r="L30" s="526" t="n"/>
      <c r="M30" s="1119" t="n"/>
      <c r="N30" s="1119" t="n"/>
      <c r="O30" s="1119" t="n"/>
      <c r="P30" s="1119" t="n"/>
      <c r="Q30" s="1119" t="n"/>
      <c r="S30" s="1119" t="n"/>
      <c r="T30" s="380" t="n"/>
      <c r="U30" s="87" t="inlineStr">
        <is>
          <t>A 105</t>
        </is>
      </c>
      <c r="V30" s="88" t="n">
        <v>36000</v>
      </c>
      <c r="W30" s="88" t="n">
        <v>250</v>
      </c>
      <c r="X30" s="88" t="n">
        <v>70000</v>
      </c>
      <c r="Y30" s="89" t="n">
        <v>485</v>
      </c>
      <c r="Z30" s="380" t="n"/>
      <c r="AA30" s="380" t="n"/>
      <c r="AB30" s="380" t="n"/>
      <c r="AC30" s="380" t="n"/>
      <c r="AD30" s="380" t="n"/>
      <c r="AE30" s="380" t="n"/>
      <c r="AF30" s="380" t="n"/>
      <c r="AG30" s="380" t="n"/>
      <c r="AH30" s="380" t="n"/>
      <c r="AI30" s="380" t="n"/>
      <c r="AJ30" s="380" t="n"/>
      <c r="AK30" s="380" t="n"/>
      <c r="AL30" s="380" t="n"/>
      <c r="AM30" s="380" t="n"/>
      <c r="AN30" s="380" t="n"/>
      <c r="AO30" s="1119" t="n"/>
      <c r="AP30" s="1119" t="n"/>
      <c r="AQ30" s="527" t="n"/>
      <c r="AR30" s="527" t="n"/>
      <c r="AS30" s="527" t="n"/>
      <c r="AT30" s="527" t="n"/>
      <c r="AU30" s="527" t="n"/>
      <c r="AV30" s="527" t="n"/>
      <c r="AW30" s="527" t="n"/>
      <c r="AX30" s="527" t="n"/>
      <c r="AY30" s="527" t="n"/>
      <c r="AZ30" s="527" t="n"/>
      <c r="BA30" s="527" t="n"/>
      <c r="BB30" s="527" t="n"/>
      <c r="BC30" s="527" t="n"/>
      <c r="BD30" s="527" t="n"/>
      <c r="BE30" s="406" t="inlineStr">
        <is>
          <t>Grade LF787</t>
        </is>
      </c>
      <c r="BF30" s="1117" t="inlineStr">
        <is>
          <t>0.07</t>
        </is>
      </c>
      <c r="BG30" s="1117" t="inlineStr">
        <is>
          <t>0.40-0.70</t>
        </is>
      </c>
      <c r="BH30" s="1117" t="inlineStr">
        <is>
          <t>0.025</t>
        </is>
      </c>
      <c r="BI30" s="1117" t="inlineStr">
        <is>
          <t>0.025</t>
        </is>
      </c>
      <c r="BJ30" s="1117" t="inlineStr">
        <is>
          <t>0.40</t>
        </is>
      </c>
      <c r="BK30" s="1117" t="inlineStr">
        <is>
          <t>0.70-1.00</t>
        </is>
      </c>
      <c r="BL30" s="1117" t="inlineStr">
        <is>
          <t>0.60-0.90</t>
        </is>
      </c>
      <c r="BM30" s="1117" t="inlineStr">
        <is>
          <t>0.15-0.25</t>
        </is>
      </c>
      <c r="BN30" s="1117" t="inlineStr">
        <is>
          <t>1.00-1.30</t>
        </is>
      </c>
      <c r="BO30" s="1117" t="inlineStr">
        <is>
          <t>0.02 min</t>
        </is>
      </c>
      <c r="BP30" s="1117" t="inlineStr">
        <is>
          <t>0.03</t>
        </is>
      </c>
      <c r="BQ30" s="399" t="n"/>
      <c r="BR30" s="527" t="n"/>
    </row>
    <row r="31">
      <c r="A31" s="526" t="n"/>
      <c r="B31" s="476" t="inlineStr">
        <is>
          <t>F70</t>
        </is>
      </c>
      <c r="C31" s="468" t="n">
        <v>70000</v>
      </c>
      <c r="D31" s="468" t="n">
        <v>485</v>
      </c>
      <c r="E31" s="469" t="n">
        <v>82000</v>
      </c>
      <c r="F31" s="469" t="n">
        <v>565</v>
      </c>
      <c r="G31" s="470" t="n">
        <v>18</v>
      </c>
      <c r="H31" s="526" t="n"/>
      <c r="I31" s="526" t="n"/>
      <c r="J31" s="526" t="n"/>
      <c r="K31" s="526" t="n"/>
      <c r="L31" s="526" t="n"/>
      <c r="M31" s="1119" t="n"/>
      <c r="N31" s="1119" t="n"/>
      <c r="O31" s="1119" t="n"/>
      <c r="P31" s="1119" t="n"/>
      <c r="Q31" s="1119" t="n"/>
      <c r="S31" s="1119" t="n"/>
      <c r="T31" s="380" t="n"/>
      <c r="U31" s="380" t="n"/>
      <c r="V31" s="380" t="n"/>
      <c r="W31" s="380" t="n"/>
      <c r="X31" s="380" t="n"/>
      <c r="Y31" s="380" t="n"/>
      <c r="Z31" s="380" t="n"/>
      <c r="AA31" s="380" t="n"/>
      <c r="AB31" s="380" t="n"/>
      <c r="AC31" s="380" t="n"/>
      <c r="AD31" s="380" t="n"/>
      <c r="AE31" s="380" t="n"/>
      <c r="AF31" s="380" t="n"/>
      <c r="AG31" s="380" t="n"/>
      <c r="AH31" s="380" t="n"/>
      <c r="AI31" s="380" t="n"/>
      <c r="AJ31" s="380" t="n"/>
      <c r="AK31" s="545" t="n"/>
      <c r="AL31" s="545" t="n"/>
      <c r="AM31" s="545" t="n"/>
      <c r="AN31" s="545" t="n"/>
      <c r="AO31" s="1119" t="n"/>
      <c r="AP31" s="1119" t="n"/>
      <c r="AQ31" s="527" t="n"/>
      <c r="AR31" s="527" t="n"/>
      <c r="AS31" s="527" t="n"/>
      <c r="AT31" s="527" t="n"/>
      <c r="AU31" s="527" t="n"/>
      <c r="AV31" s="527" t="n"/>
      <c r="AW31" s="527" t="n"/>
      <c r="AX31" s="527" t="n"/>
      <c r="AY31" s="527" t="n"/>
      <c r="AZ31" s="527" t="n"/>
      <c r="BA31" s="527" t="n"/>
      <c r="BB31" s="527" t="n"/>
      <c r="BC31" s="527" t="n"/>
      <c r="BD31" s="527" t="n"/>
      <c r="BE31" s="527" t="n"/>
      <c r="BF31" s="527" t="n"/>
      <c r="BG31" s="527" t="n"/>
      <c r="BH31" s="527" t="n"/>
      <c r="BI31" s="527" t="n"/>
      <c r="BJ31" s="527" t="n"/>
      <c r="BK31" s="527" t="n"/>
      <c r="BL31" s="527" t="n"/>
      <c r="BM31" s="527" t="n"/>
      <c r="BN31" s="527" t="n"/>
      <c r="BO31" s="527" t="n"/>
      <c r="BP31" s="527" t="n"/>
      <c r="BQ31" s="527" t="n"/>
      <c r="BR31" s="527" t="n"/>
    </row>
    <row r="32">
      <c r="A32" s="526" t="n"/>
      <c r="B32" s="526" t="n"/>
      <c r="C32" s="526" t="n"/>
      <c r="D32" s="526" t="n"/>
      <c r="E32" s="526" t="n"/>
      <c r="F32" s="526" t="n"/>
      <c r="G32" s="526" t="n"/>
      <c r="H32" s="526" t="n"/>
      <c r="I32" s="526" t="n"/>
      <c r="J32" s="526" t="n"/>
      <c r="K32" s="526" t="n"/>
      <c r="L32" s="526" t="n"/>
      <c r="M32" s="1119" t="n"/>
      <c r="N32" s="1119" t="n"/>
      <c r="O32" s="1119" t="n"/>
      <c r="P32" s="1119" t="n"/>
      <c r="Q32" s="1119" t="n"/>
      <c r="S32" s="1119" t="n"/>
      <c r="T32" s="380" t="n"/>
      <c r="U32" s="380" t="inlineStr">
        <is>
          <t>ASTM A105 Chemical Requirements</t>
        </is>
      </c>
      <c r="V32" s="380" t="n"/>
      <c r="W32" s="380" t="n"/>
      <c r="X32" s="380" t="n"/>
      <c r="Y32" s="380" t="n"/>
      <c r="Z32" s="380" t="n"/>
      <c r="AA32" s="380" t="n"/>
      <c r="AB32" s="380" t="n"/>
      <c r="AC32" s="380" t="n"/>
      <c r="AD32" s="380" t="n"/>
      <c r="AE32" s="380" t="n"/>
      <c r="AF32" s="380" t="n"/>
      <c r="AG32" s="380" t="n"/>
      <c r="AH32" s="380" t="n"/>
      <c r="AI32" s="380" t="n"/>
      <c r="AJ32" s="380" t="n"/>
      <c r="AK32" s="545" t="n"/>
      <c r="AL32" s="545" t="n"/>
      <c r="AM32" s="545" t="n"/>
      <c r="AN32" s="545" t="n"/>
      <c r="AO32" s="1119" t="n"/>
      <c r="AP32" s="1119" t="n"/>
      <c r="AQ32" s="527" t="n"/>
      <c r="AR32" s="527" t="n"/>
      <c r="AS32" s="527" t="n"/>
      <c r="AT32" s="527" t="n"/>
      <c r="AU32" s="527" t="n"/>
      <c r="AV32" s="527" t="n"/>
      <c r="AW32" s="527" t="n"/>
      <c r="AX32" s="527" t="n"/>
      <c r="AY32" s="527" t="n"/>
      <c r="AZ32" s="527" t="n"/>
      <c r="BA32" s="527" t="n"/>
      <c r="BB32" s="527" t="n"/>
      <c r="BC32" s="527" t="n"/>
      <c r="BD32" s="527" t="n"/>
      <c r="BE32" s="527" t="n"/>
      <c r="BF32" s="527" t="n"/>
      <c r="BG32" s="527" t="n"/>
      <c r="BH32" s="527" t="n"/>
      <c r="BI32" s="527" t="n"/>
      <c r="BJ32" s="527" t="n"/>
      <c r="BK32" s="527" t="n"/>
      <c r="BL32" s="527" t="n"/>
      <c r="BM32" s="527" t="n"/>
      <c r="BN32" s="527" t="n"/>
      <c r="BO32" s="527" t="n"/>
      <c r="BP32" s="527" t="n"/>
      <c r="BQ32" s="527" t="n"/>
      <c r="BR32" s="527" t="n"/>
    </row>
    <row r="33">
      <c r="A33" s="526" t="n"/>
      <c r="B33" s="526" t="n"/>
      <c r="C33" s="526" t="n"/>
      <c r="D33" s="526" t="n"/>
      <c r="E33" s="526" t="n"/>
      <c r="F33" s="526" t="n"/>
      <c r="G33" s="526" t="n"/>
      <c r="H33" s="526" t="n"/>
      <c r="I33" s="526" t="n"/>
      <c r="J33" s="526" t="n"/>
      <c r="K33" s="526" t="n"/>
      <c r="L33" s="526" t="n"/>
      <c r="M33" s="1119" t="n"/>
      <c r="N33" s="1119" t="n"/>
      <c r="O33" s="1119" t="n"/>
      <c r="P33" s="1119" t="n"/>
      <c r="Q33" s="1119" t="n"/>
      <c r="R33" s="1119" t="n"/>
      <c r="S33" s="1119" t="n"/>
      <c r="T33" s="380" t="n"/>
      <c r="U33" s="389" t="inlineStr">
        <is>
          <t>Element</t>
        </is>
      </c>
      <c r="V33" s="390" t="inlineStr">
        <is>
          <t>Carbon</t>
        </is>
      </c>
      <c r="W33" s="390" t="inlineStr">
        <is>
          <t>Manganese</t>
        </is>
      </c>
      <c r="X33" s="390" t="inlineStr">
        <is>
          <t>Phosphores</t>
        </is>
      </c>
      <c r="Y33" s="390" t="inlineStr">
        <is>
          <t>Sulfur</t>
        </is>
      </c>
      <c r="Z33" s="391" t="inlineStr">
        <is>
          <t>Silicon</t>
        </is>
      </c>
      <c r="AA33" s="390" t="inlineStr">
        <is>
          <t>Copper</t>
        </is>
      </c>
      <c r="AB33" s="390" t="inlineStr">
        <is>
          <t>Nickel</t>
        </is>
      </c>
      <c r="AC33" s="390" t="inlineStr">
        <is>
          <t>Chromium</t>
        </is>
      </c>
      <c r="AD33" s="390" t="inlineStr">
        <is>
          <t>Molybdenum</t>
        </is>
      </c>
      <c r="AE33" s="390" t="inlineStr">
        <is>
          <t>Vanadium</t>
        </is>
      </c>
      <c r="AF33" s="392" t="inlineStr">
        <is>
          <t>Columbium</t>
        </is>
      </c>
      <c r="AG33" s="380" t="n"/>
      <c r="AH33" s="380" t="n"/>
      <c r="AI33" s="380" t="n"/>
      <c r="AJ33" s="380" t="n"/>
      <c r="AK33" s="545" t="n"/>
      <c r="AL33" s="545" t="n"/>
      <c r="AM33" s="545" t="n"/>
      <c r="AN33" s="545" t="n"/>
      <c r="AO33" s="1119" t="n"/>
      <c r="AP33" s="1119" t="n"/>
      <c r="AQ33" s="527" t="n"/>
      <c r="AR33" s="527" t="n"/>
      <c r="AS33" s="527" t="n"/>
      <c r="AT33" s="527" t="n"/>
      <c r="AU33" s="527" t="n"/>
      <c r="AV33" s="527" t="n"/>
      <c r="AW33" s="527" t="n"/>
      <c r="AX33" s="527" t="n"/>
      <c r="AY33" s="527" t="n"/>
      <c r="AZ33" s="527" t="n"/>
      <c r="BA33" s="527" t="n"/>
      <c r="BB33" s="527" t="n"/>
      <c r="BC33" s="527" t="n"/>
      <c r="BD33" s="527" t="n"/>
      <c r="BE33" s="527" t="n"/>
      <c r="BF33" s="527" t="n"/>
      <c r="BG33" s="527" t="n"/>
      <c r="BH33" s="527" t="n"/>
      <c r="BI33" s="527" t="n"/>
      <c r="BJ33" s="527" t="n"/>
      <c r="BK33" s="527" t="n"/>
      <c r="BL33" s="527" t="n"/>
      <c r="BM33" s="527" t="n"/>
      <c r="BN33" s="527" t="n"/>
      <c r="BO33" s="527" t="n"/>
      <c r="BP33" s="527" t="n"/>
      <c r="BQ33" s="527" t="n"/>
      <c r="BR33" s="527" t="n"/>
    </row>
    <row r="34">
      <c r="A34" s="1119" t="n"/>
      <c r="B34" s="1119" t="n"/>
      <c r="C34" s="1119" t="n"/>
      <c r="D34" s="1119" t="n"/>
      <c r="E34" s="1119" t="n"/>
      <c r="F34" s="1119" t="n"/>
      <c r="G34" s="1119" t="n"/>
      <c r="H34" s="1119" t="n"/>
      <c r="I34" s="1119" t="n"/>
      <c r="J34" s="1119" t="n"/>
      <c r="K34" s="1119" t="n"/>
      <c r="L34" s="1119" t="n"/>
      <c r="M34" s="1119" t="n"/>
      <c r="N34" s="1119" t="n"/>
      <c r="O34" s="1119" t="n"/>
      <c r="P34" s="1119" t="n"/>
      <c r="Q34" s="1119" t="n"/>
      <c r="R34" s="1119" t="n"/>
      <c r="S34" s="1119" t="n"/>
      <c r="T34" s="380" t="n"/>
      <c r="U34" s="387" t="inlineStr">
        <is>
          <t>Composition, %</t>
        </is>
      </c>
      <c r="V34" s="379" t="inlineStr">
        <is>
          <t>0.35 max</t>
        </is>
      </c>
      <c r="W34" s="379" t="inlineStr">
        <is>
          <t>0.60-1.05</t>
        </is>
      </c>
      <c r="X34" s="379" t="inlineStr">
        <is>
          <t>0.035 max</t>
        </is>
      </c>
      <c r="Y34" s="379" t="inlineStr">
        <is>
          <t>0.040 max</t>
        </is>
      </c>
      <c r="Z34" s="372" t="inlineStr">
        <is>
          <t>0.10-0.35</t>
        </is>
      </c>
      <c r="AA34" s="379" t="inlineStr">
        <is>
          <t>0.40 max</t>
        </is>
      </c>
      <c r="AB34" s="379" t="inlineStr">
        <is>
          <t>0.40 max</t>
        </is>
      </c>
      <c r="AC34" s="379" t="inlineStr">
        <is>
          <t>0.30 max</t>
        </is>
      </c>
      <c r="AD34" s="379" t="inlineStr">
        <is>
          <t>0.12 max</t>
        </is>
      </c>
      <c r="AE34" s="379" t="inlineStr">
        <is>
          <t>0.05 max</t>
        </is>
      </c>
      <c r="AF34" s="388" t="inlineStr">
        <is>
          <t>0.02 max</t>
        </is>
      </c>
      <c r="AG34" s="380" t="n"/>
      <c r="AH34" s="380" t="n"/>
      <c r="AI34" s="380" t="n"/>
      <c r="AJ34" s="380" t="n"/>
      <c r="AK34" s="545" t="n"/>
      <c r="AL34" s="545" t="n"/>
      <c r="AM34" s="545" t="n"/>
      <c r="AN34" s="545" t="n"/>
      <c r="AO34" s="1119" t="n"/>
      <c r="AP34" s="1119" t="n"/>
      <c r="AQ34" s="527" t="n"/>
      <c r="AR34" s="527" t="n"/>
      <c r="AS34" s="527" t="n"/>
      <c r="AT34" s="527" t="n"/>
      <c r="AU34" s="527" t="n"/>
      <c r="AV34" s="527" t="n"/>
      <c r="AW34" s="527" t="n"/>
      <c r="AX34" s="527" t="n"/>
      <c r="AY34" s="527" t="n"/>
      <c r="AZ34" s="527" t="n"/>
      <c r="BA34" s="527" t="n"/>
      <c r="BB34" s="527" t="n"/>
      <c r="BC34" s="527" t="n"/>
      <c r="BD34" s="527" t="n"/>
      <c r="BE34" s="527" t="n"/>
      <c r="BF34" s="527" t="n"/>
      <c r="BG34" s="527" t="n"/>
      <c r="BH34" s="527" t="n"/>
      <c r="BI34" s="527" t="n"/>
      <c r="BJ34" s="527" t="n"/>
      <c r="BK34" s="527" t="n"/>
      <c r="BL34" s="527" t="n"/>
      <c r="BM34" s="527" t="n"/>
      <c r="BN34" s="527" t="n"/>
      <c r="BO34" s="527" t="n"/>
      <c r="BP34" s="527" t="n"/>
      <c r="BQ34" s="527" t="n"/>
      <c r="BR34" s="527" t="n"/>
    </row>
    <row r="35">
      <c r="A35" s="1119" t="n"/>
      <c r="B35" s="1119" t="n"/>
      <c r="C35" s="1119" t="n"/>
      <c r="D35" s="1119" t="n"/>
      <c r="E35" s="1119" t="n"/>
      <c r="F35" s="1119" t="n"/>
      <c r="G35" s="1119" t="n"/>
      <c r="H35" s="1119" t="n"/>
      <c r="I35" s="1119" t="n"/>
      <c r="J35" s="1119" t="n"/>
      <c r="K35" s="1119" t="n"/>
      <c r="L35" s="1119" t="n"/>
      <c r="M35" s="1119" t="n"/>
      <c r="N35" s="1119" t="n"/>
      <c r="O35" s="1119" t="n"/>
      <c r="P35" s="1119" t="n"/>
      <c r="Q35" s="1119" t="n"/>
      <c r="R35" s="1119" t="n"/>
      <c r="S35" s="1119" t="n"/>
      <c r="T35" s="380" t="n"/>
      <c r="U35" s="380" t="n"/>
      <c r="V35" s="380" t="n"/>
      <c r="W35" s="380" t="n"/>
      <c r="X35" s="380" t="n"/>
      <c r="Y35" s="380" t="n"/>
      <c r="Z35" s="380" t="n"/>
      <c r="AA35" s="380" t="n"/>
      <c r="AB35" s="380" t="n"/>
      <c r="AC35" s="380" t="n"/>
      <c r="AD35" s="380" t="n"/>
      <c r="AE35" s="380" t="n"/>
      <c r="AF35" s="380" t="n"/>
      <c r="AG35" s="380" t="n"/>
      <c r="AH35" s="380" t="n"/>
      <c r="AI35" s="380" t="n"/>
      <c r="AJ35" s="380" t="n"/>
      <c r="AK35" s="545" t="n"/>
      <c r="AL35" s="545" t="n"/>
      <c r="AM35" s="545" t="n"/>
      <c r="AN35" s="545" t="n"/>
      <c r="AO35" s="1119" t="n"/>
      <c r="AP35" s="1119" t="n"/>
      <c r="AQ35" s="527" t="n"/>
      <c r="AR35" s="527" t="n"/>
      <c r="AS35" s="527" t="n"/>
      <c r="AT35" s="527" t="n"/>
      <c r="AU35" s="527" t="n"/>
      <c r="AV35" s="527" t="n"/>
      <c r="AW35" s="527" t="n"/>
      <c r="AX35" s="527" t="n"/>
      <c r="AY35" s="527" t="n"/>
      <c r="AZ35" s="527" t="n"/>
      <c r="BA35" s="527" t="n"/>
      <c r="BB35" s="527" t="n"/>
      <c r="BC35" s="527" t="n"/>
      <c r="BD35" s="527" t="n"/>
      <c r="BE35" s="527" t="n"/>
      <c r="BF35" s="527" t="n"/>
      <c r="BG35" s="527" t="n"/>
      <c r="BH35" s="527" t="n"/>
      <c r="BI35" s="527" t="n"/>
      <c r="BJ35" s="527" t="n"/>
      <c r="BK35" s="527" t="n"/>
      <c r="BL35" s="527" t="n"/>
      <c r="BM35" s="527" t="n"/>
      <c r="BN35" s="527" t="n"/>
      <c r="BO35" s="527" t="n"/>
      <c r="BP35" s="527" t="n"/>
      <c r="BQ35" s="527" t="n"/>
      <c r="BR35" s="527" t="n"/>
    </row>
    <row r="36">
      <c r="A36" s="1119" t="n"/>
      <c r="H36" s="1119" t="n"/>
      <c r="I36" s="1119" t="n"/>
      <c r="J36" s="1119" t="n"/>
      <c r="K36" s="1119" t="n"/>
      <c r="L36" s="1119" t="n"/>
      <c r="M36" s="1119" t="n"/>
      <c r="N36" s="1119" t="n"/>
      <c r="O36" s="1119" t="n"/>
      <c r="P36" s="1119" t="n"/>
      <c r="Q36" s="1119" t="n"/>
      <c r="R36" s="1119" t="n"/>
      <c r="S36" s="1119" t="n"/>
      <c r="T36" s="1119" t="n"/>
      <c r="U36" s="1119" t="n"/>
      <c r="V36" s="1119" t="n"/>
      <c r="W36" s="1119" t="n"/>
      <c r="X36" s="1119" t="n"/>
      <c r="Y36" s="1119" t="n"/>
      <c r="Z36" s="1119" t="n"/>
      <c r="AA36" s="1119" t="n"/>
      <c r="AB36" s="1119" t="n"/>
      <c r="AC36" s="1119" t="n"/>
      <c r="AD36" s="1119" t="n"/>
      <c r="AE36" s="1119" t="n"/>
      <c r="AF36" s="1119" t="n"/>
      <c r="AG36" s="1119" t="n"/>
      <c r="AH36" s="1119" t="n"/>
      <c r="AI36" s="1119" t="n"/>
      <c r="AJ36" s="1119" t="n"/>
      <c r="AK36" s="1119" t="n"/>
      <c r="AL36" s="1119" t="n"/>
      <c r="AM36" s="1119" t="n"/>
      <c r="AN36" s="1119" t="n"/>
      <c r="AO36" s="1119" t="n"/>
      <c r="AP36" s="1119" t="n"/>
      <c r="AQ36" s="527" t="n"/>
      <c r="AR36" s="527" t="n"/>
      <c r="AS36" s="527" t="n"/>
      <c r="AT36" s="527" t="n"/>
      <c r="AU36" s="527" t="n"/>
      <c r="AV36" s="527" t="n"/>
      <c r="AW36" s="527" t="n"/>
      <c r="AX36" s="527" t="n"/>
      <c r="AY36" s="527" t="n"/>
      <c r="AZ36" s="527" t="n"/>
      <c r="BA36" s="527" t="n"/>
      <c r="BB36" s="527" t="n"/>
      <c r="BC36" s="527" t="n"/>
      <c r="BD36" s="527" t="n"/>
      <c r="BE36" s="527" t="n"/>
      <c r="BF36" s="527" t="n"/>
      <c r="BG36" s="527" t="n"/>
      <c r="BH36" s="527" t="n"/>
      <c r="BI36" s="527" t="n"/>
      <c r="BJ36" s="527" t="n"/>
      <c r="BK36" s="527" t="n"/>
      <c r="BL36" s="527" t="n"/>
      <c r="BM36" s="527" t="n"/>
      <c r="BN36" s="527" t="n"/>
      <c r="BO36" s="527" t="n"/>
      <c r="BP36" s="527" t="n"/>
      <c r="BQ36" s="527" t="n"/>
      <c r="BR36" s="527" t="n"/>
    </row>
    <row r="37">
      <c r="M37" s="1119" t="n"/>
      <c r="N37" s="1119" t="n"/>
      <c r="O37" s="1119" t="n"/>
      <c r="P37" s="1119" t="n"/>
      <c r="Q37" s="1119" t="n"/>
      <c r="R37" s="1119" t="n"/>
      <c r="S37" s="1119" t="n"/>
      <c r="T37" s="1119" t="n"/>
      <c r="U37" s="1119" t="n"/>
      <c r="V37" s="1119" t="n"/>
      <c r="W37" s="1119" t="n"/>
      <c r="X37" s="1119" t="n"/>
      <c r="Y37" s="1119" t="n"/>
      <c r="Z37" s="1119" t="n"/>
      <c r="AA37" s="1119" t="n"/>
      <c r="AB37" s="1119" t="n"/>
      <c r="AC37" s="1119" t="n"/>
      <c r="AD37" s="1119" t="n"/>
      <c r="AE37" s="1119" t="n"/>
      <c r="AF37" s="1119" t="n"/>
      <c r="AG37" s="1119" t="n"/>
      <c r="AH37" s="1119" t="n"/>
      <c r="AI37" s="1119" t="n"/>
      <c r="AJ37" s="1119" t="n"/>
      <c r="AK37" s="1119" t="n"/>
      <c r="AL37" s="1119" t="n"/>
      <c r="AM37" s="1119" t="n"/>
      <c r="AN37" s="1119" t="n"/>
      <c r="AO37" s="1119" t="n"/>
      <c r="AP37" s="1119" t="n"/>
      <c r="AQ37" s="527" t="n"/>
      <c r="AR37" s="527" t="n"/>
      <c r="AS37" s="527" t="n"/>
      <c r="AT37" s="527" t="n"/>
      <c r="AU37" s="527" t="n"/>
      <c r="AV37" s="527" t="n"/>
      <c r="AW37" s="527" t="n"/>
      <c r="AX37" s="527" t="n"/>
      <c r="AY37" s="527" t="n"/>
      <c r="AZ37" s="527" t="n"/>
      <c r="BA37" s="527" t="n"/>
      <c r="BB37" s="527" t="n"/>
      <c r="BC37" s="527" t="n"/>
      <c r="BD37" s="527" t="n"/>
      <c r="BE37" s="527" t="inlineStr">
        <is>
          <t>ASTM A350 Product Analysis Tolarances</t>
        </is>
      </c>
      <c r="BF37" s="527" t="n"/>
      <c r="BG37" s="527" t="n"/>
      <c r="BH37" s="527" t="n"/>
      <c r="BI37" s="527" t="n"/>
      <c r="BJ37" s="527" t="n"/>
      <c r="BK37" s="527" t="n"/>
      <c r="BL37" s="527" t="n"/>
      <c r="BM37" s="527" t="n"/>
      <c r="BN37" s="527" t="n"/>
      <c r="BO37" s="527" t="n"/>
      <c r="BP37" s="527" t="n"/>
      <c r="BQ37" s="527" t="n"/>
      <c r="BR37" s="527" t="n"/>
    </row>
    <row r="38" ht="45" customHeight="1" s="510">
      <c r="M38" s="1119" t="n"/>
      <c r="N38" s="1119" t="n"/>
      <c r="O38" s="1119" t="n"/>
      <c r="P38" s="1119" t="n"/>
      <c r="Q38" s="1119" t="n"/>
      <c r="R38" s="1119" t="n"/>
      <c r="S38" s="1119" t="n"/>
      <c r="T38" s="1119" t="n"/>
      <c r="U38" s="1119" t="n"/>
      <c r="V38" s="1119" t="n"/>
      <c r="W38" s="1119" t="n"/>
      <c r="X38" s="1119" t="n"/>
      <c r="Y38" s="1119" t="n"/>
      <c r="Z38" s="1119" t="n"/>
      <c r="AA38" s="1119" t="n"/>
      <c r="AB38" s="1119" t="n"/>
      <c r="AC38" s="1119" t="n"/>
      <c r="AD38" s="1119" t="n"/>
      <c r="AE38" s="1119" t="n"/>
      <c r="AF38" s="1119" t="n"/>
      <c r="AG38" s="1119" t="n"/>
      <c r="AH38" s="1119" t="n"/>
      <c r="AI38" s="1119" t="n"/>
      <c r="AJ38" s="1119" t="n"/>
      <c r="AK38" s="1119" t="n"/>
      <c r="AL38" s="1119" t="n"/>
      <c r="AM38" s="1119" t="n"/>
      <c r="AN38" s="1119" t="n"/>
      <c r="AO38" s="1119" t="n"/>
      <c r="AP38" s="1119" t="n"/>
      <c r="AQ38" s="527" t="n"/>
      <c r="AR38" s="527" t="n"/>
      <c r="AS38" s="527" t="n"/>
      <c r="AT38" s="527" t="n"/>
      <c r="AU38" s="527" t="n"/>
      <c r="AV38" s="527" t="n"/>
      <c r="AW38" s="527" t="n"/>
      <c r="AX38" s="527" t="n"/>
      <c r="AY38" s="527" t="n"/>
      <c r="AZ38" s="527" t="n"/>
      <c r="BA38" s="527" t="n"/>
      <c r="BB38" s="527" t="n"/>
      <c r="BC38" s="527" t="n"/>
      <c r="BD38" s="527" t="n"/>
      <c r="BE38" s="400" t="inlineStr">
        <is>
          <t>Elemet</t>
        </is>
      </c>
      <c r="BF38" s="1115" t="inlineStr">
        <is>
          <t>Limit or Max of Specified Range</t>
        </is>
      </c>
      <c r="BG38" s="1115" t="inlineStr">
        <is>
          <t>to 100 in^2 (645 cm^2)</t>
        </is>
      </c>
      <c r="BH38" s="1115" t="inlineStr">
        <is>
          <t>100-200 in^2 ( 645-1290 m^2)</t>
        </is>
      </c>
      <c r="BI38" s="1115" t="inlineStr">
        <is>
          <t>200-400 in^2 (1290-2580^2)</t>
        </is>
      </c>
      <c r="BJ38" s="411" t="inlineStr">
        <is>
          <t>400-800 in^2 (2580-510 cm^2)</t>
        </is>
      </c>
      <c r="BK38" s="358" t="n"/>
      <c r="BL38" s="358" t="n"/>
      <c r="BM38" s="358" t="n"/>
      <c r="BN38" s="527" t="n"/>
      <c r="BO38" s="527" t="n"/>
      <c r="BP38" s="527" t="n"/>
      <c r="BQ38" s="527" t="n"/>
      <c r="BR38" s="527" t="n"/>
    </row>
    <row r="39">
      <c r="M39" s="1119" t="n"/>
      <c r="N39" s="1119" t="n"/>
      <c r="O39" s="1119" t="n"/>
      <c r="P39" s="1119" t="n"/>
      <c r="Q39" s="1119" t="n"/>
      <c r="R39" s="1119" t="n"/>
      <c r="S39" s="1119" t="n"/>
      <c r="T39" s="1119" t="n"/>
      <c r="U39" s="1119" t="n"/>
      <c r="V39" s="1119" t="n"/>
      <c r="W39" s="1119" t="n"/>
      <c r="X39" s="1119" t="n"/>
      <c r="Y39" s="1119" t="n"/>
      <c r="Z39" s="1119" t="n"/>
      <c r="AA39" s="1119" t="n"/>
      <c r="AB39" s="1119" t="n"/>
      <c r="AC39" s="1119" t="n"/>
      <c r="AD39" s="1119" t="n"/>
      <c r="AE39" s="1119" t="n"/>
      <c r="AF39" s="1119" t="n"/>
      <c r="AG39" s="1119" t="n"/>
      <c r="AH39" s="1119" t="n"/>
      <c r="AI39" s="1119" t="n"/>
      <c r="AJ39" s="1119" t="n"/>
      <c r="AK39" s="1119" t="n"/>
      <c r="AL39" s="1119" t="n"/>
      <c r="AM39" s="1119" t="n"/>
      <c r="AN39" s="1119" t="n"/>
      <c r="AO39" s="1119" t="n"/>
      <c r="AP39" s="1119" t="n"/>
      <c r="AQ39" s="527" t="n"/>
      <c r="AR39" s="527" t="n"/>
      <c r="AS39" s="527" t="n"/>
      <c r="AT39" s="527" t="n"/>
      <c r="AU39" s="527" t="n"/>
      <c r="AV39" s="527" t="n"/>
      <c r="AW39" s="527" t="n"/>
      <c r="AX39" s="527" t="n"/>
      <c r="AY39" s="527" t="n"/>
      <c r="AZ39" s="527" t="n"/>
      <c r="BA39" s="527" t="n"/>
      <c r="BB39" s="527" t="n"/>
      <c r="BC39" s="527" t="n"/>
      <c r="BD39" s="527" t="n"/>
      <c r="BE39" s="378" t="inlineStr">
        <is>
          <t>Carbon</t>
        </is>
      </c>
      <c r="BF39" s="1112" t="inlineStr">
        <is>
          <t>0.30</t>
        </is>
      </c>
      <c r="BG39" s="1112" t="inlineStr">
        <is>
          <t>0.01</t>
        </is>
      </c>
      <c r="BH39" s="1112" t="inlineStr">
        <is>
          <t>0.02</t>
        </is>
      </c>
      <c r="BI39" s="1112" t="inlineStr">
        <is>
          <t>0.03</t>
        </is>
      </c>
      <c r="BJ39" s="377" t="inlineStr">
        <is>
          <t>0.04</t>
        </is>
      </c>
      <c r="BK39" s="358" t="n"/>
      <c r="BL39" s="358" t="n"/>
      <c r="BM39" s="358" t="n"/>
      <c r="BN39" s="527" t="n"/>
      <c r="BO39" s="527" t="n"/>
      <c r="BP39" s="527" t="n"/>
      <c r="BQ39" s="527" t="n"/>
      <c r="BR39" s="527" t="n"/>
    </row>
    <row r="40">
      <c r="M40" s="1119" t="n"/>
      <c r="N40" s="1119" t="n"/>
      <c r="O40" s="1119" t="n"/>
      <c r="P40" s="1119" t="n"/>
      <c r="Q40" s="1119" t="n"/>
      <c r="R40" s="1119" t="n"/>
      <c r="S40" s="1119" t="n"/>
      <c r="T40" s="1119" t="n"/>
      <c r="U40" s="1119" t="n"/>
      <c r="V40" s="1119" t="n"/>
      <c r="W40" s="1119" t="n"/>
      <c r="X40" s="1119" t="n"/>
      <c r="Y40" s="1119" t="n"/>
      <c r="Z40" s="1119" t="n"/>
      <c r="AA40" s="1119" t="n"/>
      <c r="AB40" s="1119" t="n"/>
      <c r="AC40" s="1119" t="n"/>
      <c r="AD40" s="1119" t="n"/>
      <c r="AE40" s="1119" t="n"/>
      <c r="AF40" s="1119" t="n"/>
      <c r="AG40" s="1119" t="n"/>
      <c r="AH40" s="1119" t="n"/>
      <c r="AI40" s="1119" t="n"/>
      <c r="AJ40" s="1119" t="n"/>
      <c r="AK40" s="1119" t="n"/>
      <c r="AL40" s="1119" t="n"/>
      <c r="AM40" s="1119" t="n"/>
      <c r="AN40" s="1119" t="n"/>
      <c r="AO40" s="1119" t="n"/>
      <c r="AP40" s="1119" t="n"/>
      <c r="AQ40" s="527" t="n"/>
      <c r="AR40" s="527" t="n"/>
      <c r="AS40" s="527" t="n"/>
      <c r="AT40" s="527" t="n"/>
      <c r="AU40" s="527" t="n"/>
      <c r="AV40" s="527" t="n"/>
      <c r="AW40" s="527" t="n"/>
      <c r="AX40" s="527" t="n"/>
      <c r="AY40" s="527" t="n"/>
      <c r="AZ40" s="527" t="n"/>
      <c r="BA40" s="527" t="n"/>
      <c r="BB40" s="527" t="n"/>
      <c r="BC40" s="527" t="n"/>
      <c r="BD40" s="527" t="n"/>
      <c r="BE40" s="378" t="inlineStr">
        <is>
          <t>Manganese</t>
        </is>
      </c>
      <c r="BF40" s="1112" t="inlineStr">
        <is>
          <t>0.90</t>
        </is>
      </c>
      <c r="BG40" s="1112" t="inlineStr">
        <is>
          <t>0.03</t>
        </is>
      </c>
      <c r="BH40" s="1112" t="inlineStr">
        <is>
          <t>0.04</t>
        </is>
      </c>
      <c r="BI40" s="1112" t="inlineStr">
        <is>
          <t>0.05</t>
        </is>
      </c>
      <c r="BJ40" s="377" t="inlineStr">
        <is>
          <t>0.06</t>
        </is>
      </c>
      <c r="BK40" s="359" t="n"/>
      <c r="BL40" s="359" t="n"/>
      <c r="BM40" s="359" t="n"/>
      <c r="BN40" s="527" t="n"/>
      <c r="BO40" s="527" t="n"/>
      <c r="BP40" s="527" t="n"/>
      <c r="BQ40" s="527" t="n"/>
      <c r="BR40" s="527" t="n"/>
    </row>
    <row r="41">
      <c r="M41" s="1119" t="n"/>
      <c r="N41" s="1119" t="n"/>
      <c r="O41" s="1119" t="n"/>
      <c r="P41" s="1119" t="n"/>
      <c r="Q41" s="1119" t="n"/>
      <c r="R41" s="1119" t="n"/>
      <c r="S41" s="1119" t="n"/>
      <c r="T41" s="1119" t="n"/>
      <c r="U41" s="1119" t="n"/>
      <c r="V41" s="1119" t="n"/>
      <c r="W41" s="1119" t="n"/>
      <c r="X41" s="1119" t="n"/>
      <c r="Y41" s="1119" t="n"/>
      <c r="Z41" s="1119" t="n"/>
      <c r="AA41" s="1119" t="n"/>
      <c r="AB41" s="1119" t="n"/>
      <c r="AC41" s="1119" t="n"/>
      <c r="AD41" s="1119" t="n"/>
      <c r="AE41" s="1119" t="n"/>
      <c r="AF41" s="1119" t="n"/>
      <c r="AG41" s="1119" t="n"/>
      <c r="AH41" s="1119" t="n"/>
      <c r="AI41" s="1119" t="n"/>
      <c r="AJ41" s="1119" t="n"/>
      <c r="AK41" s="1119" t="n"/>
      <c r="AL41" s="1119" t="n"/>
      <c r="AM41" s="1119" t="n"/>
      <c r="AN41" s="1119" t="n"/>
      <c r="AO41" s="1119" t="n"/>
      <c r="AP41" s="1119" t="n"/>
      <c r="AQ41" s="527" t="n"/>
      <c r="AR41" s="527" t="n"/>
      <c r="AS41" s="527" t="n"/>
      <c r="AT41" s="527" t="n"/>
      <c r="AU41" s="527" t="n"/>
      <c r="AV41" s="527" t="n"/>
      <c r="AW41" s="527" t="n"/>
      <c r="AX41" s="527" t="n"/>
      <c r="AY41" s="527" t="n"/>
      <c r="AZ41" s="527" t="n"/>
      <c r="BA41" s="527" t="n"/>
      <c r="BB41" s="527" t="n"/>
      <c r="BC41" s="527" t="n"/>
      <c r="BD41" s="527" t="n"/>
      <c r="BE41" s="378" t="n"/>
      <c r="BF41" s="1112" t="inlineStr">
        <is>
          <t>0.90-1.35</t>
        </is>
      </c>
      <c r="BG41" s="1112" t="inlineStr">
        <is>
          <t>0.04</t>
        </is>
      </c>
      <c r="BH41" s="1112" t="inlineStr">
        <is>
          <t>0.05</t>
        </is>
      </c>
      <c r="BI41" s="1112" t="inlineStr">
        <is>
          <t>0.06</t>
        </is>
      </c>
      <c r="BJ41" s="377" t="inlineStr">
        <is>
          <t>0.07</t>
        </is>
      </c>
      <c r="BK41" s="359" t="n"/>
      <c r="BL41" s="359" t="n"/>
      <c r="BM41" s="359" t="n"/>
      <c r="BN41" s="527" t="n"/>
      <c r="BO41" s="527" t="n"/>
      <c r="BP41" s="527" t="n"/>
      <c r="BQ41" s="527" t="n"/>
      <c r="BR41" s="527" t="n"/>
    </row>
    <row r="42">
      <c r="M42" s="1119" t="n"/>
      <c r="N42" s="1119" t="n"/>
      <c r="O42" s="1119" t="n"/>
      <c r="P42" s="1119" t="n"/>
      <c r="Q42" s="1119" t="n"/>
      <c r="R42" s="1119" t="n"/>
      <c r="S42" s="1119" t="n"/>
      <c r="T42" s="1119" t="n"/>
      <c r="U42" s="1119" t="n"/>
      <c r="V42" s="1119" t="n"/>
      <c r="W42" s="1119" t="n"/>
      <c r="X42" s="1119" t="n"/>
      <c r="Y42" s="1119" t="n"/>
      <c r="Z42" s="1119" t="n"/>
      <c r="AA42" s="1119" t="n"/>
      <c r="AB42" s="1119" t="n"/>
      <c r="AC42" s="1119" t="n"/>
      <c r="AD42" s="1119" t="n"/>
      <c r="AE42" s="1119" t="n"/>
      <c r="AF42" s="1119" t="n"/>
      <c r="AG42" s="1119" t="n"/>
      <c r="AH42" s="1119" t="n"/>
      <c r="AI42" s="1119" t="n"/>
      <c r="AJ42" s="1119" t="n"/>
      <c r="AK42" s="1119" t="n"/>
      <c r="AL42" s="1119" t="n"/>
      <c r="AM42" s="1119" t="n"/>
      <c r="AN42" s="1119" t="n"/>
      <c r="AO42" s="1119" t="n"/>
      <c r="AP42" s="1119" t="n"/>
      <c r="AQ42" s="527" t="n"/>
      <c r="AR42" s="527" t="n"/>
      <c r="AS42" s="527" t="n"/>
      <c r="AT42" s="527" t="n"/>
      <c r="AU42" s="527" t="n"/>
      <c r="AV42" s="527" t="n"/>
      <c r="AW42" s="527" t="n"/>
      <c r="AX42" s="527" t="n"/>
      <c r="AY42" s="527" t="n"/>
      <c r="AZ42" s="527" t="n"/>
      <c r="BA42" s="527" t="n"/>
      <c r="BB42" s="527" t="n"/>
      <c r="BC42" s="527" t="n"/>
      <c r="BD42" s="527" t="n"/>
      <c r="BE42" s="378" t="n"/>
      <c r="BF42" s="1112" t="inlineStr">
        <is>
          <t>1.35-1.50</t>
        </is>
      </c>
      <c r="BG42" s="1112" t="inlineStr">
        <is>
          <t>0.10</t>
        </is>
      </c>
      <c r="BH42" s="1112" t="inlineStr">
        <is>
          <t>0.10</t>
        </is>
      </c>
      <c r="BI42" s="1112" t="inlineStr">
        <is>
          <t>0.10</t>
        </is>
      </c>
      <c r="BJ42" s="377" t="inlineStr">
        <is>
          <t>0.10</t>
        </is>
      </c>
      <c r="BK42" s="359" t="n"/>
      <c r="BL42" s="359" t="n"/>
      <c r="BM42" s="359" t="n"/>
      <c r="BN42" s="527" t="n"/>
      <c r="BO42" s="527" t="n"/>
      <c r="BP42" s="527" t="n"/>
      <c r="BQ42" s="527" t="n"/>
      <c r="BR42" s="527" t="n"/>
    </row>
    <row r="43">
      <c r="M43" s="1119" t="n"/>
      <c r="N43" s="1119" t="n"/>
      <c r="O43" s="1119" t="n"/>
      <c r="P43" s="1119" t="n"/>
      <c r="Q43" s="1119" t="n"/>
      <c r="R43" s="1119" t="n"/>
      <c r="S43" s="1119" t="n"/>
      <c r="T43" s="1119" t="n"/>
      <c r="U43" s="1119" t="n"/>
      <c r="V43" s="1119" t="n"/>
      <c r="W43" s="1119" t="n"/>
      <c r="X43" s="1119" t="n"/>
      <c r="Y43" s="1119" t="n"/>
      <c r="Z43" s="1119" t="n"/>
      <c r="AA43" s="1119" t="n"/>
      <c r="AB43" s="1119" t="n"/>
      <c r="AC43" s="1119" t="n"/>
      <c r="AD43" s="1119" t="n"/>
      <c r="AE43" s="1119" t="n"/>
      <c r="AF43" s="1119" t="n"/>
      <c r="AG43" s="1119" t="n"/>
      <c r="AH43" s="1119" t="n"/>
      <c r="AI43" s="1119" t="n"/>
      <c r="AJ43" s="1119" t="n"/>
      <c r="AK43" s="1119" t="n"/>
      <c r="AL43" s="1119" t="n"/>
      <c r="AM43" s="1119" t="n"/>
      <c r="AN43" s="1119" t="n"/>
      <c r="AO43" s="1119" t="n"/>
      <c r="AP43" s="1119" t="n"/>
      <c r="AQ43" s="527" t="n"/>
      <c r="AR43" s="527" t="n"/>
      <c r="AS43" s="527" t="n"/>
      <c r="AT43" s="527" t="n"/>
      <c r="AU43" s="527" t="n"/>
      <c r="AV43" s="527" t="n"/>
      <c r="AW43" s="527" t="n"/>
      <c r="AX43" s="527" t="n"/>
      <c r="AY43" s="527" t="n"/>
      <c r="AZ43" s="527" t="n"/>
      <c r="BA43" s="527" t="n"/>
      <c r="BB43" s="527" t="n"/>
      <c r="BC43" s="527" t="n"/>
      <c r="BD43" s="527" t="n"/>
      <c r="BE43" s="378" t="inlineStr">
        <is>
          <t>Phosphorus</t>
        </is>
      </c>
      <c r="BF43" s="1112" t="inlineStr">
        <is>
          <t>over max</t>
        </is>
      </c>
      <c r="BG43" s="1112" t="inlineStr">
        <is>
          <t>0.005</t>
        </is>
      </c>
      <c r="BH43" s="1112" t="inlineStr">
        <is>
          <t>0.010</t>
        </is>
      </c>
      <c r="BI43" s="1112" t="inlineStr">
        <is>
          <t>0.010</t>
        </is>
      </c>
      <c r="BJ43" s="377" t="inlineStr">
        <is>
          <t>0.010</t>
        </is>
      </c>
      <c r="BK43" s="359" t="n"/>
      <c r="BL43" s="359" t="n"/>
      <c r="BM43" s="359" t="n"/>
      <c r="BN43" s="527" t="n"/>
      <c r="BO43" s="527" t="n"/>
      <c r="BP43" s="527" t="n"/>
      <c r="BQ43" s="527" t="n"/>
      <c r="BR43" s="527" t="n"/>
    </row>
    <row r="44">
      <c r="M44" s="1119" t="n"/>
      <c r="N44" s="1119" t="n"/>
      <c r="O44" s="1119" t="n"/>
      <c r="P44" s="1119" t="n"/>
      <c r="Q44" s="1119" t="n"/>
      <c r="R44" s="1119" t="n"/>
      <c r="S44" s="1119" t="n"/>
      <c r="T44" s="1119" t="n"/>
      <c r="U44" s="1119" t="n"/>
      <c r="V44" s="1119" t="n"/>
      <c r="W44" s="1119" t="n"/>
      <c r="X44" s="1119" t="n"/>
      <c r="Y44" s="1119" t="n"/>
      <c r="Z44" s="1119" t="n"/>
      <c r="AA44" s="1119" t="n"/>
      <c r="AB44" s="1119" t="n"/>
      <c r="AC44" s="1119" t="n"/>
      <c r="AD44" s="1119" t="n"/>
      <c r="AE44" s="1119" t="n"/>
      <c r="AF44" s="1119" t="n"/>
      <c r="AG44" s="1119" t="n"/>
      <c r="AH44" s="1119" t="n"/>
      <c r="AI44" s="1119" t="n"/>
      <c r="AJ44" s="1119" t="n"/>
      <c r="AK44" s="1119" t="n"/>
      <c r="AL44" s="1119" t="n"/>
      <c r="AM44" s="1119" t="n"/>
      <c r="AN44" s="1119" t="n"/>
      <c r="AO44" s="1119" t="n"/>
      <c r="AP44" s="1119" t="n"/>
      <c r="AQ44" s="527" t="n"/>
      <c r="AR44" s="527" t="n"/>
      <c r="AS44" s="527" t="n"/>
      <c r="AT44" s="527" t="n"/>
      <c r="AU44" s="527" t="n"/>
      <c r="AV44" s="527" t="n"/>
      <c r="AW44" s="527" t="n"/>
      <c r="AX44" s="527" t="n"/>
      <c r="AY44" s="527" t="n"/>
      <c r="AZ44" s="527" t="n"/>
      <c r="BA44" s="527" t="n"/>
      <c r="BB44" s="527" t="n"/>
      <c r="BC44" s="527" t="n"/>
      <c r="BD44" s="527" t="n"/>
      <c r="BE44" s="378" t="inlineStr">
        <is>
          <t>Sulfur</t>
        </is>
      </c>
      <c r="BF44" s="1113" t="inlineStr">
        <is>
          <t>over max</t>
        </is>
      </c>
      <c r="BG44" s="1113" t="inlineStr">
        <is>
          <t>0.005</t>
        </is>
      </c>
      <c r="BH44" s="1113" t="inlineStr">
        <is>
          <t>0.010</t>
        </is>
      </c>
      <c r="BI44" s="1113" t="inlineStr">
        <is>
          <t>0.010</t>
        </is>
      </c>
      <c r="BJ44" s="395" t="inlineStr">
        <is>
          <t>0.010</t>
        </is>
      </c>
      <c r="BK44" s="527" t="n"/>
      <c r="BL44" s="527" t="n"/>
      <c r="BM44" s="527" t="n"/>
      <c r="BN44" s="527" t="n"/>
      <c r="BO44" s="527" t="n"/>
      <c r="BP44" s="527" t="n"/>
      <c r="BQ44" s="527" t="n"/>
      <c r="BR44" s="527" t="n"/>
    </row>
    <row r="45">
      <c r="M45" s="1119" t="n"/>
      <c r="N45" s="1119" t="n"/>
      <c r="O45" s="1119" t="n"/>
      <c r="P45" s="1119" t="n"/>
      <c r="Q45" s="1119" t="n"/>
      <c r="R45" s="1119" t="n"/>
      <c r="S45" s="1119" t="n"/>
      <c r="T45" s="1119" t="n"/>
      <c r="U45" s="1119" t="n"/>
      <c r="V45" s="1119" t="n"/>
      <c r="W45" s="1119" t="n"/>
      <c r="X45" s="1119" t="n"/>
      <c r="Y45" s="1119" t="n"/>
      <c r="Z45" s="1119" t="n"/>
      <c r="AA45" s="1119" t="n"/>
      <c r="AB45" s="1119" t="n"/>
      <c r="AC45" s="1119" t="n"/>
      <c r="AD45" s="1119" t="n"/>
      <c r="AE45" s="1119" t="n"/>
      <c r="AF45" s="1119" t="n"/>
      <c r="AG45" s="1119" t="n"/>
      <c r="AH45" s="1119" t="n"/>
      <c r="AI45" s="1119" t="n"/>
      <c r="AJ45" s="1119" t="n"/>
      <c r="AK45" s="1119" t="n"/>
      <c r="AL45" s="1119" t="n"/>
      <c r="AM45" s="1119" t="n"/>
      <c r="AN45" s="1119" t="n"/>
      <c r="AO45" s="1119" t="n"/>
      <c r="AP45" s="1119" t="n"/>
      <c r="AQ45" s="527" t="n"/>
      <c r="AR45" s="527" t="n"/>
      <c r="AS45" s="527" t="n"/>
      <c r="AT45" s="527" t="n"/>
      <c r="AU45" s="527" t="n"/>
      <c r="AV45" s="527" t="n"/>
      <c r="AW45" s="527" t="n"/>
      <c r="AX45" s="527" t="n"/>
      <c r="AY45" s="527" t="n"/>
      <c r="AZ45" s="527" t="n"/>
      <c r="BA45" s="527" t="n"/>
      <c r="BB45" s="527" t="n"/>
      <c r="BC45" s="527" t="n"/>
      <c r="BD45" s="527" t="n"/>
      <c r="BE45" s="378" t="inlineStr">
        <is>
          <t>Silicon</t>
        </is>
      </c>
      <c r="BF45" s="1113" t="inlineStr">
        <is>
          <t>0.35</t>
        </is>
      </c>
      <c r="BG45" s="1113" t="inlineStr">
        <is>
          <t>0.02</t>
        </is>
      </c>
      <c r="BH45" s="1113" t="inlineStr">
        <is>
          <t>0.02</t>
        </is>
      </c>
      <c r="BI45" s="1113" t="inlineStr">
        <is>
          <t>0.03</t>
        </is>
      </c>
      <c r="BJ45" s="395" t="inlineStr">
        <is>
          <t>0.04</t>
        </is>
      </c>
      <c r="BK45" s="527" t="n"/>
      <c r="BL45" s="527" t="n"/>
      <c r="BM45" s="527" t="n"/>
      <c r="BN45" s="527" t="n"/>
      <c r="BO45" s="527" t="n"/>
      <c r="BP45" s="527" t="n"/>
      <c r="BQ45" s="527" t="n"/>
      <c r="BR45" s="527" t="n"/>
    </row>
    <row r="46">
      <c r="M46" s="1119" t="n"/>
      <c r="N46" s="1119" t="n"/>
      <c r="O46" s="1119" t="n"/>
      <c r="P46" s="1119" t="n"/>
      <c r="Q46" s="1119" t="n"/>
      <c r="R46" s="1119" t="n"/>
      <c r="S46" s="1119" t="n"/>
      <c r="T46" s="1119" t="n"/>
      <c r="U46" s="1119" t="n"/>
      <c r="V46" s="1119" t="n"/>
      <c r="Y46" s="1119" t="n"/>
      <c r="Z46" s="1119" t="n"/>
      <c r="AA46" s="1119" t="n"/>
      <c r="AB46" s="1119" t="n"/>
      <c r="AC46" s="1119" t="n"/>
      <c r="AD46" s="1119" t="n"/>
      <c r="AE46" s="1119" t="n"/>
      <c r="AF46" s="1119" t="n"/>
      <c r="AG46" s="1119" t="n"/>
      <c r="AH46" s="1119" t="n"/>
      <c r="AI46" s="1119" t="n"/>
      <c r="AJ46" s="1119" t="n"/>
      <c r="AK46" s="1119" t="n"/>
      <c r="AL46" s="1119" t="n"/>
      <c r="AM46" s="1119" t="n"/>
      <c r="AN46" s="1119" t="n"/>
      <c r="AO46" s="1119" t="n"/>
      <c r="AP46" s="1119" t="n"/>
      <c r="AQ46" s="527" t="n"/>
      <c r="AR46" s="527" t="n"/>
      <c r="AS46" s="527" t="n"/>
      <c r="AT46" s="527" t="n"/>
      <c r="AU46" s="527" t="n"/>
      <c r="AV46" s="527" t="n"/>
      <c r="AW46" s="527" t="n"/>
      <c r="AX46" s="527" t="n"/>
      <c r="AY46" s="527" t="n"/>
      <c r="AZ46" s="527" t="n"/>
      <c r="BA46" s="527" t="n"/>
      <c r="BB46" s="527" t="n"/>
      <c r="BC46" s="527" t="n"/>
      <c r="BD46" s="527" t="n"/>
      <c r="BE46" s="378" t="inlineStr">
        <is>
          <t>Nickel</t>
        </is>
      </c>
      <c r="BF46" s="1113" t="inlineStr">
        <is>
          <t>1.00</t>
        </is>
      </c>
      <c r="BG46" s="1113" t="inlineStr">
        <is>
          <t>0.03</t>
        </is>
      </c>
      <c r="BH46" s="1113" t="inlineStr">
        <is>
          <t>0.03</t>
        </is>
      </c>
      <c r="BI46" s="1113" t="inlineStr">
        <is>
          <t>0.03</t>
        </is>
      </c>
      <c r="BJ46" s="395" t="inlineStr">
        <is>
          <t>0.03</t>
        </is>
      </c>
      <c r="BK46" s="527" t="n"/>
      <c r="BL46" s="527" t="n"/>
      <c r="BM46" s="527" t="n"/>
      <c r="BN46" s="527" t="n"/>
      <c r="BO46" s="527" t="n"/>
      <c r="BP46" s="527" t="n"/>
      <c r="BQ46" s="527" t="n"/>
      <c r="BR46" s="527" t="n"/>
    </row>
    <row r="47">
      <c r="M47" s="1119" t="n"/>
      <c r="N47" s="1119" t="n"/>
      <c r="O47" s="1119" t="n"/>
      <c r="P47" s="1119" t="n"/>
      <c r="Q47" s="1119" t="n"/>
      <c r="R47" s="1119" t="n"/>
      <c r="S47" s="1119" t="n"/>
      <c r="T47" s="1119" t="n"/>
      <c r="U47" s="1119" t="n"/>
      <c r="V47" s="1119" t="n"/>
      <c r="Y47" s="1119" t="n"/>
      <c r="Z47" s="1119" t="n"/>
      <c r="AA47" s="1119" t="n"/>
      <c r="AB47" s="1119" t="n"/>
      <c r="AC47" s="1119" t="n"/>
      <c r="AD47" s="1119" t="n"/>
      <c r="AE47" s="1119" t="n"/>
      <c r="AF47" s="1119" t="n"/>
      <c r="AG47" s="1119" t="n"/>
      <c r="AH47" s="1119" t="n"/>
      <c r="AI47" s="1119" t="n"/>
      <c r="AJ47" s="1119" t="n"/>
      <c r="AK47" s="1119" t="n"/>
      <c r="AL47" s="1119" t="n"/>
      <c r="AM47" s="1119" t="n"/>
      <c r="AN47" s="1119" t="n"/>
      <c r="AO47" s="1119" t="n"/>
      <c r="AP47" s="1119" t="n"/>
      <c r="AQ47" s="527" t="n"/>
      <c r="AR47" s="527" t="n"/>
      <c r="AS47" s="527" t="n"/>
      <c r="AT47" s="527" t="n"/>
      <c r="AU47" s="527" t="n"/>
      <c r="AV47" s="527" t="n"/>
      <c r="AW47" s="527" t="n"/>
      <c r="AX47" s="527" t="n"/>
      <c r="AY47" s="527" t="n"/>
      <c r="AZ47" s="527" t="n"/>
      <c r="BA47" s="527" t="n"/>
      <c r="BB47" s="527" t="n"/>
      <c r="BC47" s="527" t="n"/>
      <c r="BD47" s="527" t="n"/>
      <c r="BE47" s="378" t="n"/>
      <c r="BF47" s="1113" t="inlineStr">
        <is>
          <t>1.00-2.00</t>
        </is>
      </c>
      <c r="BG47" s="1113" t="inlineStr">
        <is>
          <t>0.05</t>
        </is>
      </c>
      <c r="BH47" s="1113" t="inlineStr">
        <is>
          <t>0.05</t>
        </is>
      </c>
      <c r="BI47" s="1113" t="inlineStr">
        <is>
          <t>0.05</t>
        </is>
      </c>
      <c r="BJ47" s="395" t="inlineStr">
        <is>
          <t>0.05</t>
        </is>
      </c>
      <c r="BK47" s="527" t="n"/>
      <c r="BL47" s="527" t="n"/>
      <c r="BM47" s="527" t="n"/>
      <c r="BN47" s="527" t="n"/>
      <c r="BO47" s="527" t="n"/>
      <c r="BP47" s="527" t="n"/>
      <c r="BQ47" s="527" t="n"/>
      <c r="BR47" s="527" t="n"/>
    </row>
    <row r="48">
      <c r="M48" s="1119" t="n"/>
      <c r="N48" s="1119" t="n"/>
      <c r="O48" s="1119" t="n"/>
      <c r="P48" s="1119" t="n"/>
      <c r="Q48" s="1119" t="n"/>
      <c r="R48" s="1119" t="n"/>
      <c r="S48" s="1119" t="n"/>
      <c r="T48" s="1119" t="n"/>
      <c r="U48" s="1119" t="n"/>
      <c r="V48" s="1119" t="n"/>
      <c r="W48" s="1119" t="n"/>
      <c r="X48" s="1119" t="n"/>
      <c r="Y48" s="1119" t="n"/>
      <c r="Z48" s="1119" t="n"/>
      <c r="AA48" s="1119" t="n"/>
      <c r="AB48" s="1119" t="n"/>
      <c r="AC48" s="1119" t="n"/>
      <c r="AD48" s="1119" t="n"/>
      <c r="AE48" s="1119" t="n"/>
      <c r="AF48" s="1119" t="n"/>
      <c r="AG48" s="1119" t="n"/>
      <c r="AH48" s="1119" t="n"/>
      <c r="AI48" s="1119" t="n"/>
      <c r="AJ48" s="1119" t="n"/>
      <c r="AK48" s="1119" t="n"/>
      <c r="AL48" s="1119" t="n"/>
      <c r="AM48" s="1119" t="n"/>
      <c r="AN48" s="1119" t="n"/>
      <c r="AO48" s="1119" t="n"/>
      <c r="AP48" s="1119" t="n"/>
      <c r="AQ48" s="527" t="n"/>
      <c r="AR48" s="527" t="n"/>
      <c r="AS48" s="527" t="n"/>
      <c r="AT48" s="527" t="n"/>
      <c r="AU48" s="527" t="n"/>
      <c r="AV48" s="527" t="n"/>
      <c r="AW48" s="527" t="n"/>
      <c r="AX48" s="527" t="n"/>
      <c r="AY48" s="527" t="n"/>
      <c r="AZ48" s="527" t="n"/>
      <c r="BA48" s="527" t="n"/>
      <c r="BB48" s="527" t="n"/>
      <c r="BC48" s="527" t="n"/>
      <c r="BD48" s="527" t="n"/>
      <c r="BE48" s="378" t="n"/>
      <c r="BF48" s="1113" t="inlineStr">
        <is>
          <t>2.00-5.20</t>
        </is>
      </c>
      <c r="BG48" s="1113" t="inlineStr">
        <is>
          <t>0.07</t>
        </is>
      </c>
      <c r="BH48" s="1113" t="inlineStr">
        <is>
          <t>0.07</t>
        </is>
      </c>
      <c r="BI48" s="1113" t="inlineStr">
        <is>
          <t>0.07</t>
        </is>
      </c>
      <c r="BJ48" s="395" t="inlineStr">
        <is>
          <t>0.07</t>
        </is>
      </c>
      <c r="BK48" s="527" t="n"/>
      <c r="BL48" s="527" t="n"/>
      <c r="BM48" s="527" t="n"/>
      <c r="BN48" s="527" t="n"/>
      <c r="BO48" s="527" t="n"/>
      <c r="BP48" s="527" t="n"/>
      <c r="BQ48" s="527" t="n"/>
      <c r="BR48" s="527" t="n"/>
    </row>
    <row r="49">
      <c r="M49" s="1119" t="n"/>
      <c r="N49" s="1119" t="n"/>
      <c r="O49" s="1119" t="n"/>
      <c r="P49" s="1119" t="n"/>
      <c r="Q49" s="1119" t="n"/>
      <c r="R49" s="1119" t="n"/>
      <c r="S49" s="1119" t="n"/>
      <c r="AH49" s="1119" t="n"/>
      <c r="AI49" s="1119" t="n"/>
      <c r="AJ49" s="1119" t="n"/>
      <c r="AK49" s="1119" t="n"/>
      <c r="AL49" s="1119" t="n"/>
      <c r="AM49" s="1119" t="n"/>
      <c r="AN49" s="1119" t="n"/>
      <c r="AO49" s="1119" t="n"/>
      <c r="AP49" s="1119" t="n"/>
      <c r="AQ49" s="527" t="n"/>
      <c r="AR49" s="527" t="n"/>
      <c r="AS49" s="527" t="n"/>
      <c r="AT49" s="527" t="n"/>
      <c r="AU49" s="527" t="n"/>
      <c r="AV49" s="527" t="n"/>
      <c r="AW49" s="527" t="n"/>
      <c r="AX49" s="527" t="n"/>
      <c r="AY49" s="527" t="n"/>
      <c r="AZ49" s="527" t="n"/>
      <c r="BA49" s="527" t="n"/>
      <c r="BB49" s="527" t="n"/>
      <c r="BC49" s="527" t="n"/>
      <c r="BD49" s="527" t="n"/>
      <c r="BE49" s="378" t="inlineStr">
        <is>
          <t>Copper</t>
        </is>
      </c>
      <c r="BF49" s="1113" t="inlineStr">
        <is>
          <t>0.75</t>
        </is>
      </c>
      <c r="BG49" s="1113" t="inlineStr">
        <is>
          <t>0.03</t>
        </is>
      </c>
      <c r="BH49" s="1113" t="inlineStr">
        <is>
          <t>0.03</t>
        </is>
      </c>
      <c r="BI49" s="1113" t="inlineStr">
        <is>
          <t>0.03</t>
        </is>
      </c>
      <c r="BJ49" s="395" t="inlineStr">
        <is>
          <t>0.03</t>
        </is>
      </c>
      <c r="BK49" s="527" t="n"/>
      <c r="BL49" s="527" t="n"/>
      <c r="BM49" s="527" t="n"/>
      <c r="BN49" s="527" t="n"/>
      <c r="BO49" s="527" t="n"/>
      <c r="BP49" s="527" t="n"/>
      <c r="BQ49" s="527" t="n"/>
      <c r="BR49" s="527" t="n"/>
    </row>
    <row r="50">
      <c r="M50" s="1119" t="n"/>
      <c r="N50" s="1119" t="n"/>
      <c r="O50" s="1119" t="n"/>
      <c r="P50" s="1119" t="n"/>
      <c r="Q50" s="1119" t="n"/>
      <c r="R50" s="1119" t="n"/>
      <c r="S50" s="1119" t="n"/>
      <c r="AH50" s="1119" t="n"/>
      <c r="AI50" s="1119" t="n"/>
      <c r="AJ50" s="1119" t="n"/>
      <c r="AK50" s="1119" t="n"/>
      <c r="AL50" s="1119" t="n"/>
      <c r="AM50" s="1119" t="n"/>
      <c r="AN50" s="1119" t="n"/>
      <c r="AO50" s="1119" t="n"/>
      <c r="AP50" s="1119" t="n"/>
      <c r="AQ50" s="527" t="n"/>
      <c r="AR50" s="527" t="n"/>
      <c r="AS50" s="527" t="n"/>
      <c r="AT50" s="527" t="n"/>
      <c r="AU50" s="527" t="n"/>
      <c r="AV50" s="527" t="n"/>
      <c r="AW50" s="527" t="n"/>
      <c r="AX50" s="527" t="n"/>
      <c r="AY50" s="527" t="n"/>
      <c r="AZ50" s="527" t="n"/>
      <c r="BA50" s="527" t="n"/>
      <c r="BB50" s="527" t="n"/>
      <c r="BC50" s="527" t="n"/>
      <c r="BD50" s="527" t="n"/>
      <c r="BE50" s="378" t="n"/>
      <c r="BF50" s="1113" t="inlineStr">
        <is>
          <t>0.75-1.30</t>
        </is>
      </c>
      <c r="BG50" s="1113" t="inlineStr">
        <is>
          <t>0.05</t>
        </is>
      </c>
      <c r="BH50" s="1113" t="inlineStr">
        <is>
          <t>0.05</t>
        </is>
      </c>
      <c r="BI50" s="1113" t="inlineStr">
        <is>
          <t>0.05</t>
        </is>
      </c>
      <c r="BJ50" s="395" t="inlineStr">
        <is>
          <t>0.05</t>
        </is>
      </c>
      <c r="BK50" s="527" t="n"/>
      <c r="BL50" s="527" t="n"/>
      <c r="BM50" s="527" t="n"/>
      <c r="BN50" s="527" t="n"/>
      <c r="BO50" s="527" t="n"/>
      <c r="BP50" s="527" t="n"/>
      <c r="BQ50" s="527" t="n"/>
      <c r="BR50" s="527" t="n"/>
    </row>
    <row r="51">
      <c r="M51" s="1119" t="n"/>
      <c r="N51" s="1119" t="n"/>
      <c r="O51" s="1119" t="n"/>
      <c r="P51" s="1119" t="n"/>
      <c r="Q51" s="1119" t="n"/>
      <c r="R51" s="1119" t="n"/>
      <c r="S51" s="1119" t="n"/>
      <c r="AH51" s="1119" t="n"/>
      <c r="AI51" s="1119" t="n"/>
      <c r="AJ51" s="1119" t="n"/>
      <c r="AK51" s="1119" t="n"/>
      <c r="AL51" s="1119" t="n"/>
      <c r="AM51" s="1119" t="n"/>
      <c r="AN51" s="1119" t="n"/>
      <c r="AO51" s="1119" t="n"/>
      <c r="AP51" s="1119" t="n"/>
      <c r="AQ51" s="527" t="n"/>
      <c r="AR51" s="527" t="n"/>
      <c r="AS51" s="527" t="n"/>
      <c r="AT51" s="527" t="n"/>
      <c r="AU51" s="527" t="n"/>
      <c r="AV51" s="527" t="n"/>
      <c r="AW51" s="527" t="n"/>
      <c r="AX51" s="527" t="n"/>
      <c r="AY51" s="527" t="n"/>
      <c r="AZ51" s="527" t="n"/>
      <c r="BA51" s="527" t="n"/>
      <c r="BB51" s="527" t="n"/>
      <c r="BC51" s="527" t="n"/>
      <c r="BD51" s="527" t="n"/>
      <c r="BE51" s="378" t="inlineStr">
        <is>
          <t>Chromium</t>
        </is>
      </c>
      <c r="BF51" s="1113" t="inlineStr">
        <is>
          <t>0.90</t>
        </is>
      </c>
      <c r="BG51" s="1113" t="inlineStr">
        <is>
          <t>0.04</t>
        </is>
      </c>
      <c r="BH51" s="1113" t="inlineStr">
        <is>
          <t>0.04</t>
        </is>
      </c>
      <c r="BI51" s="1113" t="inlineStr">
        <is>
          <t>0.04</t>
        </is>
      </c>
      <c r="BJ51" s="395" t="inlineStr">
        <is>
          <t>0.04</t>
        </is>
      </c>
      <c r="BK51" s="527" t="n"/>
      <c r="BL51" s="527" t="n"/>
      <c r="BM51" s="527" t="n"/>
      <c r="BN51" s="527" t="n"/>
      <c r="BO51" s="527" t="n"/>
      <c r="BP51" s="527" t="n"/>
      <c r="BQ51" s="527" t="n"/>
      <c r="BR51" s="527" t="n"/>
    </row>
    <row r="52">
      <c r="M52" s="1119" t="n"/>
      <c r="N52" s="1119" t="n"/>
      <c r="O52" s="1119" t="n"/>
      <c r="P52" s="1119" t="n"/>
      <c r="Q52" s="1119" t="n"/>
      <c r="R52" s="1119" t="n"/>
      <c r="S52" s="1119" t="n"/>
      <c r="AH52" s="1119" t="n"/>
      <c r="AI52" s="1119" t="n"/>
      <c r="AJ52" s="1119" t="n"/>
      <c r="AK52" s="1119" t="n"/>
      <c r="AL52" s="1119" t="n"/>
      <c r="AM52" s="1119" t="n"/>
      <c r="AN52" s="1119" t="n"/>
      <c r="AO52" s="1119" t="n"/>
      <c r="AP52" s="1119" t="n"/>
      <c r="AQ52" s="527" t="n"/>
      <c r="AR52" s="527" t="n"/>
      <c r="AS52" s="527" t="n"/>
      <c r="AT52" s="527" t="n"/>
      <c r="AU52" s="527" t="n"/>
      <c r="AV52" s="527" t="n"/>
      <c r="AW52" s="527" t="n"/>
      <c r="AX52" s="527" t="n"/>
      <c r="AY52" s="527" t="n"/>
      <c r="AZ52" s="527" t="n"/>
      <c r="BA52" s="527" t="n"/>
      <c r="BB52" s="527" t="n"/>
      <c r="BC52" s="527" t="n"/>
      <c r="BD52" s="527" t="n"/>
      <c r="BE52" s="378" t="inlineStr">
        <is>
          <t>Molybdenum</t>
        </is>
      </c>
      <c r="BF52" s="1113" t="inlineStr">
        <is>
          <t>0.20</t>
        </is>
      </c>
      <c r="BG52" s="1113" t="inlineStr">
        <is>
          <t>0.01</t>
        </is>
      </c>
      <c r="BH52" s="1113" t="inlineStr">
        <is>
          <t>0.01</t>
        </is>
      </c>
      <c r="BI52" s="1113" t="inlineStr">
        <is>
          <t>0.01</t>
        </is>
      </c>
      <c r="BJ52" s="395" t="inlineStr">
        <is>
          <t>0.01</t>
        </is>
      </c>
      <c r="BK52" s="527" t="n"/>
      <c r="BL52" s="527" t="n"/>
      <c r="BM52" s="527" t="n"/>
      <c r="BN52" s="527" t="n"/>
      <c r="BO52" s="527" t="n"/>
      <c r="BP52" s="527" t="n"/>
      <c r="BQ52" s="527" t="n"/>
      <c r="BR52" s="527" t="n"/>
    </row>
    <row r="53">
      <c r="M53" s="1119" t="n"/>
      <c r="N53" s="1119" t="n"/>
      <c r="O53" s="1119" t="n"/>
      <c r="P53" s="1119" t="n"/>
      <c r="Q53" s="1119" t="n"/>
      <c r="R53" s="1119" t="n"/>
      <c r="S53" s="1119" t="n"/>
      <c r="AH53" s="1119" t="n"/>
      <c r="AI53" s="1119" t="n"/>
      <c r="AJ53" s="1119" t="n"/>
      <c r="AK53" s="1119" t="n"/>
      <c r="AL53" s="1119" t="n"/>
      <c r="AM53" s="1119" t="n"/>
      <c r="AN53" s="1119" t="n"/>
      <c r="AO53" s="1119" t="n"/>
      <c r="AP53" s="1119" t="n"/>
      <c r="AQ53" s="527" t="n"/>
      <c r="AR53" s="527" t="n"/>
      <c r="AS53" s="527" t="n"/>
      <c r="AT53" s="527" t="n"/>
      <c r="AU53" s="527" t="n"/>
      <c r="AV53" s="527" t="n"/>
      <c r="AW53" s="527" t="n"/>
      <c r="AX53" s="527" t="n"/>
      <c r="AY53" s="527" t="n"/>
      <c r="AZ53" s="527" t="n"/>
      <c r="BA53" s="527" t="n"/>
      <c r="BB53" s="527" t="n"/>
      <c r="BC53" s="527" t="n"/>
      <c r="BD53" s="527" t="n"/>
      <c r="BE53" s="378" t="n"/>
      <c r="BF53" s="1113" t="inlineStr">
        <is>
          <t>0.20-0.40</t>
        </is>
      </c>
      <c r="BG53" s="1113" t="inlineStr">
        <is>
          <t>0.03</t>
        </is>
      </c>
      <c r="BH53" s="1113" t="inlineStr">
        <is>
          <t>0.03</t>
        </is>
      </c>
      <c r="BI53" s="1113" t="inlineStr">
        <is>
          <t>0.03</t>
        </is>
      </c>
      <c r="BJ53" s="395" t="inlineStr">
        <is>
          <t>0.03</t>
        </is>
      </c>
      <c r="BK53" s="527" t="n"/>
      <c r="BL53" s="527" t="n"/>
      <c r="BM53" s="527" t="n"/>
      <c r="BN53" s="527" t="n"/>
      <c r="BO53" s="527" t="n"/>
      <c r="BP53" s="527" t="n"/>
      <c r="BQ53" s="527" t="n"/>
      <c r="BR53" s="527" t="n"/>
    </row>
    <row r="54">
      <c r="M54" s="1119" t="n"/>
      <c r="N54" s="1119" t="n"/>
      <c r="O54" s="1119" t="n"/>
      <c r="P54" s="1119" t="n"/>
      <c r="Q54" s="1119" t="n"/>
      <c r="R54" s="1119" t="n"/>
      <c r="S54" s="1119" t="n"/>
      <c r="AH54" s="1119" t="n"/>
      <c r="AI54" s="1119" t="n"/>
      <c r="AJ54" s="1119" t="n"/>
      <c r="AK54" s="1119" t="n"/>
      <c r="AL54" s="1119" t="n"/>
      <c r="AM54" s="1119" t="n"/>
      <c r="AN54" s="1119" t="n"/>
      <c r="AO54" s="1119" t="n"/>
      <c r="AP54" s="1119" t="n"/>
      <c r="AQ54" s="527" t="n"/>
      <c r="AR54" s="527" t="n"/>
      <c r="AS54" s="527" t="n"/>
      <c r="AT54" s="527" t="n"/>
      <c r="AU54" s="527" t="n"/>
      <c r="AV54" s="527" t="n"/>
      <c r="AW54" s="527" t="n"/>
      <c r="AX54" s="527" t="n"/>
      <c r="AY54" s="527" t="n"/>
      <c r="AZ54" s="527" t="n"/>
      <c r="BA54" s="527" t="n"/>
      <c r="BB54" s="527" t="n"/>
      <c r="BC54" s="527" t="n"/>
      <c r="BD54" s="527" t="n"/>
      <c r="BE54" s="378" t="inlineStr">
        <is>
          <t>Columbium</t>
        </is>
      </c>
      <c r="BF54" s="1113" t="inlineStr">
        <is>
          <t>0.10</t>
        </is>
      </c>
      <c r="BG54" s="1113" t="inlineStr">
        <is>
          <t>0.01</t>
        </is>
      </c>
      <c r="BH54" s="1113" t="inlineStr">
        <is>
          <t>0.01</t>
        </is>
      </c>
      <c r="BI54" s="1113" t="inlineStr">
        <is>
          <t>0.01</t>
        </is>
      </c>
      <c r="BJ54" s="395" t="inlineStr">
        <is>
          <t>0.01</t>
        </is>
      </c>
      <c r="BK54" s="527" t="n"/>
      <c r="BL54" s="527" t="n"/>
      <c r="BM54" s="527" t="n"/>
      <c r="BN54" s="527" t="n"/>
      <c r="BO54" s="527" t="n"/>
      <c r="BP54" s="527" t="n"/>
      <c r="BQ54" s="527" t="n"/>
      <c r="BR54" s="527" t="n"/>
    </row>
    <row r="55">
      <c r="M55" s="1119" t="n"/>
      <c r="N55" s="1119" t="n"/>
      <c r="O55" s="1119" t="n"/>
      <c r="P55" s="1119" t="n"/>
      <c r="Q55" s="1119" t="n"/>
      <c r="R55" s="1119" t="n"/>
      <c r="S55" s="1119" t="n"/>
      <c r="AH55" s="1119" t="n"/>
      <c r="AI55" s="1119" t="n"/>
      <c r="AJ55" s="1119" t="n"/>
      <c r="AK55" s="1119" t="n"/>
      <c r="AL55" s="1119" t="n"/>
      <c r="AM55" s="1119" t="n"/>
      <c r="AN55" s="1119" t="n"/>
      <c r="AO55" s="1119" t="n"/>
      <c r="AP55" s="1119" t="n"/>
      <c r="AQ55" s="527" t="n"/>
      <c r="AR55" s="527" t="n"/>
      <c r="AS55" s="527" t="n"/>
      <c r="AT55" s="527" t="n"/>
      <c r="AU55" s="527" t="n"/>
      <c r="AV55" s="527" t="n"/>
      <c r="AW55" s="527" t="n"/>
      <c r="AX55" s="527" t="n"/>
      <c r="AY55" s="527" t="n"/>
      <c r="AZ55" s="527" t="n"/>
      <c r="BA55" s="527" t="n"/>
      <c r="BB55" s="527" t="n"/>
      <c r="BC55" s="527" t="n"/>
      <c r="BD55" s="527" t="n"/>
      <c r="BE55" s="378" t="inlineStr">
        <is>
          <t>Vanadium</t>
        </is>
      </c>
      <c r="BF55" s="1113" t="inlineStr">
        <is>
          <t>0.10</t>
        </is>
      </c>
      <c r="BG55" s="1113" t="inlineStr">
        <is>
          <t>0.01</t>
        </is>
      </c>
      <c r="BH55" s="1113" t="inlineStr">
        <is>
          <t>0.01</t>
        </is>
      </c>
      <c r="BI55" s="1113" t="inlineStr">
        <is>
          <t>0.01</t>
        </is>
      </c>
      <c r="BJ55" s="395" t="inlineStr">
        <is>
          <t>0.01</t>
        </is>
      </c>
      <c r="BK55" s="527" t="n"/>
      <c r="BL55" s="527" t="n"/>
      <c r="BM55" s="527" t="n"/>
      <c r="BN55" s="527" t="n"/>
      <c r="BO55" s="527" t="n"/>
      <c r="BP55" s="527" t="n"/>
      <c r="BQ55" s="527" t="n"/>
      <c r="BR55" s="527" t="n"/>
    </row>
    <row r="56">
      <c r="M56" s="1119" t="n"/>
      <c r="N56" s="1119" t="n"/>
      <c r="O56" s="1119" t="n"/>
      <c r="P56" s="1119" t="n"/>
      <c r="Q56" s="1119" t="n"/>
      <c r="R56" s="1119" t="n"/>
      <c r="S56" s="1119" t="n"/>
      <c r="AH56" s="1119" t="n"/>
      <c r="AI56" s="1119" t="n"/>
      <c r="AJ56" s="1119" t="n"/>
      <c r="AK56" s="1119" t="n"/>
      <c r="AL56" s="1119" t="n"/>
      <c r="AM56" s="1119" t="n"/>
      <c r="AN56" s="1119" t="n"/>
      <c r="AO56" s="1119" t="n"/>
      <c r="AP56" s="1119" t="n"/>
      <c r="AQ56" s="527" t="n"/>
      <c r="AR56" s="527" t="n"/>
      <c r="AS56" s="527" t="n"/>
      <c r="AT56" s="527" t="n"/>
      <c r="AU56" s="527" t="n"/>
      <c r="AV56" s="527" t="n"/>
      <c r="AW56" s="527" t="n"/>
      <c r="AX56" s="527" t="n"/>
      <c r="AY56" s="527" t="n"/>
      <c r="AZ56" s="527" t="n"/>
      <c r="BA56" s="527" t="n"/>
      <c r="BB56" s="527" t="n"/>
      <c r="BC56" s="527" t="n"/>
      <c r="BD56" s="527" t="n"/>
      <c r="BE56" s="378" t="n"/>
      <c r="BF56" s="1113" t="inlineStr">
        <is>
          <t>0.11-0.25</t>
        </is>
      </c>
      <c r="BG56" s="1113" t="inlineStr">
        <is>
          <t>0.02</t>
        </is>
      </c>
      <c r="BH56" s="1113" t="inlineStr">
        <is>
          <t>0.02</t>
        </is>
      </c>
      <c r="BI56" s="1113" t="inlineStr">
        <is>
          <t>0.02</t>
        </is>
      </c>
      <c r="BJ56" s="395" t="inlineStr">
        <is>
          <t>0.02</t>
        </is>
      </c>
      <c r="BK56" s="527" t="n"/>
      <c r="BL56" s="527" t="n"/>
      <c r="BM56" s="527" t="n"/>
      <c r="BN56" s="527" t="n"/>
      <c r="BO56" s="527" t="n"/>
      <c r="BP56" s="527" t="n"/>
      <c r="BQ56" s="527" t="n"/>
      <c r="BR56" s="527" t="n"/>
    </row>
    <row r="57">
      <c r="M57" s="1119" t="n"/>
      <c r="N57" s="1119" t="n"/>
      <c r="O57" s="1119" t="n"/>
      <c r="P57" s="1119" t="n"/>
      <c r="Q57" s="1119" t="n"/>
      <c r="R57" s="1119" t="n"/>
      <c r="S57" s="1119" t="n"/>
      <c r="AH57" s="1119" t="n"/>
      <c r="AI57" s="1119" t="n"/>
      <c r="AJ57" s="1119" t="n"/>
      <c r="AK57" s="1119" t="n"/>
      <c r="AL57" s="1119" t="n"/>
      <c r="AM57" s="1119" t="n"/>
      <c r="AN57" s="1119" t="n"/>
      <c r="AO57" s="1119" t="n"/>
      <c r="AP57" s="1119" t="n"/>
      <c r="AQ57" s="527" t="n"/>
      <c r="AR57" s="527" t="n"/>
      <c r="AS57" s="527" t="n"/>
      <c r="AT57" s="527" t="n"/>
      <c r="AU57" s="527" t="n"/>
      <c r="AV57" s="527" t="n"/>
      <c r="AW57" s="527" t="n"/>
      <c r="AX57" s="527" t="n"/>
      <c r="AY57" s="527" t="n"/>
      <c r="AZ57" s="527" t="n"/>
      <c r="BA57" s="527" t="n"/>
      <c r="BB57" s="527" t="n"/>
      <c r="BC57" s="527" t="n"/>
      <c r="BD57" s="527" t="n"/>
      <c r="BE57" s="378" t="inlineStr">
        <is>
          <t>Nitrogen</t>
        </is>
      </c>
      <c r="BF57" s="1113" t="inlineStr">
        <is>
          <t>0.02</t>
        </is>
      </c>
      <c r="BG57" s="1113" t="inlineStr">
        <is>
          <t>0.005</t>
        </is>
      </c>
      <c r="BH57" s="1113" t="inlineStr">
        <is>
          <t>0.005</t>
        </is>
      </c>
      <c r="BI57" s="1113" t="inlineStr">
        <is>
          <t>0.005</t>
        </is>
      </c>
      <c r="BJ57" s="395" t="inlineStr">
        <is>
          <t>0.005</t>
        </is>
      </c>
      <c r="BK57" s="527" t="n"/>
      <c r="BL57" s="527" t="n"/>
      <c r="BM57" s="527" t="n"/>
      <c r="BN57" s="527" t="n"/>
      <c r="BO57" s="527" t="n"/>
      <c r="BP57" s="527" t="n"/>
      <c r="BQ57" s="527" t="n"/>
      <c r="BR57" s="527" t="n"/>
    </row>
    <row r="58">
      <c r="M58" s="1119" t="n"/>
      <c r="N58" s="1119" t="n"/>
      <c r="O58" s="1119" t="n"/>
      <c r="P58" s="1119" t="n"/>
      <c r="Q58" s="1119" t="n"/>
      <c r="R58" s="1119" t="n"/>
      <c r="S58" s="1119" t="n"/>
      <c r="AH58" s="1119" t="n"/>
      <c r="AI58" s="1119" t="n"/>
      <c r="AJ58" s="1119" t="n"/>
      <c r="AK58" s="1119" t="n"/>
      <c r="AL58" s="1119" t="n"/>
      <c r="AM58" s="1119" t="n"/>
      <c r="AN58" s="1119" t="n"/>
      <c r="AO58" s="1119" t="n"/>
      <c r="AP58" s="1119" t="n"/>
      <c r="AQ58" s="527" t="n"/>
      <c r="AR58" s="527" t="n"/>
      <c r="AS58" s="527" t="n"/>
      <c r="AT58" s="527" t="n"/>
      <c r="AU58" s="527" t="n"/>
      <c r="AV58" s="527" t="n"/>
      <c r="AW58" s="527" t="n"/>
      <c r="AX58" s="527" t="n"/>
      <c r="AY58" s="527" t="n"/>
      <c r="AZ58" s="527" t="n"/>
      <c r="BA58" s="527" t="n"/>
      <c r="BB58" s="527" t="n"/>
      <c r="BC58" s="527" t="n"/>
      <c r="BD58" s="527" t="n"/>
      <c r="BE58" s="408" t="n"/>
      <c r="BF58" s="1117" t="inlineStr">
        <is>
          <t>0.02-0.19</t>
        </is>
      </c>
      <c r="BG58" s="1117" t="inlineStr">
        <is>
          <t>0.01</t>
        </is>
      </c>
      <c r="BH58" s="1117" t="inlineStr">
        <is>
          <t>0.01</t>
        </is>
      </c>
      <c r="BI58" s="1117" t="inlineStr">
        <is>
          <t>0.01</t>
        </is>
      </c>
      <c r="BJ58" s="399" t="inlineStr">
        <is>
          <t>0.01</t>
        </is>
      </c>
      <c r="BK58" s="527" t="n"/>
      <c r="BL58" s="527" t="n"/>
      <c r="BM58" s="527" t="n"/>
      <c r="BN58" s="527" t="n"/>
      <c r="BO58" s="527" t="n"/>
      <c r="BP58" s="527" t="n"/>
      <c r="BQ58" s="527" t="n"/>
      <c r="BR58" s="527" t="n"/>
    </row>
    <row r="59">
      <c r="M59" s="1119" t="n"/>
      <c r="N59" s="1119" t="n"/>
      <c r="O59" s="1119" t="n"/>
      <c r="P59" s="1119" t="n"/>
      <c r="Q59" s="1119" t="n"/>
      <c r="R59" s="1119" t="n"/>
      <c r="S59" s="1119" t="n"/>
      <c r="AH59" s="1119" t="n"/>
      <c r="AI59" s="1119" t="n"/>
      <c r="AJ59" s="1119" t="n"/>
      <c r="AK59" s="1119" t="n"/>
      <c r="AL59" s="1119" t="n"/>
      <c r="AM59" s="1119" t="n"/>
      <c r="AN59" s="1119" t="n"/>
      <c r="AO59" s="1119" t="n"/>
      <c r="AP59" s="1119" t="n"/>
      <c r="AQ59" s="527" t="n"/>
      <c r="AR59" s="527" t="n"/>
      <c r="AS59" s="527" t="n"/>
      <c r="AT59" s="527" t="n"/>
      <c r="AU59" s="527" t="n"/>
      <c r="AV59" s="527" t="n"/>
      <c r="AW59" s="527" t="n"/>
      <c r="AX59" s="527" t="n"/>
      <c r="AY59" s="527" t="n"/>
      <c r="AZ59" s="527" t="n"/>
      <c r="BA59" s="527" t="n"/>
      <c r="BB59" s="527" t="n"/>
      <c r="BC59" s="527" t="n"/>
      <c r="BD59" s="527" t="n"/>
      <c r="BE59" s="527" t="n"/>
      <c r="BF59" s="362" t="n"/>
      <c r="BG59" s="527" t="n"/>
      <c r="BH59" s="527" t="n"/>
      <c r="BI59" s="527" t="n"/>
      <c r="BJ59" s="527" t="n"/>
      <c r="BK59" s="527" t="n"/>
      <c r="BL59" s="527" t="n"/>
      <c r="BM59" s="527" t="n"/>
      <c r="BN59" s="527" t="n"/>
      <c r="BO59" s="527" t="n"/>
      <c r="BP59" s="527" t="n"/>
      <c r="BQ59" s="527" t="n"/>
      <c r="BR59" s="527" t="n"/>
    </row>
    <row r="60" ht="15" customHeight="1" s="510">
      <c r="M60" s="1119" t="n"/>
      <c r="N60" s="1119" t="n"/>
      <c r="O60" s="1119" t="n"/>
      <c r="P60" s="1119" t="n"/>
      <c r="Q60" s="1119" t="n"/>
      <c r="R60" s="1119" t="n"/>
      <c r="S60" s="1119" t="n"/>
      <c r="AH60" s="1119" t="n"/>
      <c r="AI60" s="1119" t="n"/>
      <c r="AJ60" s="1119" t="n"/>
      <c r="AK60" s="1119" t="n"/>
      <c r="AL60" s="1119" t="n"/>
      <c r="AM60" s="1119" t="n"/>
      <c r="AN60" s="1119" t="n"/>
      <c r="AO60" s="1119" t="n"/>
      <c r="AP60" s="1119" t="n"/>
      <c r="AQ60" s="527" t="n"/>
      <c r="AR60" s="527" t="n"/>
      <c r="AS60" s="527" t="n"/>
      <c r="AT60" s="527" t="n"/>
      <c r="AU60" s="527" t="n"/>
      <c r="AV60" s="527" t="n"/>
      <c r="AW60" s="527" t="n"/>
      <c r="AX60" s="527" t="n"/>
      <c r="AY60" s="527" t="n"/>
      <c r="AZ60" s="527" t="n"/>
      <c r="BA60" s="527" t="n"/>
      <c r="BB60" s="527" t="n"/>
      <c r="BC60" s="527" t="n"/>
      <c r="BD60" s="527" t="n"/>
      <c r="BE60" s="1213" t="inlineStr">
        <is>
          <t>A350 Tensile Proporties at Room Temperature</t>
        </is>
      </c>
      <c r="BF60" s="1113" t="n"/>
      <c r="BG60" s="1113" t="n"/>
      <c r="BH60" s="1116" t="inlineStr">
        <is>
          <t>LF1 and LF5 Class 1</t>
        </is>
      </c>
      <c r="BI60" s="1116" t="inlineStr">
        <is>
          <t>LF2 Classes 1 and 2</t>
        </is>
      </c>
      <c r="BJ60" s="1120" t="inlineStr">
        <is>
          <t>LF3 and LF5 Class 2</t>
        </is>
      </c>
      <c r="BK60" s="1112" t="inlineStr">
        <is>
          <t>LF6</t>
        </is>
      </c>
      <c r="BL60" s="452" t="n"/>
      <c r="BM60" s="1112" t="inlineStr">
        <is>
          <t>LF9</t>
        </is>
      </c>
      <c r="BN60" s="1112" t="inlineStr">
        <is>
          <t>LF787</t>
        </is>
      </c>
      <c r="BO60" s="452" t="n"/>
      <c r="BP60" s="527" t="n"/>
      <c r="BQ60" s="527" t="n"/>
      <c r="BR60" s="527" t="n"/>
    </row>
    <row r="61">
      <c r="M61" s="1119" t="n"/>
      <c r="N61" s="1119" t="n"/>
      <c r="O61" s="1119" t="n"/>
      <c r="P61" s="1119" t="n"/>
      <c r="Q61" s="1119" t="n"/>
      <c r="R61" s="1119" t="n"/>
      <c r="S61" s="1119" t="n"/>
      <c r="AH61" s="1119" t="n"/>
      <c r="AI61" s="1119" t="n"/>
      <c r="AJ61" s="1119" t="n"/>
      <c r="AK61" s="1119" t="n"/>
      <c r="AL61" s="1119" t="n"/>
      <c r="AM61" s="1119" t="n"/>
      <c r="AN61" s="1119" t="n"/>
      <c r="AO61" s="1119" t="n"/>
      <c r="AP61" s="1119" t="n"/>
      <c r="AQ61" s="527" t="n"/>
      <c r="AR61" s="527" t="n"/>
      <c r="AS61" s="527" t="n"/>
      <c r="AT61" s="527" t="n"/>
      <c r="AU61" s="527" t="n"/>
      <c r="AV61" s="527" t="n"/>
      <c r="AW61" s="527" t="n"/>
      <c r="AX61" s="527" t="n"/>
      <c r="AY61" s="527" t="n"/>
      <c r="AZ61" s="527" t="n"/>
      <c r="BA61" s="527" t="n"/>
      <c r="BB61" s="527" t="n"/>
      <c r="BC61" s="527" t="n"/>
      <c r="BD61" s="527" t="n"/>
      <c r="BE61" s="1214" t="n"/>
      <c r="BF61" s="120" t="n"/>
      <c r="BG61" s="120" t="n"/>
      <c r="BH61" s="120" t="n"/>
      <c r="BI61" s="120" t="n"/>
      <c r="BJ61" s="751" t="n"/>
      <c r="BK61" s="356" t="inlineStr">
        <is>
          <t>Class 1</t>
        </is>
      </c>
      <c r="BL61" s="356" t="inlineStr">
        <is>
          <t>Class 2 and Class 3</t>
        </is>
      </c>
      <c r="BM61" s="120" t="n"/>
      <c r="BN61" s="356" t="inlineStr">
        <is>
          <t>Class 2</t>
        </is>
      </c>
      <c r="BO61" s="356" t="inlineStr">
        <is>
          <t>Class 3</t>
        </is>
      </c>
      <c r="BP61" s="527" t="n"/>
      <c r="BQ61" s="527" t="n"/>
      <c r="BR61" s="527" t="n"/>
    </row>
    <row r="62">
      <c r="M62" s="1119" t="n"/>
      <c r="N62" s="1119" t="n"/>
      <c r="O62" s="1119" t="n"/>
      <c r="P62" s="1119" t="n"/>
      <c r="Q62" s="1119" t="n"/>
      <c r="R62" s="1119" t="n"/>
      <c r="S62" s="1119" t="n"/>
      <c r="AH62" s="1119" t="n"/>
      <c r="AI62" s="1119" t="n"/>
      <c r="AJ62" s="1119" t="n"/>
      <c r="AK62" s="1119" t="n"/>
      <c r="AL62" s="1119" t="n"/>
      <c r="AM62" s="1119" t="n"/>
      <c r="AN62" s="1119" t="n"/>
      <c r="AO62" s="1119" t="n"/>
      <c r="AP62" s="1119" t="n"/>
      <c r="AQ62" s="527" t="n"/>
      <c r="AR62" s="527" t="n"/>
      <c r="AS62" s="527" t="n"/>
      <c r="AT62" s="527" t="n"/>
      <c r="AU62" s="527" t="n"/>
      <c r="AV62" s="527" t="n"/>
      <c r="AW62" s="527" t="n"/>
      <c r="AX62" s="527" t="n"/>
      <c r="AY62" s="527" t="n"/>
      <c r="AZ62" s="527" t="n"/>
      <c r="BA62" s="527" t="n"/>
      <c r="BB62" s="527" t="n"/>
      <c r="BC62" s="527" t="n"/>
      <c r="BD62" s="527" t="n"/>
      <c r="BE62" s="1214" t="n"/>
      <c r="BF62" s="1112" t="inlineStr">
        <is>
          <t>Tensile</t>
        </is>
      </c>
      <c r="BG62" s="356" t="inlineStr">
        <is>
          <t>ksi</t>
        </is>
      </c>
      <c r="BH62" s="1112" t="inlineStr">
        <is>
          <t>60-85</t>
        </is>
      </c>
      <c r="BI62" s="1112" t="inlineStr">
        <is>
          <t>70-95</t>
        </is>
      </c>
      <c r="BJ62" s="1112" t="inlineStr">
        <is>
          <t>70-95</t>
        </is>
      </c>
      <c r="BK62" s="371" t="inlineStr">
        <is>
          <t>66-91</t>
        </is>
      </c>
      <c r="BL62" s="371" t="inlineStr">
        <is>
          <t>75-100</t>
        </is>
      </c>
      <c r="BM62" s="1112" t="inlineStr">
        <is>
          <t>63-88</t>
        </is>
      </c>
      <c r="BN62" s="371" t="inlineStr">
        <is>
          <t>65-85</t>
        </is>
      </c>
      <c r="BO62" s="371" t="inlineStr">
        <is>
          <t>75-95</t>
        </is>
      </c>
      <c r="BP62" s="527" t="n"/>
      <c r="BQ62" s="527" t="n"/>
      <c r="BR62" s="527" t="n"/>
    </row>
    <row r="63" ht="15" customHeight="1" s="510">
      <c r="M63" s="1119" t="n"/>
      <c r="N63" s="1119" t="n"/>
      <c r="O63" s="1119" t="n"/>
      <c r="P63" s="1119" t="n"/>
      <c r="Q63" s="1119" t="n"/>
      <c r="R63" s="1119" t="n"/>
      <c r="S63" s="1119" t="n"/>
      <c r="T63" s="736" t="n"/>
      <c r="U63" s="736" t="n"/>
      <c r="V63" s="448" t="n"/>
      <c r="W63" s="448" t="n"/>
      <c r="X63" s="736" t="n"/>
      <c r="Y63" s="736" t="n"/>
      <c r="Z63" s="736" t="n"/>
      <c r="AH63" s="1119" t="n"/>
      <c r="AI63" s="1119" t="n"/>
      <c r="AJ63" s="1119" t="n"/>
      <c r="AK63" s="1119" t="n"/>
      <c r="AL63" s="1119" t="n"/>
      <c r="AM63" s="1119" t="n"/>
      <c r="AN63" s="1119" t="n"/>
      <c r="AO63" s="1119" t="n"/>
      <c r="AP63" s="1119" t="n"/>
      <c r="AQ63" s="527" t="n"/>
      <c r="AR63" s="527" t="n"/>
      <c r="AS63" s="527" t="n"/>
      <c r="AT63" s="527" t="n"/>
      <c r="AU63" s="527" t="n"/>
      <c r="AV63" s="527" t="n"/>
      <c r="AW63" s="527" t="n"/>
      <c r="AX63" s="527" t="n"/>
      <c r="AY63" s="527" t="n"/>
      <c r="AZ63" s="527" t="n"/>
      <c r="BA63" s="527" t="n"/>
      <c r="BB63" s="527" t="n"/>
      <c r="BC63" s="527" t="n"/>
      <c r="BD63" s="527" t="n"/>
      <c r="BE63" s="1214" t="n"/>
      <c r="BF63" s="120" t="n"/>
      <c r="BG63" s="356" t="inlineStr">
        <is>
          <t>Mpa</t>
        </is>
      </c>
      <c r="BH63" s="1112" t="inlineStr">
        <is>
          <t>415-585</t>
        </is>
      </c>
      <c r="BI63" s="1112" t="inlineStr">
        <is>
          <t>485-655</t>
        </is>
      </c>
      <c r="BJ63" s="1112" t="inlineStr">
        <is>
          <t>485-655</t>
        </is>
      </c>
      <c r="BK63" s="1112" t="inlineStr">
        <is>
          <t>455-630</t>
        </is>
      </c>
      <c r="BL63" s="1112" t="inlineStr">
        <is>
          <t>515-690</t>
        </is>
      </c>
      <c r="BM63" s="1112" t="inlineStr">
        <is>
          <t>435-605</t>
        </is>
      </c>
      <c r="BN63" s="1112" t="inlineStr">
        <is>
          <t>435-585</t>
        </is>
      </c>
      <c r="BO63" s="1112" t="inlineStr">
        <is>
          <t>515-655</t>
        </is>
      </c>
      <c r="BP63" s="527" t="n"/>
      <c r="BQ63" s="527" t="n"/>
      <c r="BR63" s="527" t="n"/>
    </row>
    <row r="64" ht="15" customHeight="1" s="510">
      <c r="S64" s="736" t="n"/>
      <c r="T64" s="736" t="n"/>
      <c r="U64" s="736" t="n"/>
      <c r="V64" s="448" t="n"/>
      <c r="W64" s="448" t="n"/>
      <c r="X64" s="736" t="n"/>
      <c r="Y64" s="736" t="n"/>
      <c r="Z64" s="736" t="n"/>
      <c r="AC64" s="374" t="inlineStr">
        <is>
          <t>Elements</t>
        </is>
      </c>
      <c r="AD64" s="374" t="inlineStr">
        <is>
          <t>Limit or Max of Specified Range, %</t>
        </is>
      </c>
      <c r="AE64" s="374" t="n"/>
      <c r="AF64" s="374" t="inlineStr">
        <is>
          <t>Tolarance Over the Max Limit or Under the Min Limit</t>
        </is>
      </c>
      <c r="AG64" s="374" t="n"/>
      <c r="AH64" s="1119" t="n"/>
      <c r="AI64" s="1119" t="n"/>
      <c r="AJ64" s="1119" t="n"/>
      <c r="AK64" s="1119" t="n"/>
      <c r="AL64" s="1119" t="n"/>
      <c r="AM64" s="1119" t="n"/>
      <c r="AN64" s="1119" t="n"/>
      <c r="AO64" s="1119" t="n"/>
      <c r="AP64" s="1119" t="n"/>
      <c r="AQ64" s="527" t="n"/>
      <c r="AR64" s="527" t="n"/>
      <c r="AS64" s="527" t="n"/>
      <c r="AT64" s="527" t="n"/>
      <c r="AU64" s="527" t="n"/>
      <c r="AV64" s="527" t="n"/>
      <c r="AW64" s="527" t="n"/>
      <c r="AX64" s="527" t="n"/>
      <c r="AY64" s="527" t="n"/>
      <c r="AZ64" s="527" t="n"/>
      <c r="BA64" s="527" t="n"/>
      <c r="BB64" s="527" t="n"/>
      <c r="BC64" s="527" t="n"/>
      <c r="BD64" s="527" t="n"/>
      <c r="BE64" s="1214" t="n"/>
      <c r="BF64" s="1112" t="inlineStr">
        <is>
          <t>Yield</t>
        </is>
      </c>
      <c r="BG64" s="356" t="inlineStr">
        <is>
          <t>ksi</t>
        </is>
      </c>
      <c r="BH64" s="1112" t="n">
        <v>30</v>
      </c>
      <c r="BI64" s="1112" t="n">
        <v>36</v>
      </c>
      <c r="BJ64" s="1112" t="inlineStr">
        <is>
          <t>37.5</t>
        </is>
      </c>
      <c r="BK64" s="1112" t="n">
        <v>52</v>
      </c>
      <c r="BL64" s="1112" t="n">
        <v>60</v>
      </c>
      <c r="BM64" s="1112" t="n">
        <v>46</v>
      </c>
      <c r="BN64" s="1112" t="n">
        <v>55</v>
      </c>
      <c r="BO64" s="1112" t="n">
        <v>65</v>
      </c>
      <c r="BP64" s="527" t="n"/>
      <c r="BQ64" s="527" t="n"/>
      <c r="BR64" s="527" t="n"/>
    </row>
    <row r="65" ht="15" customHeight="1" s="510">
      <c r="S65" s="449" t="inlineStr">
        <is>
          <t>Grade Symbol</t>
        </is>
      </c>
      <c r="T65" s="446" t="inlineStr">
        <is>
          <t>Yield (ksi)</t>
        </is>
      </c>
      <c r="U65" s="446" t="inlineStr">
        <is>
          <t>Yield (Mpa)</t>
        </is>
      </c>
      <c r="V65" s="446" t="inlineStr">
        <is>
          <t>Tensile (ksi)</t>
        </is>
      </c>
      <c r="W65" s="446" t="inlineStr">
        <is>
          <t>Tensile (Mpa)</t>
        </is>
      </c>
      <c r="X65" s="445" t="inlineStr">
        <is>
          <t>Elongation</t>
        </is>
      </c>
      <c r="Y65" s="445" t="inlineStr">
        <is>
          <t>Reduction of Area min %</t>
        </is>
      </c>
      <c r="Z65" s="453" t="inlineStr">
        <is>
          <t>Brinell Hardness</t>
        </is>
      </c>
      <c r="AC65" s="374" t="n"/>
      <c r="AD65" s="374" t="n"/>
      <c r="AE65" s="374" t="n"/>
      <c r="AF65" s="374" t="n"/>
      <c r="AG65" s="374" t="n"/>
      <c r="AH65" s="1119" t="n"/>
      <c r="AI65" s="1119" t="n"/>
      <c r="AJ65" s="1119" t="n"/>
      <c r="AK65" s="1119" t="n"/>
      <c r="AL65" s="1119" t="n"/>
      <c r="AM65" s="1119" t="n"/>
      <c r="AN65" s="1119" t="n"/>
      <c r="AO65" s="1119" t="n"/>
      <c r="AP65" s="1119" t="n"/>
      <c r="AQ65" s="527" t="n"/>
      <c r="AR65" s="527" t="n"/>
      <c r="AS65" s="527" t="n"/>
      <c r="AT65" s="527" t="n"/>
      <c r="AU65" s="527" t="n"/>
      <c r="AV65" s="527" t="n"/>
      <c r="AW65" s="527" t="n"/>
      <c r="AX65" s="527" t="n"/>
      <c r="AY65" s="527" t="n"/>
      <c r="AZ65" s="527" t="n"/>
      <c r="BA65" s="527" t="n"/>
      <c r="BB65" s="527" t="n"/>
      <c r="BC65" s="527" t="n"/>
      <c r="BD65" s="527" t="n"/>
      <c r="BE65" s="1214" t="n"/>
      <c r="BF65" s="1112" t="n"/>
      <c r="BG65" s="356" t="inlineStr">
        <is>
          <t>MPa</t>
        </is>
      </c>
      <c r="BH65" s="1112" t="n">
        <v>250</v>
      </c>
      <c r="BI65" s="1112" t="n">
        <v>250</v>
      </c>
      <c r="BJ65" s="1112" t="n">
        <v>260</v>
      </c>
      <c r="BK65" s="1112" t="n">
        <v>360</v>
      </c>
      <c r="BL65" s="1112" t="n">
        <v>415</v>
      </c>
      <c r="BM65" s="1112" t="n">
        <v>315</v>
      </c>
      <c r="BN65" s="1112" t="n">
        <v>380</v>
      </c>
      <c r="BO65" s="1112" t="n">
        <v>450</v>
      </c>
      <c r="BP65" s="527" t="n"/>
      <c r="BQ65" s="527" t="n"/>
      <c r="BR65" s="527" t="n"/>
    </row>
    <row r="66">
      <c r="R66" s="1215" t="inlineStr">
        <is>
          <t>Low Alloy Steels</t>
        </is>
      </c>
      <c r="S66" s="451" t="inlineStr">
        <is>
          <t>F1</t>
        </is>
      </c>
      <c r="T66" s="375" t="n">
        <v>40</v>
      </c>
      <c r="U66" s="375" t="n">
        <v>275</v>
      </c>
      <c r="V66" s="375" t="n">
        <v>70</v>
      </c>
      <c r="W66" s="375" t="n">
        <v>485</v>
      </c>
      <c r="X66" s="375" t="n">
        <v>20</v>
      </c>
      <c r="Y66" s="375" t="n">
        <v>30</v>
      </c>
      <c r="Z66" s="454" t="inlineStr">
        <is>
          <t>143-192</t>
        </is>
      </c>
      <c r="AC66" s="374" t="n"/>
      <c r="AD66" s="374" t="n"/>
      <c r="AE66" s="374" t="n"/>
      <c r="AF66" s="374" t="n"/>
      <c r="AG66" s="374" t="n"/>
      <c r="AH66" s="1119" t="n"/>
      <c r="AI66" s="1119" t="n"/>
      <c r="AJ66" s="1119" t="n"/>
      <c r="AK66" s="1119" t="n"/>
      <c r="AL66" s="1119" t="n"/>
      <c r="AM66" s="1119" t="n"/>
      <c r="AN66" s="1119" t="n"/>
      <c r="AO66" s="1119" t="n"/>
      <c r="AP66" s="1119" t="n"/>
      <c r="AQ66" s="527" t="n"/>
      <c r="AR66" s="527" t="n"/>
      <c r="AS66" s="527" t="n"/>
      <c r="AT66" s="527" t="n"/>
      <c r="AU66" s="527" t="n"/>
      <c r="AV66" s="527" t="n"/>
      <c r="AW66" s="527" t="n"/>
      <c r="AX66" s="527" t="n"/>
      <c r="AY66" s="527" t="n"/>
      <c r="AZ66" s="527" t="n"/>
      <c r="BA66" s="527" t="n"/>
      <c r="BB66" s="527" t="n"/>
      <c r="BC66" s="527" t="n"/>
      <c r="BD66" s="527" t="n"/>
      <c r="BE66" s="1214" t="n"/>
      <c r="BF66" s="356" t="inlineStr">
        <is>
          <t>Elongation: Standard round specimen</t>
        </is>
      </c>
      <c r="BG66" s="452" t="n"/>
      <c r="BH66" s="1112" t="n">
        <v>25</v>
      </c>
      <c r="BI66" s="1112" t="n">
        <v>22</v>
      </c>
      <c r="BJ66" s="1112" t="n">
        <v>22</v>
      </c>
      <c r="BK66" s="1112" t="n">
        <v>22</v>
      </c>
      <c r="BL66" s="1112" t="n">
        <v>20</v>
      </c>
      <c r="BM66" s="1112" t="n">
        <v>25</v>
      </c>
      <c r="BN66" s="1112" t="n">
        <v>20</v>
      </c>
      <c r="BO66" s="1112" t="n">
        <v>20</v>
      </c>
      <c r="BP66" s="527" t="n"/>
      <c r="BQ66" s="527" t="n"/>
      <c r="BR66" s="527" t="n"/>
    </row>
    <row r="67" ht="15" customHeight="1" s="510">
      <c r="R67" s="1214" t="n"/>
      <c r="S67" s="451" t="inlineStr">
        <is>
          <t>F2</t>
        </is>
      </c>
      <c r="T67" s="375" t="n">
        <v>40</v>
      </c>
      <c r="U67" s="375" t="n">
        <v>275</v>
      </c>
      <c r="V67" s="375" t="n">
        <v>70</v>
      </c>
      <c r="W67" s="375" t="n">
        <v>485</v>
      </c>
      <c r="X67" s="375" t="n">
        <v>20</v>
      </c>
      <c r="Y67" s="375" t="n">
        <v>30</v>
      </c>
      <c r="Z67" s="454" t="inlineStr">
        <is>
          <t>143-192</t>
        </is>
      </c>
      <c r="AC67" s="368" t="inlineStr">
        <is>
          <t>Carbon</t>
        </is>
      </c>
      <c r="AD67" s="1100" t="n">
        <v>0.03</v>
      </c>
      <c r="AE67" s="452" t="n"/>
      <c r="AF67" s="1100" t="n">
        <v>0.005</v>
      </c>
      <c r="AG67" s="452" t="n"/>
      <c r="AH67" s="1119" t="n"/>
      <c r="AI67" s="1119" t="n"/>
      <c r="AJ67" s="1119" t="n"/>
      <c r="AK67" s="1119" t="n"/>
      <c r="AL67" s="1119" t="n"/>
      <c r="AM67" s="1119" t="n"/>
      <c r="AN67" s="1119" t="n"/>
      <c r="AO67" s="1119" t="n"/>
      <c r="AP67" s="1119" t="n"/>
      <c r="AQ67" s="527" t="n"/>
      <c r="AR67" s="527" t="n"/>
      <c r="AS67" s="527" t="n"/>
      <c r="AT67" s="527" t="n"/>
      <c r="AU67" s="527" t="n"/>
      <c r="AV67" s="527" t="n"/>
      <c r="AW67" s="527" t="n"/>
      <c r="AX67" s="527" t="n"/>
      <c r="AY67" s="527" t="n"/>
      <c r="AZ67" s="527" t="n"/>
      <c r="BA67" s="527" t="n"/>
      <c r="BB67" s="527" t="n"/>
      <c r="BC67" s="527" t="n"/>
      <c r="BD67" s="527" t="n"/>
      <c r="BE67" s="1214" t="n"/>
      <c r="BF67" s="356" t="inlineStr">
        <is>
          <t>Strip Specimen for wall thickness&gt;7,94mm</t>
        </is>
      </c>
      <c r="BG67" s="452" t="n"/>
      <c r="BH67" s="1112" t="n">
        <v>28</v>
      </c>
      <c r="BI67" s="1112" t="n">
        <v>30</v>
      </c>
      <c r="BJ67" s="1112" t="n">
        <v>30</v>
      </c>
      <c r="BK67" s="1112" t="n">
        <v>30</v>
      </c>
      <c r="BL67" s="1112" t="n">
        <v>28</v>
      </c>
      <c r="BM67" s="1112" t="n">
        <v>28</v>
      </c>
      <c r="BN67" s="1112" t="n">
        <v>28</v>
      </c>
      <c r="BO67" s="1112" t="n">
        <v>28</v>
      </c>
      <c r="BP67" s="527" t="n"/>
      <c r="BQ67" s="527" t="n"/>
      <c r="BR67" s="527" t="n"/>
    </row>
    <row r="68">
      <c r="R68" s="1214" t="n"/>
      <c r="S68" s="451" t="inlineStr">
        <is>
          <t>F5</t>
        </is>
      </c>
      <c r="T68" s="375" t="n">
        <v>40</v>
      </c>
      <c r="U68" s="375" t="n">
        <v>275</v>
      </c>
      <c r="V68" s="375" t="n">
        <v>70</v>
      </c>
      <c r="W68" s="375" t="n">
        <v>485</v>
      </c>
      <c r="X68" s="375" t="n">
        <v>20</v>
      </c>
      <c r="Y68" s="375" t="n">
        <v>35</v>
      </c>
      <c r="Z68" s="454" t="inlineStr">
        <is>
          <t>143-217</t>
        </is>
      </c>
      <c r="AC68" s="368" t="n"/>
      <c r="AD68" s="1100" t="inlineStr">
        <is>
          <t>0,030-0,20</t>
        </is>
      </c>
      <c r="AE68" s="452" t="n"/>
      <c r="AF68" s="1100" t="n">
        <v>0.01</v>
      </c>
      <c r="AG68" s="452" t="n"/>
      <c r="AH68" s="1119" t="n"/>
      <c r="AI68" s="1119" t="n"/>
      <c r="AJ68" s="1119" t="n"/>
      <c r="AK68" s="1119" t="n"/>
      <c r="AL68" s="1119" t="n"/>
      <c r="AM68" s="1119" t="n"/>
      <c r="AN68" s="1119" t="n"/>
      <c r="AO68" s="1119" t="n"/>
      <c r="AP68" s="1119" t="n"/>
      <c r="AQ68" s="527" t="n"/>
      <c r="AR68" s="527" t="n"/>
      <c r="AS68" s="527" t="n"/>
      <c r="AT68" s="527" t="n"/>
      <c r="AU68" s="527" t="n"/>
      <c r="AV68" s="527" t="n"/>
      <c r="AW68" s="527" t="n"/>
      <c r="AX68" s="527" t="n"/>
      <c r="AY68" s="527" t="n"/>
      <c r="AZ68" s="527" t="n"/>
      <c r="BA68" s="527" t="n"/>
      <c r="BB68" s="527" t="n"/>
      <c r="BC68" s="527" t="n"/>
      <c r="BD68" s="527" t="n"/>
      <c r="BE68" s="1214" t="n"/>
      <c r="BF68" s="356" t="inlineStr">
        <is>
          <t>Equation trip Specimen for wall thickness&lt;7,94mm</t>
        </is>
      </c>
      <c r="BG68" s="452" t="n"/>
      <c r="BH68" s="1112" t="inlineStr">
        <is>
          <t>48t+13</t>
        </is>
      </c>
      <c r="BI68" s="1112" t="inlineStr">
        <is>
          <t>48t+15</t>
        </is>
      </c>
      <c r="BJ68" s="1112" t="inlineStr">
        <is>
          <t>48t+15</t>
        </is>
      </c>
      <c r="BK68" s="1112" t="inlineStr">
        <is>
          <t>48t+15</t>
        </is>
      </c>
      <c r="BL68" s="1112" t="inlineStr">
        <is>
          <t>48t+13</t>
        </is>
      </c>
      <c r="BM68" s="1112" t="inlineStr">
        <is>
          <t>48t+13</t>
        </is>
      </c>
      <c r="BN68" s="1112" t="inlineStr">
        <is>
          <t>48t+13</t>
        </is>
      </c>
      <c r="BO68" s="1112" t="inlineStr">
        <is>
          <t>48t+13</t>
        </is>
      </c>
      <c r="BP68" s="527" t="n"/>
      <c r="BQ68" s="527" t="n"/>
      <c r="BR68" s="527" t="n"/>
    </row>
    <row r="69">
      <c r="R69" s="1214" t="n"/>
      <c r="S69" s="451" t="inlineStr">
        <is>
          <t>F5a</t>
        </is>
      </c>
      <c r="T69" s="375" t="n">
        <v>65</v>
      </c>
      <c r="U69" s="375" t="n">
        <v>450</v>
      </c>
      <c r="V69" s="375" t="n">
        <v>90</v>
      </c>
      <c r="W69" s="375" t="n">
        <v>620</v>
      </c>
      <c r="X69" s="375" t="n">
        <v>22</v>
      </c>
      <c r="Y69" s="375" t="n">
        <v>50</v>
      </c>
      <c r="Z69" s="454" t="inlineStr">
        <is>
          <t>187-248</t>
        </is>
      </c>
      <c r="AC69" s="368" t="inlineStr">
        <is>
          <t>Manganese</t>
        </is>
      </c>
      <c r="AD69" s="1100" t="n">
        <v>1</v>
      </c>
      <c r="AE69" s="452" t="n"/>
      <c r="AF69" s="1100" t="n">
        <v>0.03</v>
      </c>
      <c r="AG69" s="452" t="n"/>
      <c r="AH69" s="1119" t="n"/>
      <c r="AI69" s="1119" t="n"/>
      <c r="AJ69" s="1119" t="n"/>
      <c r="AK69" s="1119" t="n"/>
      <c r="AL69" s="1119" t="n"/>
      <c r="AM69" s="1119" t="n"/>
      <c r="AN69" s="1119" t="n"/>
      <c r="AO69" s="1119" t="n"/>
      <c r="AP69" s="1119" t="n"/>
      <c r="AQ69" s="527" t="n"/>
      <c r="AR69" s="527" t="n"/>
      <c r="AS69" s="527" t="n"/>
      <c r="AT69" s="527" t="n"/>
      <c r="AU69" s="527" t="n"/>
      <c r="AV69" s="527" t="n"/>
      <c r="AW69" s="527" t="n"/>
      <c r="AX69" s="527" t="n"/>
      <c r="AY69" s="527" t="n"/>
      <c r="AZ69" s="527" t="n"/>
      <c r="BA69" s="527" t="n"/>
      <c r="BB69" s="527" t="n"/>
      <c r="BC69" s="527" t="n"/>
      <c r="BD69" s="527" t="n"/>
      <c r="BE69" s="120" t="n"/>
      <c r="BF69" s="356" t="inlineStr">
        <is>
          <t>Reduction of Area min %</t>
        </is>
      </c>
      <c r="BG69" s="452" t="n"/>
      <c r="BH69" s="1112" t="n">
        <v>38</v>
      </c>
      <c r="BI69" s="1112" t="n">
        <v>30</v>
      </c>
      <c r="BJ69" s="1112" t="n">
        <v>35</v>
      </c>
      <c r="BK69" s="1112" t="n">
        <v>40</v>
      </c>
      <c r="BL69" s="1112" t="n">
        <v>40</v>
      </c>
      <c r="BM69" s="1112" t="n">
        <v>38</v>
      </c>
      <c r="BN69" s="1112" t="n">
        <v>45</v>
      </c>
      <c r="BO69" s="1112" t="n">
        <v>45</v>
      </c>
      <c r="BP69" s="527" t="n"/>
      <c r="BQ69" s="527" t="n"/>
      <c r="BR69" s="527" t="n"/>
    </row>
    <row r="70">
      <c r="R70" s="1214" t="n"/>
      <c r="S70" s="451" t="inlineStr">
        <is>
          <t>F9</t>
        </is>
      </c>
      <c r="T70" s="375" t="n">
        <v>55</v>
      </c>
      <c r="U70" s="375" t="n">
        <v>380</v>
      </c>
      <c r="V70" s="375" t="n">
        <v>85</v>
      </c>
      <c r="W70" s="375" t="n">
        <v>585</v>
      </c>
      <c r="X70" s="375" t="n">
        <v>20</v>
      </c>
      <c r="Y70" s="375" t="n">
        <v>40</v>
      </c>
      <c r="Z70" s="454" t="inlineStr">
        <is>
          <t>179-217</t>
        </is>
      </c>
      <c r="AC70" s="368" t="n"/>
      <c r="AD70" s="1111" t="inlineStr">
        <is>
          <t>1,00-3,00</t>
        </is>
      </c>
      <c r="AE70" s="452" t="n"/>
      <c r="AF70" s="1100" t="n">
        <v>0.04</v>
      </c>
      <c r="AG70" s="452" t="n"/>
      <c r="AH70" s="1119" t="n"/>
      <c r="AI70" s="1119" t="n"/>
      <c r="AJ70" s="1119" t="n"/>
      <c r="AK70" s="1119" t="n"/>
      <c r="AL70" s="1119" t="n"/>
      <c r="AM70" s="1119" t="n"/>
      <c r="AN70" s="1119" t="n"/>
      <c r="AO70" s="1119" t="n"/>
      <c r="AP70" s="1119" t="n"/>
      <c r="AQ70" s="527" t="n"/>
      <c r="AR70" s="527" t="n"/>
      <c r="AS70" s="527" t="n"/>
      <c r="AT70" s="527" t="n"/>
      <c r="AU70" s="527" t="n"/>
      <c r="AV70" s="527" t="n"/>
      <c r="AW70" s="527" t="n"/>
      <c r="AX70" s="527" t="n"/>
      <c r="AY70" s="527" t="n"/>
      <c r="AZ70" s="527" t="n"/>
      <c r="BA70" s="527" t="n"/>
      <c r="BB70" s="527" t="n"/>
      <c r="BC70" s="527" t="n"/>
      <c r="BD70" s="527" t="n"/>
      <c r="BE70" s="527" t="n"/>
      <c r="BF70" s="527" t="n"/>
      <c r="BG70" s="527" t="n"/>
      <c r="BH70" s="364" t="n"/>
      <c r="BI70" s="364" t="n"/>
      <c r="BJ70" s="364" t="n"/>
      <c r="BK70" s="364" t="n"/>
      <c r="BL70" s="364" t="n"/>
      <c r="BM70" s="364" t="n"/>
      <c r="BN70" s="364" t="n"/>
      <c r="BO70" s="364" t="n"/>
      <c r="BP70" s="527" t="n"/>
      <c r="BQ70" s="527" t="n"/>
      <c r="BR70" s="527" t="n"/>
    </row>
    <row r="71">
      <c r="R71" s="1214" t="n"/>
      <c r="S71" s="451" t="inlineStr">
        <is>
          <t>F91</t>
        </is>
      </c>
      <c r="T71" s="375" t="n">
        <v>60</v>
      </c>
      <c r="U71" s="375" t="n">
        <v>415</v>
      </c>
      <c r="V71" s="375" t="n">
        <v>85</v>
      </c>
      <c r="W71" s="375" t="n">
        <v>585</v>
      </c>
      <c r="X71" s="375" t="n">
        <v>20</v>
      </c>
      <c r="Y71" s="375" t="n">
        <v>40</v>
      </c>
      <c r="Z71" s="454" t="n">
        <v>248</v>
      </c>
      <c r="AC71" s="368" t="n"/>
      <c r="AD71" s="1100" t="inlineStr">
        <is>
          <t>3,00-6,00</t>
        </is>
      </c>
      <c r="AE71" s="452" t="n"/>
      <c r="AF71" s="1100" t="n">
        <v>0.05</v>
      </c>
      <c r="AG71" s="452" t="n"/>
      <c r="AH71" s="1119" t="n"/>
      <c r="AI71" s="1119" t="n"/>
      <c r="AJ71" s="1119" t="n"/>
      <c r="AK71" s="1119" t="n"/>
      <c r="AL71" s="1119" t="n"/>
      <c r="AM71" s="1119" t="n"/>
      <c r="AN71" s="1119" t="n"/>
      <c r="AO71" s="1119" t="n"/>
      <c r="AP71" s="1119" t="n"/>
      <c r="AQ71" s="527" t="n"/>
      <c r="AR71" s="527" t="n"/>
      <c r="AS71" s="527" t="n"/>
      <c r="AT71" s="527" t="n"/>
      <c r="AU71" s="527" t="n"/>
      <c r="AV71" s="527" t="n"/>
      <c r="AW71" s="527" t="n"/>
      <c r="AX71" s="527" t="n"/>
      <c r="AY71" s="527" t="n"/>
      <c r="AZ71" s="527" t="n"/>
      <c r="BA71" s="527" t="n"/>
      <c r="BB71" s="527" t="n"/>
      <c r="BC71" s="527" t="n"/>
      <c r="BD71" s="527" t="n"/>
      <c r="BE71" s="527" t="n"/>
      <c r="BF71" s="527" t="n"/>
      <c r="BG71" s="527" t="n"/>
      <c r="BH71" s="527" t="n"/>
      <c r="BI71" s="527" t="n"/>
      <c r="BJ71" s="527" t="n"/>
      <c r="BK71" s="527" t="n"/>
      <c r="BL71" s="527" t="n"/>
      <c r="BM71" s="527" t="n"/>
      <c r="BN71" s="527" t="n"/>
      <c r="BO71" s="527" t="n"/>
      <c r="BP71" s="527" t="n"/>
      <c r="BQ71" s="527" t="n"/>
      <c r="BR71" s="527" t="n"/>
    </row>
    <row r="72">
      <c r="R72" s="1214" t="n"/>
      <c r="S72" s="451" t="inlineStr">
        <is>
          <t>F92</t>
        </is>
      </c>
      <c r="T72" s="375" t="n">
        <v>64</v>
      </c>
      <c r="U72" s="375" t="n">
        <v>440</v>
      </c>
      <c r="V72" s="375" t="n">
        <v>90</v>
      </c>
      <c r="W72" s="375" t="n">
        <v>620</v>
      </c>
      <c r="X72" s="375" t="n">
        <v>20</v>
      </c>
      <c r="Y72" s="375" t="n">
        <v>45</v>
      </c>
      <c r="Z72" s="454" t="n">
        <v>269</v>
      </c>
      <c r="AC72" s="368" t="n"/>
      <c r="AD72" s="1100" t="inlineStr">
        <is>
          <t>6,00-10,00</t>
        </is>
      </c>
      <c r="AE72" s="452" t="n"/>
      <c r="AF72" s="1100" t="n">
        <v>0.06</v>
      </c>
      <c r="AG72" s="452" t="n"/>
      <c r="AH72" s="1119" t="n"/>
      <c r="AI72" s="1119" t="n"/>
      <c r="AJ72" s="1119" t="n"/>
      <c r="AK72" s="1119" t="n"/>
      <c r="AL72" s="1119" t="n"/>
      <c r="AM72" s="1119" t="n"/>
      <c r="AN72" s="1119" t="n"/>
      <c r="AO72" s="1119" t="n"/>
      <c r="AP72" s="1119" t="n"/>
      <c r="AQ72" s="527" t="n"/>
      <c r="AR72" s="527" t="n"/>
      <c r="AS72" s="527" t="n"/>
      <c r="AT72" s="527" t="n"/>
      <c r="AU72" s="527" t="n"/>
      <c r="AV72" s="527" t="n"/>
      <c r="AW72" s="527" t="n"/>
      <c r="AX72" s="527" t="n"/>
      <c r="AY72" s="527" t="n"/>
      <c r="AZ72" s="527" t="n"/>
      <c r="BA72" s="527" t="n"/>
      <c r="BB72" s="527" t="n"/>
      <c r="BC72" s="527" t="n"/>
      <c r="BD72" s="527" t="n"/>
      <c r="BE72" s="527" t="n"/>
      <c r="BF72" s="527" t="n"/>
      <c r="BG72" s="527" t="n"/>
      <c r="BH72" s="527" t="n"/>
      <c r="BI72" s="527" t="n"/>
      <c r="BJ72" s="527" t="n"/>
      <c r="BK72" s="527" t="n"/>
      <c r="BL72" s="527" t="n"/>
      <c r="BM72" s="527" t="n"/>
      <c r="BN72" s="527" t="n"/>
      <c r="BO72" s="527" t="n"/>
      <c r="BP72" s="527" t="n"/>
      <c r="BQ72" s="527" t="n"/>
      <c r="BR72" s="527" t="n"/>
    </row>
    <row r="73">
      <c r="R73" s="1214" t="n"/>
      <c r="S73" s="451" t="inlineStr">
        <is>
          <t>F911</t>
        </is>
      </c>
      <c r="T73" s="375" t="n">
        <v>64</v>
      </c>
      <c r="U73" s="375" t="n">
        <v>440</v>
      </c>
      <c r="V73" s="375" t="n">
        <v>90</v>
      </c>
      <c r="W73" s="375" t="n">
        <v>620</v>
      </c>
      <c r="X73" s="375" t="n">
        <v>18</v>
      </c>
      <c r="Y73" s="375" t="n">
        <v>40</v>
      </c>
      <c r="Z73" s="454" t="inlineStr">
        <is>
          <t>187-248</t>
        </is>
      </c>
      <c r="AC73" s="368" t="inlineStr">
        <is>
          <t>Phosphorus</t>
        </is>
      </c>
      <c r="AD73" s="1100" t="n">
        <v>0.04</v>
      </c>
      <c r="AE73" s="452" t="n"/>
      <c r="AF73" s="1100" t="n">
        <v>0.005</v>
      </c>
      <c r="AG73" s="452" t="n"/>
      <c r="AH73" s="1119" t="n"/>
      <c r="AI73" s="1119" t="n"/>
      <c r="AJ73" s="1119" t="n"/>
      <c r="AK73" s="1119" t="n"/>
      <c r="AL73" s="1119" t="n"/>
      <c r="AM73" s="1119" t="n"/>
      <c r="AN73" s="1119" t="n"/>
      <c r="AO73" s="1119" t="n"/>
      <c r="AP73" s="1119" t="n"/>
      <c r="AQ73" s="527" t="n"/>
      <c r="AR73" s="527" t="n"/>
      <c r="AS73" s="527" t="n"/>
      <c r="AT73" s="527" t="n"/>
      <c r="AU73" s="527" t="n"/>
      <c r="AV73" s="527" t="n"/>
      <c r="AW73" s="527" t="n"/>
      <c r="AX73" s="527" t="n"/>
      <c r="AY73" s="527" t="n"/>
      <c r="AZ73" s="527" t="n"/>
      <c r="BA73" s="527" t="n"/>
      <c r="BB73" s="527" t="n"/>
      <c r="BC73" s="527" t="n"/>
      <c r="BD73" s="527" t="n"/>
      <c r="BE73" s="527" t="n"/>
      <c r="BF73" s="527" t="inlineStr">
        <is>
          <t>Table 5</t>
        </is>
      </c>
      <c r="BG73" s="527" t="n"/>
      <c r="BH73" s="527" t="n"/>
      <c r="BI73" s="527" t="n"/>
      <c r="BJ73" s="527" t="inlineStr">
        <is>
          <t>Charpy V-Notch Energy Requirements for Standard Size Specimes</t>
        </is>
      </c>
      <c r="BK73" s="527" t="n"/>
      <c r="BL73" s="527" t="n"/>
      <c r="BM73" s="527" t="n"/>
      <c r="BN73" s="527" t="n"/>
      <c r="BO73" s="527" t="n"/>
      <c r="BP73" s="527" t="n"/>
      <c r="BQ73" s="527" t="n"/>
      <c r="BR73" s="527" t="n"/>
    </row>
    <row r="74" ht="81.75" customHeight="1" s="510">
      <c r="R74" s="1214" t="n"/>
      <c r="S74" s="451" t="inlineStr">
        <is>
          <t>F11 Class1</t>
        </is>
      </c>
      <c r="T74" s="375" t="n">
        <v>30</v>
      </c>
      <c r="U74" s="375" t="n">
        <v>205</v>
      </c>
      <c r="V74" s="375" t="n">
        <v>60</v>
      </c>
      <c r="W74" s="375" t="n">
        <v>415</v>
      </c>
      <c r="X74" s="375" t="n">
        <v>20</v>
      </c>
      <c r="Y74" s="375" t="n">
        <v>45</v>
      </c>
      <c r="Z74" s="454" t="inlineStr">
        <is>
          <t>121-174</t>
        </is>
      </c>
      <c r="AC74" s="368" t="inlineStr">
        <is>
          <t>Sulfur</t>
        </is>
      </c>
      <c r="AD74" s="1100" t="n">
        <v>0.03</v>
      </c>
      <c r="AE74" s="452" t="n"/>
      <c r="AF74" s="1100" t="n">
        <v>0.005</v>
      </c>
      <c r="AG74" s="452" t="n"/>
      <c r="AH74" s="1119" t="n"/>
      <c r="AI74" s="1119" t="n"/>
      <c r="AJ74" s="1119" t="n"/>
      <c r="AK74" s="1119" t="n"/>
      <c r="AL74" s="1119" t="n"/>
      <c r="AM74" s="1119" t="n"/>
      <c r="AN74" s="1119" t="n"/>
      <c r="AO74" s="1119" t="n"/>
      <c r="AP74" s="1119" t="n"/>
      <c r="AQ74" s="527" t="n"/>
      <c r="AR74" s="527" t="n"/>
      <c r="AS74" s="527" t="n"/>
      <c r="AT74" s="527" t="n"/>
      <c r="AU74" s="527" t="n"/>
      <c r="AV74" s="527" t="n"/>
      <c r="AW74" s="527" t="n"/>
      <c r="AX74" s="527" t="n"/>
      <c r="AY74" s="527" t="n"/>
      <c r="AZ74" s="527" t="n"/>
      <c r="BA74" s="527" t="n"/>
      <c r="BB74" s="527" t="n"/>
      <c r="BC74" s="527" t="n"/>
      <c r="BD74" s="527" t="n"/>
      <c r="BE74" s="527" t="n"/>
      <c r="BF74" s="778" t="inlineStr">
        <is>
          <t>Grade</t>
        </is>
      </c>
      <c r="BG74" s="779" t="inlineStr">
        <is>
          <t>Test Temperature F</t>
        </is>
      </c>
      <c r="BH74" s="779" t="inlineStr">
        <is>
          <t>Test Temperature C</t>
        </is>
      </c>
      <c r="BI74" s="527" t="n"/>
      <c r="BJ74" s="404" t="inlineStr">
        <is>
          <t>Grade</t>
        </is>
      </c>
      <c r="BK74" s="1115" t="inlineStr">
        <is>
          <t>Minimum İmpact Energy Required for Average of Each Set of Three Specimensft.lb</t>
        </is>
      </c>
      <c r="BL74" s="1115" t="inlineStr">
        <is>
          <t>Minimum İmpact Energy Required for Average of Each Set of Three SpecimensJ</t>
        </is>
      </c>
      <c r="BM74" s="1115" t="inlineStr">
        <is>
          <t>Minimum İmpact Energy Permited for One Specimen only of a Set ft.lb</t>
        </is>
      </c>
      <c r="BN74" s="411" t="inlineStr">
        <is>
          <t>Minimum İmpact Energy Permited for One Specimen only of a Set J</t>
        </is>
      </c>
      <c r="BO74" s="527" t="n"/>
      <c r="BP74" s="527" t="n"/>
      <c r="BQ74" s="527" t="n"/>
      <c r="BR74" s="527" t="n"/>
    </row>
    <row r="75">
      <c r="R75" s="1214" t="n"/>
      <c r="S75" s="451" t="inlineStr">
        <is>
          <t>F11 Class2</t>
        </is>
      </c>
      <c r="T75" s="375" t="n">
        <v>40</v>
      </c>
      <c r="U75" s="375" t="n">
        <v>275</v>
      </c>
      <c r="V75" s="375" t="n">
        <v>70</v>
      </c>
      <c r="W75" s="375" t="n">
        <v>485</v>
      </c>
      <c r="X75" s="375" t="n">
        <v>20</v>
      </c>
      <c r="Y75" s="375" t="n">
        <v>30</v>
      </c>
      <c r="Z75" s="454" t="inlineStr">
        <is>
          <t>143-207</t>
        </is>
      </c>
      <c r="AC75" s="368" t="inlineStr">
        <is>
          <t>Silicon</t>
        </is>
      </c>
      <c r="AD75" s="1100" t="n">
        <v>1</v>
      </c>
      <c r="AE75" s="452" t="n"/>
      <c r="AF75" s="1100" t="n">
        <v>0.05</v>
      </c>
      <c r="AG75" s="452" t="n"/>
      <c r="AH75" s="1119" t="n"/>
      <c r="AI75" s="1119" t="n"/>
      <c r="AJ75" s="1119" t="n"/>
      <c r="AK75" s="1119" t="n"/>
      <c r="AL75" s="1119" t="n"/>
      <c r="AM75" s="1119" t="n"/>
      <c r="AN75" s="1119" t="n"/>
      <c r="AO75" s="1119" t="n"/>
      <c r="AP75" s="1119" t="n"/>
      <c r="AQ75" s="527" t="n"/>
      <c r="AR75" s="527" t="n"/>
      <c r="AS75" s="527" t="n"/>
      <c r="AT75" s="527" t="n"/>
      <c r="AU75" s="527" t="n"/>
      <c r="AV75" s="527" t="n"/>
      <c r="AW75" s="527" t="n"/>
      <c r="AX75" s="527" t="n"/>
      <c r="AY75" s="527" t="n"/>
      <c r="AZ75" s="527" t="n"/>
      <c r="BA75" s="527" t="n"/>
      <c r="BB75" s="527" t="n"/>
      <c r="BC75" s="527" t="n"/>
      <c r="BD75" s="527" t="n"/>
      <c r="BE75" s="527" t="n"/>
      <c r="BF75" s="403" t="inlineStr">
        <is>
          <t>LF1</t>
        </is>
      </c>
      <c r="BG75" s="1112" t="n">
        <v>-20</v>
      </c>
      <c r="BH75" s="377" t="n">
        <v>-28.9</v>
      </c>
      <c r="BI75" s="527" t="n"/>
      <c r="BJ75" s="403" t="inlineStr">
        <is>
          <t>LF1 and LF9</t>
        </is>
      </c>
      <c r="BK75" s="1112" t="n">
        <v>13</v>
      </c>
      <c r="BL75" s="1112" t="n">
        <v>18</v>
      </c>
      <c r="BM75" s="1112" t="n">
        <v>10</v>
      </c>
      <c r="BN75" s="377" t="n">
        <v>14</v>
      </c>
      <c r="BO75" s="527" t="n"/>
      <c r="BP75" s="527" t="n"/>
      <c r="BQ75" s="527" t="n"/>
      <c r="BR75" s="527" t="n"/>
    </row>
    <row r="76">
      <c r="R76" s="1214" t="n"/>
      <c r="S76" s="451" t="inlineStr">
        <is>
          <t>F11 Class3</t>
        </is>
      </c>
      <c r="T76" s="375" t="n">
        <v>45</v>
      </c>
      <c r="U76" s="375" t="n">
        <v>310</v>
      </c>
      <c r="V76" s="375" t="n">
        <v>75</v>
      </c>
      <c r="W76" s="375" t="n">
        <v>515</v>
      </c>
      <c r="X76" s="375" t="n">
        <v>20</v>
      </c>
      <c r="Y76" s="375" t="n">
        <v>30</v>
      </c>
      <c r="Z76" s="454" t="inlineStr">
        <is>
          <t>156-207</t>
        </is>
      </c>
      <c r="AC76" s="368" t="n"/>
      <c r="AD76" s="1100" t="inlineStr">
        <is>
          <t>1,00-5,00</t>
        </is>
      </c>
      <c r="AE76" s="452" t="n"/>
      <c r="AF76" s="1100" t="n">
        <v>0.1</v>
      </c>
      <c r="AG76" s="452" t="n"/>
      <c r="AH76" s="1119" t="n"/>
      <c r="AI76" s="1119" t="n"/>
      <c r="AJ76" s="1119" t="n"/>
      <c r="AK76" s="1119" t="n"/>
      <c r="AL76" s="1119" t="n"/>
      <c r="AM76" s="1119" t="n"/>
      <c r="AN76" s="1119" t="n"/>
      <c r="AO76" s="1119" t="n"/>
      <c r="AP76" s="1119" t="n"/>
      <c r="AQ76" s="527" t="n"/>
      <c r="AR76" s="527" t="n"/>
      <c r="AS76" s="527" t="n"/>
      <c r="AT76" s="527" t="n"/>
      <c r="AU76" s="527" t="n"/>
      <c r="AV76" s="527" t="n"/>
      <c r="AW76" s="527" t="n"/>
      <c r="AX76" s="527" t="n"/>
      <c r="AY76" s="527" t="n"/>
      <c r="AZ76" s="527" t="n"/>
      <c r="BA76" s="527" t="n"/>
      <c r="BB76" s="527" t="n"/>
      <c r="BC76" s="527" t="n"/>
      <c r="BD76" s="527" t="n"/>
      <c r="BE76" s="527" t="n"/>
      <c r="BF76" s="403" t="inlineStr">
        <is>
          <t>LF2 Class 1</t>
        </is>
      </c>
      <c r="BG76" s="1112">
        <f>-50</f>
        <v/>
      </c>
      <c r="BH76" s="377" t="n">
        <v>-45.6</v>
      </c>
      <c r="BI76" s="527" t="n"/>
      <c r="BJ76" s="403" t="inlineStr">
        <is>
          <t>LF2, Class 1</t>
        </is>
      </c>
      <c r="BK76" s="1112" t="n">
        <v>15</v>
      </c>
      <c r="BL76" s="1112" t="n">
        <v>20</v>
      </c>
      <c r="BM76" s="1112" t="n">
        <v>12</v>
      </c>
      <c r="BN76" s="377" t="n">
        <v>16</v>
      </c>
      <c r="BO76" s="527" t="n"/>
      <c r="BP76" s="527" t="n"/>
      <c r="BQ76" s="527" t="n"/>
      <c r="BR76" s="527" t="n"/>
    </row>
    <row r="77">
      <c r="R77" s="1214" t="n"/>
      <c r="S77" s="451" t="inlineStr">
        <is>
          <t>F12 Class1</t>
        </is>
      </c>
      <c r="T77" s="375" t="n">
        <v>32</v>
      </c>
      <c r="U77" s="375" t="n">
        <v>220</v>
      </c>
      <c r="V77" s="375" t="n">
        <v>60</v>
      </c>
      <c r="W77" s="375" t="n">
        <v>415</v>
      </c>
      <c r="X77" s="375" t="n">
        <v>20</v>
      </c>
      <c r="Y77" s="375" t="n">
        <v>45</v>
      </c>
      <c r="Z77" s="454" t="inlineStr">
        <is>
          <t>174-237</t>
        </is>
      </c>
      <c r="AC77" s="368" t="inlineStr">
        <is>
          <t>Chromium</t>
        </is>
      </c>
      <c r="AD77" s="1100" t="inlineStr">
        <is>
          <t>4,00-10,00</t>
        </is>
      </c>
      <c r="AE77" s="452" t="n"/>
      <c r="AF77" s="1100" t="n">
        <v>0.1</v>
      </c>
      <c r="AG77" s="452" t="n"/>
      <c r="AH77" s="1119" t="n"/>
      <c r="AI77" s="1119" t="n"/>
      <c r="AJ77" s="1119" t="n"/>
      <c r="AK77" s="1119" t="n"/>
      <c r="AL77" s="1119" t="n"/>
      <c r="AM77" s="1119" t="n"/>
      <c r="AN77" s="1119" t="n"/>
      <c r="AO77" s="1119" t="n"/>
      <c r="AP77" s="1119" t="n"/>
      <c r="AQ77" s="527" t="n"/>
      <c r="AR77" s="527" t="n"/>
      <c r="AS77" s="527" t="n"/>
      <c r="AT77" s="527" t="n"/>
      <c r="AU77" s="527" t="n"/>
      <c r="AV77" s="527" t="n"/>
      <c r="AW77" s="527" t="n"/>
      <c r="AX77" s="527" t="n"/>
      <c r="AY77" s="527" t="n"/>
      <c r="AZ77" s="527" t="n"/>
      <c r="BA77" s="527" t="n"/>
      <c r="BB77" s="527" t="n"/>
      <c r="BC77" s="527" t="n"/>
      <c r="BD77" s="527" t="n"/>
      <c r="BE77" s="527" t="n"/>
      <c r="BF77" s="403" t="inlineStr">
        <is>
          <t>LF2 Class 2</t>
        </is>
      </c>
      <c r="BG77" s="1112" t="n">
        <v>0</v>
      </c>
      <c r="BH77" s="377" t="n">
        <v>-18</v>
      </c>
      <c r="BI77" s="527" t="n"/>
      <c r="BJ77" s="403" t="inlineStr">
        <is>
          <t>LF3</t>
        </is>
      </c>
      <c r="BK77" s="1112" t="n">
        <v>15</v>
      </c>
      <c r="BL77" s="1112" t="n">
        <v>20</v>
      </c>
      <c r="BM77" s="1112" t="n">
        <v>12</v>
      </c>
      <c r="BN77" s="377" t="n">
        <v>16</v>
      </c>
      <c r="BO77" s="527" t="n"/>
      <c r="BP77" s="527" t="n"/>
      <c r="BQ77" s="527" t="n"/>
      <c r="BR77" s="527" t="n"/>
    </row>
    <row r="78">
      <c r="R78" s="1214" t="n"/>
      <c r="S78" s="451" t="inlineStr">
        <is>
          <t>F12 Class2</t>
        </is>
      </c>
      <c r="T78" s="375" t="n">
        <v>40</v>
      </c>
      <c r="U78" s="375" t="n">
        <v>275</v>
      </c>
      <c r="V78" s="375" t="n">
        <v>70</v>
      </c>
      <c r="W78" s="375" t="n">
        <v>485</v>
      </c>
      <c r="X78" s="375" t="n">
        <v>20</v>
      </c>
      <c r="Y78" s="375" t="n">
        <v>30</v>
      </c>
      <c r="Z78" s="454" t="n">
        <v>170</v>
      </c>
      <c r="AC78" s="368" t="n"/>
      <c r="AD78" s="1100" t="inlineStr">
        <is>
          <t>10,00-15,00</t>
        </is>
      </c>
      <c r="AE78" s="452" t="n"/>
      <c r="AF78" s="1100" t="n">
        <v>0.15</v>
      </c>
      <c r="AG78" s="452" t="n"/>
      <c r="AH78" s="1119" t="n"/>
      <c r="AI78" s="1119" t="n"/>
      <c r="AJ78" s="1119" t="n"/>
      <c r="AK78" s="1119" t="n"/>
      <c r="AL78" s="1119" t="n"/>
      <c r="AM78" s="1119" t="n"/>
      <c r="AN78" s="1119" t="n"/>
      <c r="AO78" s="1119" t="n"/>
      <c r="AP78" s="1119" t="n"/>
      <c r="AQ78" s="527" t="n"/>
      <c r="AR78" s="527" t="n"/>
      <c r="AS78" s="527" t="n"/>
      <c r="AT78" s="527" t="n"/>
      <c r="AU78" s="527" t="n"/>
      <c r="AV78" s="527" t="n"/>
      <c r="AW78" s="527" t="n"/>
      <c r="AX78" s="527" t="n"/>
      <c r="AY78" s="527" t="n"/>
      <c r="AZ78" s="527" t="n"/>
      <c r="BA78" s="527" t="n"/>
      <c r="BB78" s="527" t="n"/>
      <c r="BC78" s="527" t="n"/>
      <c r="BD78" s="527" t="n"/>
      <c r="BE78" s="527" t="n"/>
      <c r="BF78" s="403" t="inlineStr">
        <is>
          <t>LF3</t>
        </is>
      </c>
      <c r="BG78" s="1112" t="n">
        <v>-150</v>
      </c>
      <c r="BH78" s="377" t="n">
        <v>-101.1</v>
      </c>
      <c r="BI78" s="527" t="n"/>
      <c r="BJ78" s="403" t="inlineStr">
        <is>
          <t>LF5, Class 1 and 2</t>
        </is>
      </c>
      <c r="BK78" s="1112" t="n">
        <v>15</v>
      </c>
      <c r="BL78" s="1112" t="n">
        <v>20</v>
      </c>
      <c r="BM78" s="1112" t="n">
        <v>12</v>
      </c>
      <c r="BN78" s="377" t="n">
        <v>16</v>
      </c>
      <c r="BO78" s="527" t="n"/>
      <c r="BP78" s="527" t="n"/>
      <c r="BQ78" s="527" t="n"/>
      <c r="BR78" s="527" t="n"/>
    </row>
    <row r="79">
      <c r="R79" s="1214" t="n"/>
      <c r="S79" s="451" t="inlineStr">
        <is>
          <t>F21</t>
        </is>
      </c>
      <c r="T79" s="375" t="n">
        <v>45</v>
      </c>
      <c r="U79" s="375" t="n">
        <v>310</v>
      </c>
      <c r="V79" s="375" t="n">
        <v>75</v>
      </c>
      <c r="W79" s="375" t="n">
        <v>515</v>
      </c>
      <c r="X79" s="375" t="n">
        <v>20</v>
      </c>
      <c r="Y79" s="375" t="n">
        <v>30</v>
      </c>
      <c r="Z79" s="454" t="inlineStr">
        <is>
          <t>156-207</t>
        </is>
      </c>
      <c r="AC79" s="368" t="n"/>
      <c r="AD79" s="1100" t="inlineStr">
        <is>
          <t>15,00-20,00</t>
        </is>
      </c>
      <c r="AE79" s="452" t="n"/>
      <c r="AF79" s="1100" t="n">
        <v>0.2</v>
      </c>
      <c r="AG79" s="452" t="n"/>
      <c r="AH79" s="1119" t="n"/>
      <c r="AI79" s="1119" t="n"/>
      <c r="AJ79" s="1119" t="n"/>
      <c r="AK79" s="1119" t="n"/>
      <c r="AL79" s="1119" t="n"/>
      <c r="AM79" s="1119" t="n"/>
      <c r="AN79" s="1119" t="n"/>
      <c r="AO79" s="1119" t="n"/>
      <c r="AP79" s="1119" t="n"/>
      <c r="AQ79" s="527" t="n"/>
      <c r="AR79" s="527" t="n"/>
      <c r="AS79" s="527" t="n"/>
      <c r="AT79" s="527" t="n"/>
      <c r="AU79" s="527" t="n"/>
      <c r="AV79" s="527" t="n"/>
      <c r="AW79" s="527" t="n"/>
      <c r="AX79" s="527" t="n"/>
      <c r="AY79" s="527" t="n"/>
      <c r="AZ79" s="527" t="n"/>
      <c r="BA79" s="527" t="n"/>
      <c r="BB79" s="527" t="n"/>
      <c r="BC79" s="527" t="n"/>
      <c r="BD79" s="527" t="n"/>
      <c r="BE79" s="527" t="n"/>
      <c r="BF79" s="403" t="inlineStr">
        <is>
          <t>LF5, Classes 1 and 2</t>
        </is>
      </c>
      <c r="BG79" s="1112" t="n">
        <v>-75</v>
      </c>
      <c r="BH79" s="377" t="n">
        <v>-59.4</v>
      </c>
      <c r="BI79" s="527" t="n"/>
      <c r="BJ79" s="403" t="inlineStr">
        <is>
          <t>LF787 Classes 2 and 3</t>
        </is>
      </c>
      <c r="BK79" s="1112" t="n">
        <v>15</v>
      </c>
      <c r="BL79" s="1112" t="n">
        <v>20</v>
      </c>
      <c r="BM79" s="1112" t="n">
        <v>12</v>
      </c>
      <c r="BN79" s="377" t="n">
        <v>16</v>
      </c>
      <c r="BO79" s="527" t="n"/>
      <c r="BP79" s="527" t="n"/>
      <c r="BQ79" s="527" t="n"/>
      <c r="BR79" s="527" t="n"/>
    </row>
    <row r="80">
      <c r="R80" s="1214" t="n"/>
      <c r="S80" s="451" t="inlineStr">
        <is>
          <t>F3V and F 3VCb</t>
        </is>
      </c>
      <c r="T80" s="375" t="n">
        <v>60</v>
      </c>
      <c r="U80" s="375" t="n">
        <v>415</v>
      </c>
      <c r="V80" s="375" t="inlineStr">
        <is>
          <t>85-110</t>
        </is>
      </c>
      <c r="W80" s="375" t="inlineStr">
        <is>
          <t>585-760</t>
        </is>
      </c>
      <c r="X80" s="375" t="n">
        <v>18</v>
      </c>
      <c r="Y80" s="375" t="n">
        <v>45</v>
      </c>
      <c r="Z80" s="454" t="inlineStr">
        <is>
          <t>174-237</t>
        </is>
      </c>
      <c r="AC80" s="368" t="n"/>
      <c r="AD80" s="1100" t="inlineStr">
        <is>
          <t>20,00-27,50</t>
        </is>
      </c>
      <c r="AE80" s="452" t="n"/>
      <c r="AF80" s="1100" t="n">
        <v>0.25</v>
      </c>
      <c r="AG80" s="452" t="n"/>
      <c r="AH80" s="1119" t="n"/>
      <c r="AI80" s="1119" t="n"/>
      <c r="AJ80" s="1119" t="n"/>
      <c r="AK80" s="1119" t="n"/>
      <c r="AL80" s="1119" t="n"/>
      <c r="AM80" s="1119" t="n"/>
      <c r="AN80" s="1119" t="n"/>
      <c r="AO80" s="1119" t="n"/>
      <c r="AP80" s="1119" t="n"/>
      <c r="AQ80" s="527" t="n"/>
      <c r="AR80" s="527" t="n"/>
      <c r="AS80" s="527" t="n"/>
      <c r="AT80" s="527" t="n"/>
      <c r="AU80" s="527" t="n"/>
      <c r="AV80" s="527" t="n"/>
      <c r="AW80" s="527" t="n"/>
      <c r="AX80" s="527" t="n"/>
      <c r="AY80" s="527" t="n"/>
      <c r="AZ80" s="527" t="n"/>
      <c r="BA80" s="527" t="n"/>
      <c r="BB80" s="527" t="n"/>
      <c r="BC80" s="527" t="n"/>
      <c r="BD80" s="527" t="n"/>
      <c r="BE80" s="527" t="n"/>
      <c r="BF80" s="403" t="inlineStr">
        <is>
          <t>LF6, Classes 1 and 2</t>
        </is>
      </c>
      <c r="BG80" s="1112" t="n">
        <v>-60</v>
      </c>
      <c r="BH80" s="377" t="n">
        <v>-50</v>
      </c>
      <c r="BI80" s="527" t="n"/>
      <c r="BJ80" s="403" t="inlineStr">
        <is>
          <t>LF6, Class 1</t>
        </is>
      </c>
      <c r="BK80" s="1112" t="n">
        <v>15</v>
      </c>
      <c r="BL80" s="1112" t="n">
        <v>20</v>
      </c>
      <c r="BM80" s="1112" t="n">
        <v>12</v>
      </c>
      <c r="BN80" s="377" t="n">
        <v>16</v>
      </c>
      <c r="BO80" s="527" t="n"/>
      <c r="BP80" s="527" t="n"/>
      <c r="BQ80" s="527" t="n"/>
      <c r="BR80" s="527" t="n"/>
    </row>
    <row r="81">
      <c r="R81" s="1214" t="n"/>
      <c r="S81" s="451" t="inlineStr">
        <is>
          <t>F22 Class1</t>
        </is>
      </c>
      <c r="T81" s="375" t="n">
        <v>30</v>
      </c>
      <c r="U81" s="375" t="n">
        <v>205</v>
      </c>
      <c r="V81" s="375" t="n">
        <v>60</v>
      </c>
      <c r="W81" s="375" t="n">
        <v>415</v>
      </c>
      <c r="X81" s="375" t="n">
        <v>20</v>
      </c>
      <c r="Y81" s="375" t="n">
        <v>35</v>
      </c>
      <c r="Z81" s="454" t="n">
        <v>170</v>
      </c>
      <c r="AC81" s="368" t="inlineStr">
        <is>
          <t>Nickel</t>
        </is>
      </c>
      <c r="AD81" s="1100" t="n">
        <v>1</v>
      </c>
      <c r="AE81" s="452" t="n"/>
      <c r="AF81" s="1100" t="n">
        <v>0.03</v>
      </c>
      <c r="AG81" s="452" t="n"/>
      <c r="AH81" s="1119" t="n"/>
      <c r="AI81" s="1119" t="n"/>
      <c r="AJ81" s="1119" t="n"/>
      <c r="AK81" s="1119" t="n"/>
      <c r="AL81" s="1119" t="n"/>
      <c r="AM81" s="1119" t="n"/>
      <c r="AN81" s="1119" t="n"/>
      <c r="AO81" s="1119" t="n"/>
      <c r="AP81" s="1119" t="n"/>
      <c r="AQ81" s="527" t="n"/>
      <c r="AR81" s="527" t="n"/>
      <c r="AS81" s="527" t="n"/>
      <c r="AT81" s="527" t="n"/>
      <c r="AU81" s="527" t="n"/>
      <c r="AV81" s="527" t="n"/>
      <c r="AW81" s="527" t="n"/>
      <c r="AX81" s="527" t="n"/>
      <c r="AY81" s="527" t="n"/>
      <c r="AZ81" s="527" t="n"/>
      <c r="BA81" s="527" t="n"/>
      <c r="BB81" s="527" t="n"/>
      <c r="BC81" s="527" t="n"/>
      <c r="BD81" s="527" t="n"/>
      <c r="BE81" s="527" t="n"/>
      <c r="BF81" s="403" t="inlineStr">
        <is>
          <t>LF6 Class 3</t>
        </is>
      </c>
      <c r="BG81" s="1112" t="n">
        <v>0</v>
      </c>
      <c r="BH81" s="377" t="n">
        <v>-18</v>
      </c>
      <c r="BI81" s="527" t="n"/>
      <c r="BJ81" s="403" t="inlineStr">
        <is>
          <t>LF2, Class 2</t>
        </is>
      </c>
      <c r="BK81" s="1112" t="n">
        <v>20</v>
      </c>
      <c r="BL81" s="1112" t="n">
        <v>27</v>
      </c>
      <c r="BM81" s="1112" t="n">
        <v>15</v>
      </c>
      <c r="BN81" s="377" t="n">
        <v>20</v>
      </c>
      <c r="BO81" s="527" t="n"/>
      <c r="BP81" s="527" t="n"/>
      <c r="BQ81" s="527" t="n"/>
      <c r="BR81" s="527" t="n"/>
    </row>
    <row r="82">
      <c r="R82" s="1214" t="n"/>
      <c r="S82" s="451" t="inlineStr">
        <is>
          <t>F22 Class3</t>
        </is>
      </c>
      <c r="T82" s="375" t="n">
        <v>45</v>
      </c>
      <c r="U82" s="375" t="n">
        <v>310</v>
      </c>
      <c r="V82" s="375" t="n">
        <v>75</v>
      </c>
      <c r="W82" s="375" t="n">
        <v>515</v>
      </c>
      <c r="X82" s="375" t="n">
        <v>20</v>
      </c>
      <c r="Y82" s="375" t="n">
        <v>30</v>
      </c>
      <c r="Z82" s="454" t="inlineStr">
        <is>
          <t>156-207</t>
        </is>
      </c>
      <c r="AC82" s="368" t="n"/>
      <c r="AD82" s="1100" t="inlineStr">
        <is>
          <t>1,00-5,00</t>
        </is>
      </c>
      <c r="AE82" s="452" t="n"/>
      <c r="AF82" s="1100" t="n">
        <v>0.07000000000000001</v>
      </c>
      <c r="AG82" s="452" t="n"/>
      <c r="AH82" s="1119" t="n"/>
      <c r="AI82" s="1119" t="n"/>
      <c r="AJ82" s="1119" t="n"/>
      <c r="AK82" s="1119" t="n"/>
      <c r="AL82" s="1119" t="n"/>
      <c r="AM82" s="1119" t="n"/>
      <c r="AN82" s="1119" t="n"/>
      <c r="AO82" s="1119" t="n"/>
      <c r="AP82" s="1119" t="n"/>
      <c r="AQ82" s="527" t="n"/>
      <c r="AR82" s="527" t="n"/>
      <c r="AS82" s="527" t="n"/>
      <c r="AT82" s="527" t="n"/>
      <c r="AU82" s="527" t="n"/>
      <c r="AV82" s="527" t="n"/>
      <c r="AW82" s="527" t="n"/>
      <c r="AX82" s="527" t="n"/>
      <c r="AY82" s="527" t="n"/>
      <c r="AZ82" s="527" t="n"/>
      <c r="BA82" s="527" t="n"/>
      <c r="BB82" s="527" t="n"/>
      <c r="BC82" s="527" t="n"/>
      <c r="BD82" s="527" t="n"/>
      <c r="BE82" s="527" t="n"/>
      <c r="BF82" s="403" t="inlineStr">
        <is>
          <t>LF9</t>
        </is>
      </c>
      <c r="BG82" s="1112" t="n">
        <v>-100</v>
      </c>
      <c r="BH82" s="377" t="n">
        <v>-73.3</v>
      </c>
      <c r="BI82" s="527" t="n"/>
      <c r="BJ82" s="403" t="inlineStr">
        <is>
          <t>LF3, Class 2</t>
        </is>
      </c>
      <c r="BK82" s="1112" t="n">
        <v>20</v>
      </c>
      <c r="BL82" s="1112" t="n">
        <v>27</v>
      </c>
      <c r="BM82" s="1112" t="n">
        <v>15</v>
      </c>
      <c r="BN82" s="377" t="n">
        <v>20</v>
      </c>
      <c r="BO82" s="527" t="n"/>
      <c r="BP82" s="527" t="n"/>
      <c r="BQ82" s="527" t="n"/>
      <c r="BR82" s="527" t="n"/>
    </row>
    <row r="83">
      <c r="R83" s="1214" t="n"/>
      <c r="S83" s="451" t="inlineStr">
        <is>
          <t>F22V</t>
        </is>
      </c>
      <c r="T83" s="375" t="n">
        <v>60</v>
      </c>
      <c r="U83" s="375" t="n">
        <v>415</v>
      </c>
      <c r="V83" s="375" t="inlineStr">
        <is>
          <t>85-110</t>
        </is>
      </c>
      <c r="W83" s="375" t="inlineStr">
        <is>
          <t>585-780</t>
        </is>
      </c>
      <c r="X83" s="375" t="n">
        <v>18</v>
      </c>
      <c r="Y83" s="375" t="n">
        <v>45</v>
      </c>
      <c r="Z83" s="454" t="inlineStr">
        <is>
          <t>174-237</t>
        </is>
      </c>
      <c r="AC83" s="368" t="n"/>
      <c r="AD83" s="1100" t="inlineStr">
        <is>
          <t>5,00-10,00</t>
        </is>
      </c>
      <c r="AE83" s="452" t="n"/>
      <c r="AF83" s="1100" t="n">
        <v>0.1</v>
      </c>
      <c r="AG83" s="452" t="n"/>
      <c r="AH83" s="1119" t="n"/>
      <c r="AI83" s="1119" t="n"/>
      <c r="AJ83" s="1119" t="n"/>
      <c r="AK83" s="1119" t="n"/>
      <c r="AL83" s="1119" t="n"/>
      <c r="AM83" s="1119" t="n"/>
      <c r="AN83" s="1119" t="n"/>
      <c r="AO83" s="1119" t="n"/>
      <c r="AP83" s="1119" t="n"/>
      <c r="AQ83" s="527" t="n"/>
      <c r="AR83" s="527" t="n"/>
      <c r="AS83" s="527" t="n"/>
      <c r="AT83" s="527" t="n"/>
      <c r="AU83" s="527" t="n"/>
      <c r="AV83" s="527" t="n"/>
      <c r="AW83" s="527" t="n"/>
      <c r="AX83" s="527" t="n"/>
      <c r="AY83" s="527" t="n"/>
      <c r="AZ83" s="527" t="n"/>
      <c r="BA83" s="527" t="n"/>
      <c r="BB83" s="527" t="n"/>
      <c r="BC83" s="527" t="n"/>
      <c r="BD83" s="527" t="n"/>
      <c r="BE83" s="527" t="n"/>
      <c r="BF83" s="403" t="inlineStr">
        <is>
          <t>LF787 Class 2</t>
        </is>
      </c>
      <c r="BG83" s="1112" t="n">
        <v>-75</v>
      </c>
      <c r="BH83" s="377" t="n">
        <v>-50</v>
      </c>
      <c r="BI83" s="527" t="n"/>
      <c r="BJ83" s="406" t="inlineStr">
        <is>
          <t>LF6, Classes 2 and 3</t>
        </is>
      </c>
      <c r="BK83" s="401" t="n">
        <v>20</v>
      </c>
      <c r="BL83" s="401" t="n">
        <v>27</v>
      </c>
      <c r="BM83" s="401" t="n">
        <v>15</v>
      </c>
      <c r="BN83" s="402" t="n">
        <v>20</v>
      </c>
      <c r="BO83" s="527" t="n"/>
      <c r="BP83" s="527" t="n"/>
      <c r="BQ83" s="527" t="n"/>
      <c r="BR83" s="527" t="n"/>
    </row>
    <row r="84">
      <c r="R84" s="120" t="n"/>
      <c r="S84" s="451" t="inlineStr">
        <is>
          <t>FR</t>
        </is>
      </c>
      <c r="T84" s="375" t="n">
        <v>46</v>
      </c>
      <c r="U84" s="375" t="n">
        <v>315</v>
      </c>
      <c r="V84" s="375" t="n">
        <v>63</v>
      </c>
      <c r="W84" s="375" t="n">
        <v>435</v>
      </c>
      <c r="X84" s="375" t="n">
        <v>25</v>
      </c>
      <c r="Y84" s="375" t="n">
        <v>38</v>
      </c>
      <c r="Z84" s="454" t="n">
        <v>197</v>
      </c>
      <c r="AC84" s="368" t="n"/>
      <c r="AD84" s="1100" t="inlineStr">
        <is>
          <t>10,00-20,00</t>
        </is>
      </c>
      <c r="AE84" s="452" t="n"/>
      <c r="AF84" s="1100" t="n">
        <v>0.15</v>
      </c>
      <c r="AG84" s="452" t="n"/>
      <c r="AH84" s="1119" t="n"/>
      <c r="AI84" s="1119" t="n"/>
      <c r="AJ84" s="1119" t="n"/>
      <c r="AK84" s="1119" t="n"/>
      <c r="AL84" s="1119" t="n"/>
      <c r="AM84" s="1119" t="n"/>
      <c r="AN84" s="1119" t="n"/>
      <c r="AO84" s="1119" t="n"/>
      <c r="AP84" s="1119" t="n"/>
      <c r="AQ84" s="527" t="n"/>
      <c r="AR84" s="527" t="n"/>
      <c r="AS84" s="527" t="n"/>
      <c r="AT84" s="527" t="n"/>
      <c r="AU84" s="527" t="n"/>
      <c r="AV84" s="527" t="n"/>
      <c r="AW84" s="527" t="n"/>
      <c r="AX84" s="527" t="n"/>
      <c r="AY84" s="527" t="n"/>
      <c r="AZ84" s="527" t="n"/>
      <c r="BA84" s="527" t="n"/>
      <c r="BB84" s="527" t="n"/>
      <c r="BC84" s="527" t="n"/>
      <c r="BD84" s="527" t="n"/>
      <c r="BE84" s="527" t="n"/>
      <c r="BF84" s="406" t="inlineStr">
        <is>
          <t>LF787 Class 3</t>
        </is>
      </c>
      <c r="BG84" s="401" t="n">
        <v>-100</v>
      </c>
      <c r="BH84" s="402" t="n">
        <v>-73</v>
      </c>
      <c r="BI84" s="527" t="n"/>
      <c r="BJ84" s="527" t="inlineStr">
        <is>
          <t>Table 7</t>
        </is>
      </c>
      <c r="BK84" s="527" t="n"/>
      <c r="BL84" s="527" t="n"/>
      <c r="BM84" s="527" t="n"/>
      <c r="BN84" s="527" t="n"/>
      <c r="BO84" s="527" t="n"/>
      <c r="BP84" s="527" t="n"/>
      <c r="BQ84" s="527" t="n"/>
      <c r="BR84" s="527" t="n"/>
    </row>
    <row r="85">
      <c r="R85" s="1216" t="inlineStr">
        <is>
          <t>Martensitic Stainless Steels</t>
        </is>
      </c>
      <c r="S85" s="451" t="inlineStr">
        <is>
          <t>F6a Class1</t>
        </is>
      </c>
      <c r="T85" s="1100" t="n">
        <v>40</v>
      </c>
      <c r="U85" s="1100" t="n">
        <v>275</v>
      </c>
      <c r="V85" s="1100" t="n">
        <v>70</v>
      </c>
      <c r="W85" s="1100" t="n">
        <v>485</v>
      </c>
      <c r="X85" s="1100" t="n">
        <v>18</v>
      </c>
      <c r="Y85" s="1100" t="n">
        <v>35</v>
      </c>
      <c r="Z85" s="456" t="inlineStr">
        <is>
          <t>143-207</t>
        </is>
      </c>
      <c r="AC85" s="368" t="n"/>
      <c r="AD85" s="1100" t="inlineStr">
        <is>
          <t>20,00-22,00</t>
        </is>
      </c>
      <c r="AE85" s="452" t="n"/>
      <c r="AF85" s="1100" t="n">
        <v>0.2</v>
      </c>
      <c r="AG85" s="452" t="n"/>
      <c r="AH85" s="1119" t="n"/>
      <c r="AI85" s="1119" t="n"/>
      <c r="AJ85" s="1119" t="n"/>
      <c r="AK85" s="1119" t="n"/>
      <c r="AL85" s="1119" t="n"/>
      <c r="AM85" s="1119" t="n"/>
      <c r="AN85" s="1119" t="n"/>
      <c r="AO85" s="1119" t="n"/>
      <c r="AP85" s="1119" t="n"/>
      <c r="AQ85" s="527" t="n"/>
      <c r="AR85" s="527" t="n"/>
      <c r="AS85" s="527" t="n"/>
      <c r="AT85" s="527" t="n"/>
      <c r="AU85" s="527" t="n"/>
      <c r="AV85" s="527" t="n"/>
      <c r="AW85" s="527" t="n"/>
      <c r="AX85" s="527" t="n"/>
      <c r="AY85" s="527" t="n"/>
      <c r="AZ85" s="527" t="n"/>
      <c r="BA85" s="527" t="n"/>
      <c r="BB85" s="527" t="n"/>
      <c r="BC85" s="527" t="n"/>
      <c r="BD85" s="527" t="n"/>
      <c r="BE85" s="527" t="n"/>
      <c r="BF85" s="527" t="n"/>
      <c r="BG85" s="527" t="n"/>
      <c r="BH85" s="527" t="n"/>
      <c r="BI85" s="527" t="n"/>
      <c r="BJ85" s="404" t="inlineStr">
        <is>
          <t>Size of Bar</t>
        </is>
      </c>
      <c r="BK85" s="371" t="inlineStr">
        <is>
          <t>Thickness of the Material (in)</t>
        </is>
      </c>
      <c r="BL85" s="405" t="inlineStr">
        <is>
          <t>Thickness of the Material (mm)</t>
        </is>
      </c>
      <c r="BM85" s="409" t="inlineStr">
        <is>
          <t>Temperature Reduction (F)</t>
        </is>
      </c>
      <c r="BN85" s="1110" t="inlineStr">
        <is>
          <t>Temperature Reduction (C)</t>
        </is>
      </c>
      <c r="BO85" s="527" t="n"/>
      <c r="BP85" s="527" t="n"/>
      <c r="BQ85" s="527" t="n"/>
      <c r="BR85" s="527" t="n"/>
    </row>
    <row r="86">
      <c r="R86" s="1214" t="n"/>
      <c r="S86" s="451" t="inlineStr">
        <is>
          <t>F6a Class2</t>
        </is>
      </c>
      <c r="T86" s="1100" t="n">
        <v>55</v>
      </c>
      <c r="U86" s="1100" t="n">
        <v>380</v>
      </c>
      <c r="V86" s="1100" t="n">
        <v>85</v>
      </c>
      <c r="W86" s="1100" t="n">
        <v>585</v>
      </c>
      <c r="X86" s="1100" t="n">
        <v>18</v>
      </c>
      <c r="Y86" s="1100" t="n">
        <v>35</v>
      </c>
      <c r="Z86" s="456" t="inlineStr">
        <is>
          <t>167-229</t>
        </is>
      </c>
      <c r="AC86" s="368" t="inlineStr">
        <is>
          <t>Molybdenum</t>
        </is>
      </c>
      <c r="AD86" s="1100" t="n">
        <v>0.2</v>
      </c>
      <c r="AE86" s="452" t="n"/>
      <c r="AF86" s="1100" t="n">
        <v>0.01</v>
      </c>
      <c r="AG86" s="452" t="n"/>
      <c r="AH86" s="1119" t="n"/>
      <c r="AI86" s="1119" t="n"/>
      <c r="AJ86" s="1119" t="n"/>
      <c r="AK86" s="1119" t="n"/>
      <c r="AL86" s="1119" t="n"/>
      <c r="AM86" s="1119" t="n"/>
      <c r="AN86" s="1119" t="n"/>
      <c r="AO86" s="1119" t="n"/>
      <c r="AP86" s="1119" t="n"/>
      <c r="AQ86" s="527" t="n"/>
      <c r="AR86" s="527" t="n"/>
      <c r="AS86" s="527" t="n"/>
      <c r="AT86" s="527" t="n"/>
      <c r="AU86" s="527" t="n"/>
      <c r="AV86" s="527" t="n"/>
      <c r="AW86" s="527" t="n"/>
      <c r="AX86" s="527" t="n"/>
      <c r="AY86" s="527" t="n"/>
      <c r="AZ86" s="527" t="n"/>
      <c r="BA86" s="527" t="n"/>
      <c r="BB86" s="527" t="n"/>
      <c r="BC86" s="527" t="n"/>
      <c r="BD86" s="527" t="n"/>
      <c r="BE86" s="527" t="n"/>
      <c r="BF86" s="527" t="inlineStr">
        <is>
          <t>Minimum Equivalent Absorbed Energy</t>
        </is>
      </c>
      <c r="BG86" s="527" t="n"/>
      <c r="BH86" s="527" t="n"/>
      <c r="BI86" s="527" t="n"/>
      <c r="BJ86" s="378" t="inlineStr">
        <is>
          <t>Standard</t>
        </is>
      </c>
      <c r="BK86" s="1112" t="n">
        <v>394</v>
      </c>
      <c r="BL86" s="377" t="n">
        <v>10</v>
      </c>
      <c r="BM86" s="1112" t="n">
        <v>0</v>
      </c>
      <c r="BN86" s="1112" t="n">
        <v>0</v>
      </c>
      <c r="BO86" s="527" t="n"/>
      <c r="BP86" s="527" t="n"/>
      <c r="BQ86" s="527" t="n"/>
      <c r="BR86" s="527" t="n"/>
    </row>
    <row r="87" ht="15" customHeight="1" s="510">
      <c r="R87" s="1214" t="n"/>
      <c r="S87" s="451" t="inlineStr">
        <is>
          <t>F6a Class3</t>
        </is>
      </c>
      <c r="T87" s="1100" t="n">
        <v>85</v>
      </c>
      <c r="U87" s="1100" t="n">
        <v>585</v>
      </c>
      <c r="V87" s="1100" t="n">
        <v>110</v>
      </c>
      <c r="W87" s="1100" t="n">
        <v>760</v>
      </c>
      <c r="X87" s="1100" t="n">
        <v>15</v>
      </c>
      <c r="Y87" s="1100" t="n">
        <v>35</v>
      </c>
      <c r="Z87" s="456" t="inlineStr">
        <is>
          <t>235-302</t>
        </is>
      </c>
      <c r="AC87" s="368" t="n"/>
      <c r="AD87" s="1100" t="inlineStr">
        <is>
          <t>0,2-0,6</t>
        </is>
      </c>
      <c r="AE87" s="452" t="n"/>
      <c r="AF87" s="1100" t="n">
        <v>0.03</v>
      </c>
      <c r="AG87" s="452" t="n"/>
      <c r="AH87" s="1119" t="n"/>
      <c r="AI87" s="1119" t="n"/>
      <c r="AJ87" s="1119" t="n"/>
      <c r="AK87" s="1119" t="n"/>
      <c r="AL87" s="1119" t="n"/>
      <c r="AM87" s="1119" t="n"/>
      <c r="AN87" s="1119" t="n"/>
      <c r="AO87" s="1119" t="n"/>
      <c r="AP87" s="1119" t="n"/>
      <c r="AQ87" s="527" t="n"/>
      <c r="AR87" s="527" t="n"/>
      <c r="AS87" s="527" t="n"/>
      <c r="AT87" s="527" t="n"/>
      <c r="AU87" s="527" t="n"/>
      <c r="AV87" s="527" t="n"/>
      <c r="AW87" s="527" t="n"/>
      <c r="AX87" s="527" t="n"/>
      <c r="AY87" s="527" t="n"/>
      <c r="AZ87" s="527" t="n"/>
      <c r="BA87" s="527" t="n"/>
      <c r="BB87" s="527" t="n"/>
      <c r="BC87" s="527" t="n"/>
      <c r="BD87" s="527" t="n"/>
      <c r="BE87" s="527" t="n"/>
      <c r="BF87" s="415" t="inlineStr">
        <is>
          <t>Standard Size (ft.lbf)</t>
        </is>
      </c>
      <c r="BG87" s="415" t="inlineStr">
        <is>
          <t>Standard Size (J)</t>
        </is>
      </c>
      <c r="BH87" s="527" t="n"/>
      <c r="BI87" s="527" t="n"/>
      <c r="BJ87" s="378" t="inlineStr">
        <is>
          <t>Standard</t>
        </is>
      </c>
      <c r="BK87" s="1112" t="inlineStr">
        <is>
          <t>0.354</t>
        </is>
      </c>
      <c r="BL87" s="377" t="n">
        <v>9</v>
      </c>
      <c r="BM87" s="1112" t="n">
        <v>0</v>
      </c>
      <c r="BN87" s="1112" t="n">
        <v>0</v>
      </c>
      <c r="BO87" s="527" t="n"/>
      <c r="BP87" s="527" t="n"/>
      <c r="BQ87" s="527" t="n"/>
      <c r="BR87" s="527" t="n"/>
    </row>
    <row r="88" ht="15" customHeight="1" s="510">
      <c r="R88" s="1214" t="n"/>
      <c r="S88" s="451" t="inlineStr">
        <is>
          <t>F 6a Class4</t>
        </is>
      </c>
      <c r="T88" s="1100" t="n">
        <v>110</v>
      </c>
      <c r="U88" s="1100" t="n">
        <v>760</v>
      </c>
      <c r="V88" s="1100" t="n">
        <v>130</v>
      </c>
      <c r="W88" s="1100" t="n">
        <v>895</v>
      </c>
      <c r="X88" s="1100" t="n">
        <v>12</v>
      </c>
      <c r="Y88" s="1100" t="n">
        <v>35</v>
      </c>
      <c r="Z88" s="456" t="inlineStr">
        <is>
          <t>263-321</t>
        </is>
      </c>
      <c r="AC88" s="368" t="n"/>
      <c r="AD88" s="1100" t="inlineStr">
        <is>
          <t>0,6-2</t>
        </is>
      </c>
      <c r="AE88" s="452" t="n"/>
      <c r="AF88" s="1100" t="n">
        <v>0.05</v>
      </c>
      <c r="AG88" s="452" t="n"/>
      <c r="AH88" s="1119" t="n"/>
      <c r="AI88" s="1119" t="n"/>
      <c r="AJ88" s="1119" t="n"/>
      <c r="AK88" s="1119" t="n"/>
      <c r="AL88" s="1119" t="n"/>
      <c r="AM88" s="1119" t="n"/>
      <c r="AN88" s="1119" t="n"/>
      <c r="AO88" s="1119" t="n"/>
      <c r="AP88" s="1119" t="n"/>
      <c r="AQ88" s="527" t="n"/>
      <c r="AR88" s="527" t="n"/>
      <c r="AS88" s="527" t="n"/>
      <c r="AT88" s="527" t="n"/>
      <c r="AU88" s="527" t="n"/>
      <c r="AV88" s="527" t="n"/>
      <c r="AW88" s="527" t="n"/>
      <c r="AX88" s="527" t="n"/>
      <c r="AY88" s="527" t="n"/>
      <c r="AZ88" s="527" t="n"/>
      <c r="BA88" s="527" t="n"/>
      <c r="BB88" s="527" t="n"/>
      <c r="BC88" s="527" t="n"/>
      <c r="BD88" s="527" t="n"/>
      <c r="BE88" s="527" t="n"/>
      <c r="BF88" s="378" t="n">
        <v>15</v>
      </c>
      <c r="BG88" s="377" t="n">
        <v>20</v>
      </c>
      <c r="BH88" s="527" t="n"/>
      <c r="BI88" s="527" t="n"/>
      <c r="BJ88" s="378" t="inlineStr">
        <is>
          <t>Standard</t>
        </is>
      </c>
      <c r="BK88" s="1112" t="inlineStr">
        <is>
          <t>0.325</t>
        </is>
      </c>
      <c r="BL88" s="377" t="n">
        <v>8</v>
      </c>
      <c r="BM88" s="1112" t="n">
        <v>0</v>
      </c>
      <c r="BN88" s="1112" t="n">
        <v>0</v>
      </c>
      <c r="BO88" s="527" t="n"/>
      <c r="BP88" s="527" t="n"/>
      <c r="BQ88" s="527" t="n"/>
      <c r="BR88" s="527" t="n"/>
    </row>
    <row r="89">
      <c r="R89" s="1214" t="n"/>
      <c r="S89" s="451" t="inlineStr">
        <is>
          <t>F6b</t>
        </is>
      </c>
      <c r="T89" s="1100" t="n">
        <v>90</v>
      </c>
      <c r="U89" s="1100" t="n">
        <v>620</v>
      </c>
      <c r="V89" s="1100" t="inlineStr">
        <is>
          <t>110-135</t>
        </is>
      </c>
      <c r="W89" s="1100" t="inlineStr">
        <is>
          <t>760-930</t>
        </is>
      </c>
      <c r="X89" s="1100" t="n">
        <v>16</v>
      </c>
      <c r="Y89" s="1100" t="n">
        <v>45</v>
      </c>
      <c r="Z89" s="456" t="inlineStr">
        <is>
          <t>235-285</t>
        </is>
      </c>
      <c r="AC89" s="368" t="n"/>
      <c r="AD89" s="1100" t="inlineStr">
        <is>
          <t>2,00-7,00</t>
        </is>
      </c>
      <c r="AE89" s="452" t="n"/>
      <c r="AF89" s="1100" t="n">
        <v>0.1</v>
      </c>
      <c r="AG89" s="452" t="n"/>
      <c r="AH89" s="1119" t="n"/>
      <c r="AI89" s="1119" t="n"/>
      <c r="AJ89" s="1119" t="n"/>
      <c r="AK89" s="1119" t="n"/>
      <c r="AL89" s="1119" t="n"/>
      <c r="AM89" s="1119" t="n"/>
      <c r="AN89" s="1119" t="n"/>
      <c r="AO89" s="1119" t="n"/>
      <c r="AP89" s="1119" t="n"/>
      <c r="AQ89" s="527" t="n"/>
      <c r="AR89" s="527" t="n"/>
      <c r="AS89" s="527" t="n"/>
      <c r="AT89" s="527" t="n"/>
      <c r="AU89" s="527" t="n"/>
      <c r="AV89" s="527" t="n"/>
      <c r="AW89" s="527" t="n"/>
      <c r="AX89" s="527" t="n"/>
      <c r="AY89" s="527" t="n"/>
      <c r="AZ89" s="527" t="n"/>
      <c r="BA89" s="527" t="n"/>
      <c r="BB89" s="527" t="n"/>
      <c r="BC89" s="527" t="n"/>
      <c r="BD89" s="527" t="n"/>
      <c r="BE89" s="527" t="n"/>
      <c r="BF89" s="378" t="n">
        <v>13</v>
      </c>
      <c r="BG89" s="377" t="n">
        <v>18</v>
      </c>
      <c r="BH89" s="527" t="n"/>
      <c r="BI89" s="527" t="n"/>
      <c r="BJ89" s="378" t="inlineStr">
        <is>
          <t>3/% size</t>
        </is>
      </c>
      <c r="BK89" s="1112" t="inlineStr">
        <is>
          <t>0.295</t>
        </is>
      </c>
      <c r="BL89" s="407" t="n">
        <v>7.5</v>
      </c>
      <c r="BM89" s="1112" t="n">
        <v>5</v>
      </c>
      <c r="BN89" s="1112" t="n">
        <v>3</v>
      </c>
      <c r="BO89" s="527" t="n"/>
      <c r="BP89" s="527" t="n"/>
      <c r="BQ89" s="527" t="n"/>
      <c r="BR89" s="527" t="n"/>
    </row>
    <row r="90">
      <c r="R90" s="120" t="n"/>
      <c r="S90" s="451" t="inlineStr">
        <is>
          <t>F6NM</t>
        </is>
      </c>
      <c r="T90" s="1100" t="n">
        <v>90</v>
      </c>
      <c r="U90" s="1100" t="n">
        <v>620</v>
      </c>
      <c r="V90" s="1100" t="n">
        <v>115</v>
      </c>
      <c r="W90" s="1100" t="n">
        <v>790</v>
      </c>
      <c r="X90" s="1100" t="n">
        <v>15</v>
      </c>
      <c r="Y90" s="1100" t="n">
        <v>45</v>
      </c>
      <c r="Z90" s="456" t="n">
        <v>295</v>
      </c>
      <c r="AC90" s="368" t="inlineStr">
        <is>
          <t>Titanium</t>
        </is>
      </c>
      <c r="AD90" s="1100" t="inlineStr">
        <is>
          <t>All Ranges</t>
        </is>
      </c>
      <c r="AE90" s="452" t="n"/>
      <c r="AF90" s="1100" t="n">
        <v>0.05</v>
      </c>
      <c r="AG90" s="452" t="n"/>
      <c r="AH90" s="1119" t="n"/>
      <c r="AI90" s="1119" t="n"/>
      <c r="AJ90" s="1119" t="n"/>
      <c r="AK90" s="1119" t="n"/>
      <c r="AL90" s="1119" t="n"/>
      <c r="AM90" s="1119" t="n"/>
      <c r="AN90" s="1119" t="n"/>
      <c r="AO90" s="1119" t="n"/>
      <c r="AP90" s="1119" t="n"/>
      <c r="AQ90" s="527" t="n"/>
      <c r="AR90" s="527" t="n"/>
      <c r="AS90" s="527" t="n"/>
      <c r="AT90" s="527" t="n"/>
      <c r="AU90" s="527" t="n"/>
      <c r="AV90" s="527" t="n"/>
      <c r="AW90" s="527" t="n"/>
      <c r="AX90" s="527" t="n"/>
      <c r="AY90" s="527" t="n"/>
      <c r="AZ90" s="527" t="n"/>
      <c r="BA90" s="527" t="n"/>
      <c r="BB90" s="527" t="n"/>
      <c r="BC90" s="527" t="n"/>
      <c r="BD90" s="527" t="n"/>
      <c r="BE90" s="527" t="n"/>
      <c r="BF90" s="378" t="n">
        <v>12</v>
      </c>
      <c r="BG90" s="377" t="n">
        <v>16</v>
      </c>
      <c r="BH90" s="527" t="n"/>
      <c r="BI90" s="527" t="n"/>
      <c r="BJ90" s="378" t="inlineStr">
        <is>
          <t>3/% size</t>
        </is>
      </c>
      <c r="BK90" s="1112" t="inlineStr">
        <is>
          <t>0.276</t>
        </is>
      </c>
      <c r="BL90" s="377" t="n">
        <v>7</v>
      </c>
      <c r="BM90" s="1112" t="n">
        <v>8</v>
      </c>
      <c r="BN90" s="1112" t="n">
        <v>5</v>
      </c>
      <c r="BO90" s="527" t="n"/>
      <c r="BP90" s="527" t="n"/>
      <c r="BQ90" s="527" t="n"/>
      <c r="BR90" s="527" t="n"/>
    </row>
    <row r="91">
      <c r="R91" s="1217" t="inlineStr">
        <is>
          <t>Feritic Stainless Steels</t>
        </is>
      </c>
      <c r="S91" s="451" t="inlineStr">
        <is>
          <t>FXM-27Cb</t>
        </is>
      </c>
      <c r="T91" s="1100" t="n">
        <v>35</v>
      </c>
      <c r="U91" s="1100" t="n">
        <v>240</v>
      </c>
      <c r="V91" s="1100" t="n">
        <v>60</v>
      </c>
      <c r="W91" s="1100" t="n">
        <v>415</v>
      </c>
      <c r="X91" s="1100" t="n">
        <v>20</v>
      </c>
      <c r="Y91" s="1100" t="n">
        <v>45</v>
      </c>
      <c r="Z91" s="456" t="n">
        <v>190</v>
      </c>
      <c r="AC91" s="368" t="inlineStr">
        <is>
          <t>Columbium-tantalum</t>
        </is>
      </c>
      <c r="AD91" s="1100" t="inlineStr">
        <is>
          <t>All Ranges</t>
        </is>
      </c>
      <c r="AE91" s="452" t="n"/>
      <c r="AF91" s="1100" t="n">
        <v>0.05</v>
      </c>
      <c r="AG91" s="452" t="n"/>
      <c r="AH91" s="1119" t="n"/>
      <c r="AI91" s="1119" t="n"/>
      <c r="AJ91" s="1119" t="n"/>
      <c r="AK91" s="1119" t="n"/>
      <c r="AL91" s="1119" t="n"/>
      <c r="AM91" s="1119" t="n"/>
      <c r="AN91" s="1119" t="n"/>
      <c r="AO91" s="1119" t="n"/>
      <c r="AP91" s="1119" t="n"/>
      <c r="AQ91" s="527" t="n"/>
      <c r="AR91" s="527" t="n"/>
      <c r="AS91" s="527" t="n"/>
      <c r="AT91" s="527" t="n"/>
      <c r="AU91" s="527" t="n"/>
      <c r="AV91" s="527" t="n"/>
      <c r="AW91" s="527" t="n"/>
      <c r="AX91" s="527" t="n"/>
      <c r="AY91" s="527" t="n"/>
      <c r="AZ91" s="527" t="n"/>
      <c r="BA91" s="527" t="n"/>
      <c r="BB91" s="527" t="n"/>
      <c r="BC91" s="527" t="n"/>
      <c r="BD91" s="527" t="n"/>
      <c r="BE91" s="527" t="n"/>
      <c r="BF91" s="408" t="n">
        <v>10</v>
      </c>
      <c r="BG91" s="402" t="n">
        <v>14</v>
      </c>
      <c r="BH91" s="527" t="n"/>
      <c r="BI91" s="527" t="n"/>
      <c r="BJ91" s="378" t="inlineStr">
        <is>
          <t>2/X size</t>
        </is>
      </c>
      <c r="BK91" s="1112" t="inlineStr">
        <is>
          <t>0.262</t>
        </is>
      </c>
      <c r="BL91" s="377" t="n">
        <v>6.67</v>
      </c>
      <c r="BM91" s="1112" t="n">
        <v>10</v>
      </c>
      <c r="BN91" s="1112" t="n">
        <v>6</v>
      </c>
      <c r="BO91" s="527" t="n"/>
      <c r="BP91" s="527" t="n"/>
      <c r="BQ91" s="527" t="n"/>
      <c r="BR91" s="527" t="n"/>
    </row>
    <row r="92">
      <c r="R92" s="1214" t="n"/>
      <c r="S92" s="451" t="inlineStr">
        <is>
          <t>F429</t>
        </is>
      </c>
      <c r="T92" s="1100" t="n">
        <v>35</v>
      </c>
      <c r="U92" s="1100" t="n">
        <v>240</v>
      </c>
      <c r="V92" s="1100" t="n">
        <v>60</v>
      </c>
      <c r="W92" s="1100" t="n">
        <v>415</v>
      </c>
      <c r="X92" s="1100" t="n">
        <v>20</v>
      </c>
      <c r="Y92" s="1100" t="n">
        <v>45</v>
      </c>
      <c r="Z92" s="456" t="n">
        <v>190</v>
      </c>
      <c r="AC92" s="368" t="inlineStr">
        <is>
          <t>Tantalum</t>
        </is>
      </c>
      <c r="AD92" s="1100" t="n">
        <v>0.1</v>
      </c>
      <c r="AE92" s="452" t="n"/>
      <c r="AF92" s="1100" t="n">
        <v>0.02</v>
      </c>
      <c r="AG92" s="452" t="n"/>
      <c r="AH92" s="1119" t="n"/>
      <c r="AI92" s="1119" t="n"/>
      <c r="AJ92" s="1119" t="n"/>
      <c r="AK92" s="1119" t="n"/>
      <c r="AL92" s="1119" t="n"/>
      <c r="AM92" s="1119" t="n"/>
      <c r="AN92" s="1119" t="n"/>
      <c r="AO92" s="1119" t="n"/>
      <c r="AP92" s="1119" t="n"/>
      <c r="AQ92" s="527" t="n"/>
      <c r="AR92" s="527" t="n"/>
      <c r="AS92" s="527" t="n"/>
      <c r="AT92" s="527" t="n"/>
      <c r="AU92" s="527" t="n"/>
      <c r="AV92" s="527" t="n"/>
      <c r="AW92" s="527" t="n"/>
      <c r="AX92" s="527" t="n"/>
      <c r="AY92" s="527" t="n"/>
      <c r="AZ92" s="527" t="n"/>
      <c r="BA92" s="527" t="n"/>
      <c r="BB92" s="527" t="n"/>
      <c r="BC92" s="527" t="n"/>
      <c r="BD92" s="527" t="n"/>
      <c r="BE92" s="527" t="n"/>
      <c r="BG92" s="527" t="n"/>
      <c r="BH92" s="527" t="n"/>
      <c r="BI92" s="527" t="n"/>
      <c r="BJ92" s="378" t="inlineStr">
        <is>
          <t>2/X size</t>
        </is>
      </c>
      <c r="BK92" s="1112" t="inlineStr">
        <is>
          <t>0.236</t>
        </is>
      </c>
      <c r="BL92" s="377" t="n">
        <v>6</v>
      </c>
      <c r="BM92" s="1112" t="n">
        <v>15</v>
      </c>
      <c r="BN92" s="1112" t="n">
        <v>8</v>
      </c>
      <c r="BO92" s="527" t="n"/>
      <c r="BP92" s="527" t="n"/>
      <c r="BQ92" s="527" t="n"/>
      <c r="BR92" s="527" t="n"/>
    </row>
    <row r="93">
      <c r="R93" s="120" t="n"/>
      <c r="S93" s="451" t="inlineStr">
        <is>
          <t>F430</t>
        </is>
      </c>
      <c r="T93" s="1100" t="n">
        <v>35</v>
      </c>
      <c r="U93" s="1100" t="n">
        <v>240</v>
      </c>
      <c r="V93" s="1100" t="n">
        <v>60</v>
      </c>
      <c r="W93" s="1100" t="n">
        <v>415</v>
      </c>
      <c r="X93" s="1100" t="n">
        <v>20</v>
      </c>
      <c r="Y93" s="1100" t="n">
        <v>45</v>
      </c>
      <c r="Z93" s="456" t="n">
        <v>190</v>
      </c>
      <c r="AC93" s="368" t="inlineStr">
        <is>
          <t>Cobalt</t>
        </is>
      </c>
      <c r="AD93" s="1100" t="inlineStr">
        <is>
          <t>0,05-0,2</t>
        </is>
      </c>
      <c r="AE93" s="452" t="n"/>
      <c r="AF93" s="1100" t="n">
        <v>0.01</v>
      </c>
      <c r="AG93" s="452" t="n"/>
      <c r="AH93" s="1119" t="n"/>
      <c r="AI93" s="1119" t="n"/>
      <c r="AJ93" s="1119" t="n"/>
      <c r="AK93" s="1119" t="n"/>
      <c r="AL93" s="1119" t="n"/>
      <c r="AM93" s="1119" t="n"/>
      <c r="AN93" s="1119" t="n"/>
      <c r="AO93" s="1119" t="n"/>
      <c r="AP93" s="1119" t="n"/>
      <c r="AQ93" s="527" t="n"/>
      <c r="AR93" s="527" t="n"/>
      <c r="AS93" s="527" t="n"/>
      <c r="AT93" s="527" t="n"/>
      <c r="AU93" s="527" t="n"/>
      <c r="AV93" s="527" t="n"/>
      <c r="AW93" s="527" t="n"/>
      <c r="AX93" s="527" t="n"/>
      <c r="AY93" s="527" t="n"/>
      <c r="AZ93" s="527" t="n"/>
      <c r="BA93" s="527" t="n"/>
      <c r="BB93" s="527" t="n"/>
      <c r="BC93" s="527" t="n"/>
      <c r="BD93" s="527" t="n"/>
      <c r="BE93" s="527" t="n"/>
      <c r="BF93" s="527" t="inlineStr">
        <is>
          <t>Table 8</t>
        </is>
      </c>
      <c r="BG93" s="359" t="n"/>
      <c r="BH93" s="527" t="n"/>
      <c r="BI93" s="527" t="n"/>
      <c r="BJ93" s="378" t="inlineStr">
        <is>
          <t>1/- size</t>
        </is>
      </c>
      <c r="BK93" s="1112" t="inlineStr">
        <is>
          <t>0.197</t>
        </is>
      </c>
      <c r="BL93" s="377" t="n">
        <v>5</v>
      </c>
      <c r="BM93" s="1112" t="n">
        <v>20</v>
      </c>
      <c r="BN93" s="1112" t="n">
        <v>11</v>
      </c>
      <c r="BO93" s="527" t="n"/>
      <c r="BP93" s="527" t="n"/>
      <c r="BQ93" s="527" t="n"/>
      <c r="BR93" s="527" t="n"/>
    </row>
    <row r="94" ht="15" customHeight="1" s="510">
      <c r="R94" s="1218" t="inlineStr">
        <is>
          <t>Austenitic Stainless Steels</t>
        </is>
      </c>
      <c r="S94" s="451" t="inlineStr">
        <is>
          <t>F304</t>
        </is>
      </c>
      <c r="T94" s="1100" t="n">
        <v>30</v>
      </c>
      <c r="U94" s="1100" t="n">
        <v>205</v>
      </c>
      <c r="V94" s="1100" t="n">
        <v>75</v>
      </c>
      <c r="W94" s="1100" t="n">
        <v>515</v>
      </c>
      <c r="X94" s="1100" t="n">
        <v>30</v>
      </c>
      <c r="Y94" s="1100" t="n">
        <v>50</v>
      </c>
      <c r="Z94" s="457" t="n"/>
      <c r="AC94" s="368" t="inlineStr">
        <is>
          <t>Nitrogen</t>
        </is>
      </c>
      <c r="AD94" s="1100" t="n">
        <v>0.19</v>
      </c>
      <c r="AE94" s="452" t="n"/>
      <c r="AF94" s="1100" t="n">
        <v>0.01</v>
      </c>
      <c r="AG94" s="452" t="n"/>
      <c r="AH94" s="1119" t="n"/>
      <c r="AI94" s="1119" t="n"/>
      <c r="AJ94" s="1119" t="n"/>
      <c r="AK94" s="1119" t="n"/>
      <c r="AL94" s="1119" t="n"/>
      <c r="AM94" s="1119" t="n"/>
      <c r="AN94" s="1119" t="n"/>
      <c r="AO94" s="1119" t="n"/>
      <c r="AP94" s="1119" t="n"/>
      <c r="AQ94" s="527" t="n"/>
      <c r="AR94" s="527" t="n"/>
      <c r="AS94" s="527" t="n"/>
      <c r="AT94" s="527" t="n"/>
      <c r="AU94" s="527" t="n"/>
      <c r="AV94" s="527" t="n"/>
      <c r="AW94" s="527" t="n"/>
      <c r="AX94" s="527" t="n"/>
      <c r="AY94" s="527" t="n"/>
      <c r="AZ94" s="527" t="n"/>
      <c r="BA94" s="527" t="n"/>
      <c r="BB94" s="527" t="n"/>
      <c r="BC94" s="527" t="n"/>
      <c r="BD94" s="527" t="n"/>
      <c r="BE94" s="527" t="n"/>
      <c r="BF94" s="404" t="inlineStr">
        <is>
          <t>Grade</t>
        </is>
      </c>
      <c r="BG94" s="371" t="inlineStr">
        <is>
          <t>Max Test Temperature (F)</t>
        </is>
      </c>
      <c r="BH94" s="405" t="inlineStr">
        <is>
          <t>Max Test Temperature ©</t>
        </is>
      </c>
      <c r="BI94" s="527" t="n"/>
      <c r="BJ94" s="378" t="inlineStr">
        <is>
          <t>1/- size</t>
        </is>
      </c>
      <c r="BK94" s="1112" t="inlineStr">
        <is>
          <t>0.158</t>
        </is>
      </c>
      <c r="BL94" s="377" t="n">
        <v>4</v>
      </c>
      <c r="BM94" s="1112" t="n">
        <v>30</v>
      </c>
      <c r="BN94" s="1112" t="n">
        <v>17</v>
      </c>
      <c r="BO94" s="527" t="n"/>
      <c r="BP94" s="527" t="n"/>
      <c r="BQ94" s="527" t="n"/>
      <c r="BR94" s="527" t="n"/>
    </row>
    <row r="95">
      <c r="R95" s="1214" t="n"/>
      <c r="S95" s="451" t="inlineStr">
        <is>
          <t>F304H</t>
        </is>
      </c>
      <c r="T95" s="1100" t="n">
        <v>30</v>
      </c>
      <c r="U95" s="1100" t="n">
        <v>205</v>
      </c>
      <c r="V95" s="1100" t="n">
        <v>75</v>
      </c>
      <c r="W95" s="1100" t="n">
        <v>515</v>
      </c>
      <c r="X95" s="1100" t="n">
        <v>30</v>
      </c>
      <c r="Y95" s="1100" t="n">
        <v>50</v>
      </c>
      <c r="Z95" s="457" t="n"/>
      <c r="AC95" s="368" t="n"/>
      <c r="AD95" s="1100" t="inlineStr">
        <is>
          <t>0,19-0,25</t>
        </is>
      </c>
      <c r="AE95" s="452" t="n"/>
      <c r="AF95" s="1100" t="n">
        <v>0.02</v>
      </c>
      <c r="AG95" s="452" t="n"/>
      <c r="AH95" s="1119" t="n"/>
      <c r="AI95" s="1119" t="n"/>
      <c r="AJ95" s="1119" t="n"/>
      <c r="AK95" s="1119" t="n"/>
      <c r="AL95" s="1119" t="n"/>
      <c r="AM95" s="1119" t="n"/>
      <c r="AN95" s="1119" t="n"/>
      <c r="AO95" s="1119" t="n"/>
      <c r="AP95" s="1119" t="n"/>
      <c r="AQ95" s="527" t="n"/>
      <c r="AR95" s="527" t="n"/>
      <c r="AS95" s="527" t="n"/>
      <c r="AT95" s="527" t="n"/>
      <c r="AU95" s="527" t="n"/>
      <c r="AV95" s="527" t="n"/>
      <c r="AW95" s="527" t="n"/>
      <c r="AX95" s="527" t="n"/>
      <c r="AY95" s="527" t="n"/>
      <c r="AZ95" s="527" t="n"/>
      <c r="BA95" s="527" t="n"/>
      <c r="BB95" s="527" t="n"/>
      <c r="BC95" s="527" t="n"/>
      <c r="BD95" s="527" t="n"/>
      <c r="BE95" s="527" t="n"/>
      <c r="BF95" s="410" t="inlineStr">
        <is>
          <t>LF1</t>
        </is>
      </c>
      <c r="BG95" s="1112" t="n">
        <v>-10</v>
      </c>
      <c r="BH95" s="377" t="n">
        <v>-23</v>
      </c>
      <c r="BI95" s="527" t="n"/>
      <c r="BJ95" s="378" t="inlineStr">
        <is>
          <t>1/X size</t>
        </is>
      </c>
      <c r="BK95" s="1112" t="inlineStr">
        <is>
          <t>0.131</t>
        </is>
      </c>
      <c r="BL95" s="407" t="n">
        <v>3.33</v>
      </c>
      <c r="BM95" s="1112" t="n">
        <v>35</v>
      </c>
      <c r="BN95" s="1112" t="n">
        <v>20</v>
      </c>
      <c r="BO95" s="527" t="n"/>
      <c r="BP95" s="527" t="n"/>
      <c r="BQ95" s="527" t="n"/>
      <c r="BR95" s="527" t="n"/>
    </row>
    <row r="96">
      <c r="R96" s="1214" t="n"/>
      <c r="S96" s="451" t="inlineStr">
        <is>
          <t>F304L</t>
        </is>
      </c>
      <c r="T96" s="1100" t="n">
        <v>25</v>
      </c>
      <c r="U96" s="1100" t="n">
        <v>170</v>
      </c>
      <c r="V96" s="1100" t="n">
        <v>70</v>
      </c>
      <c r="W96" s="1100" t="n">
        <v>485</v>
      </c>
      <c r="X96" s="1100" t="n">
        <v>30</v>
      </c>
      <c r="Y96" s="1100" t="n">
        <v>50</v>
      </c>
      <c r="Z96" s="457" t="n"/>
      <c r="AC96" s="368" t="n"/>
      <c r="AD96" s="1100" t="inlineStr">
        <is>
          <t>0,25-0,35</t>
        </is>
      </c>
      <c r="AE96" s="452" t="n"/>
      <c r="AF96" s="1100" t="n">
        <v>0.03</v>
      </c>
      <c r="AG96" s="452" t="n"/>
      <c r="AH96" s="1119" t="n"/>
      <c r="AI96" s="1119" t="n"/>
      <c r="AJ96" s="1119" t="n"/>
      <c r="AK96" s="1119" t="n"/>
      <c r="AL96" s="1119" t="n"/>
      <c r="AM96" s="1119" t="n"/>
      <c r="AN96" s="1119" t="n"/>
      <c r="AO96" s="1119" t="n"/>
      <c r="AP96" s="1119" t="n"/>
      <c r="AQ96" s="527" t="n"/>
      <c r="AR96" s="527" t="n"/>
      <c r="AS96" s="527" t="n"/>
      <c r="AT96" s="527" t="n"/>
      <c r="AU96" s="527" t="n"/>
      <c r="AV96" s="527" t="n"/>
      <c r="AW96" s="527" t="n"/>
      <c r="AX96" s="527" t="n"/>
      <c r="AY96" s="527" t="n"/>
      <c r="AZ96" s="527" t="n"/>
      <c r="BA96" s="527" t="n"/>
      <c r="BB96" s="527" t="n"/>
      <c r="BC96" s="527" t="n"/>
      <c r="BD96" s="527" t="n"/>
      <c r="BE96" s="527" t="n"/>
      <c r="BF96" s="410" t="inlineStr">
        <is>
          <t>LF2 Class 1</t>
        </is>
      </c>
      <c r="BG96" s="1112" t="n">
        <v>-35</v>
      </c>
      <c r="BH96" s="377" t="n">
        <v>-37</v>
      </c>
      <c r="BI96" s="527" t="n"/>
      <c r="BJ96" s="378" t="inlineStr">
        <is>
          <t>1/X size</t>
        </is>
      </c>
      <c r="BK96" s="1112" t="inlineStr">
        <is>
          <t>0.118</t>
        </is>
      </c>
      <c r="BL96" s="377" t="n">
        <v>3</v>
      </c>
      <c r="BM96" s="1112" t="n">
        <v>40</v>
      </c>
      <c r="BN96" s="1112" t="n">
        <v>22</v>
      </c>
      <c r="BO96" s="527" t="n"/>
      <c r="BP96" s="527" t="n"/>
      <c r="BQ96" s="527" t="n"/>
      <c r="BR96" s="527" t="n"/>
    </row>
    <row r="97">
      <c r="R97" s="1214" t="n"/>
      <c r="S97" s="451" t="inlineStr">
        <is>
          <t>F304N</t>
        </is>
      </c>
      <c r="T97" s="1100" t="n">
        <v>35</v>
      </c>
      <c r="U97" s="1100" t="n">
        <v>240</v>
      </c>
      <c r="V97" s="1100" t="n">
        <v>80</v>
      </c>
      <c r="W97" s="1100" t="n">
        <v>550</v>
      </c>
      <c r="X97" s="1100" t="n">
        <v>30</v>
      </c>
      <c r="Y97" s="1100" t="n">
        <v>50</v>
      </c>
      <c r="Z97" s="457" t="n"/>
      <c r="AC97" s="368" t="n"/>
      <c r="AD97" s="1100" t="inlineStr">
        <is>
          <t>0,35-0,45</t>
        </is>
      </c>
      <c r="AE97" s="452" t="n"/>
      <c r="AF97" s="1100" t="n">
        <v>0.04</v>
      </c>
      <c r="AG97" s="452" t="n"/>
      <c r="AH97" s="1119" t="n"/>
      <c r="AI97" s="1119" t="n"/>
      <c r="AJ97" s="1119" t="n"/>
      <c r="AK97" s="1119" t="n"/>
      <c r="AL97" s="1119" t="n"/>
      <c r="AM97" s="1119" t="n"/>
      <c r="AN97" s="1119" t="n"/>
      <c r="AO97" s="1119" t="n"/>
      <c r="AP97" s="1119" t="n"/>
      <c r="AQ97" s="527" t="n"/>
      <c r="AR97" s="527" t="n"/>
      <c r="AS97" s="527" t="n"/>
      <c r="AT97" s="527" t="n"/>
      <c r="AU97" s="527" t="n"/>
      <c r="AV97" s="527" t="n"/>
      <c r="AW97" s="527" t="n"/>
      <c r="AX97" s="527" t="n"/>
      <c r="AY97" s="527" t="n"/>
      <c r="AZ97" s="527" t="n"/>
      <c r="BA97" s="527" t="n"/>
      <c r="BB97" s="527" t="n"/>
      <c r="BC97" s="527" t="n"/>
      <c r="BD97" s="527" t="n"/>
      <c r="BE97" s="527" t="n"/>
      <c r="BF97" s="410" t="inlineStr">
        <is>
          <t>LF3</t>
        </is>
      </c>
      <c r="BG97" s="1112" t="n">
        <v>-125</v>
      </c>
      <c r="BH97" s="377" t="n">
        <v>-87</v>
      </c>
      <c r="BI97" s="527" t="n"/>
      <c r="BJ97" s="408" t="inlineStr">
        <is>
          <t>1/% size</t>
        </is>
      </c>
      <c r="BK97" s="401" t="inlineStr">
        <is>
          <t>0.099</t>
        </is>
      </c>
      <c r="BL97" s="402" t="n">
        <v>2.5</v>
      </c>
      <c r="BM97" s="1112" t="n">
        <v>50</v>
      </c>
      <c r="BN97" s="1112" t="n">
        <v>28</v>
      </c>
      <c r="BO97" s="527" t="n"/>
      <c r="BP97" s="527" t="n"/>
      <c r="BQ97" s="527" t="n"/>
      <c r="BR97" s="527" t="n"/>
    </row>
    <row r="98" ht="15" customHeight="1" s="510">
      <c r="R98" s="1214" t="n"/>
      <c r="S98" s="451" t="inlineStr">
        <is>
          <t>F304LN</t>
        </is>
      </c>
      <c r="T98" s="1100" t="n">
        <v>30</v>
      </c>
      <c r="U98" s="1100" t="n">
        <v>205</v>
      </c>
      <c r="V98" s="1100" t="n">
        <v>75</v>
      </c>
      <c r="W98" s="1100" t="n">
        <v>515</v>
      </c>
      <c r="X98" s="1100" t="n">
        <v>30</v>
      </c>
      <c r="Y98" s="1100" t="n">
        <v>50</v>
      </c>
      <c r="Z98" s="457" t="n"/>
      <c r="AC98" s="368" t="n"/>
      <c r="AD98" s="1100" t="inlineStr">
        <is>
          <t>0,45-0,60</t>
        </is>
      </c>
      <c r="AE98" s="452" t="n"/>
      <c r="AF98" s="1100" t="n">
        <v>0.05</v>
      </c>
      <c r="AG98" s="452" t="n"/>
      <c r="AH98" s="1119" t="n"/>
      <c r="AI98" s="1119" t="n"/>
      <c r="AJ98" s="1119" t="n"/>
      <c r="AK98" s="1119" t="n"/>
      <c r="AL98" s="1119" t="n"/>
      <c r="AM98" s="1119" t="n"/>
      <c r="AN98" s="1119" t="n"/>
      <c r="AO98" s="1119" t="n"/>
      <c r="AP98" s="1119" t="n"/>
      <c r="AQ98" s="527" t="n"/>
      <c r="AR98" s="527" t="n"/>
      <c r="AS98" s="527" t="n"/>
      <c r="AT98" s="527" t="n"/>
      <c r="AU98" s="527" t="n"/>
      <c r="AV98" s="527" t="n"/>
      <c r="AW98" s="527" t="n"/>
      <c r="AX98" s="527" t="n"/>
      <c r="AY98" s="527" t="n"/>
      <c r="AZ98" s="527" t="n"/>
      <c r="BA98" s="527" t="n"/>
      <c r="BB98" s="527" t="n"/>
      <c r="BC98" s="527" t="n"/>
      <c r="BD98" s="527" t="n"/>
      <c r="BE98" s="527" t="n"/>
      <c r="BF98" s="410" t="inlineStr">
        <is>
          <t>LF5, Classes 1 and 2</t>
        </is>
      </c>
      <c r="BG98" s="1112" t="n">
        <v>-60</v>
      </c>
      <c r="BH98" s="377" t="n">
        <v>-51</v>
      </c>
      <c r="BI98" s="527" t="n"/>
      <c r="BJ98" s="527" t="inlineStr">
        <is>
          <t>Table 9</t>
        </is>
      </c>
      <c r="BK98" s="527" t="n"/>
      <c r="BL98" s="527" t="n"/>
      <c r="BM98" s="527" t="n"/>
      <c r="BN98" s="527" t="n"/>
      <c r="BO98" s="527" t="n"/>
      <c r="BP98" s="527" t="n"/>
      <c r="BQ98" s="527" t="n"/>
      <c r="BR98" s="527" t="n"/>
    </row>
    <row r="99" ht="41.25" customHeight="1" s="510">
      <c r="R99" s="1214" t="n"/>
      <c r="S99" s="451" t="inlineStr">
        <is>
          <t>F309H</t>
        </is>
      </c>
      <c r="T99" s="1100" t="n">
        <v>30</v>
      </c>
      <c r="U99" s="1100" t="n">
        <v>205</v>
      </c>
      <c r="V99" s="1100" t="n">
        <v>75</v>
      </c>
      <c r="W99" s="1100" t="n">
        <v>515</v>
      </c>
      <c r="X99" s="1100" t="n">
        <v>30</v>
      </c>
      <c r="Y99" s="1100" t="n">
        <v>50</v>
      </c>
      <c r="Z99" s="457" t="n"/>
      <c r="AC99" s="368" t="inlineStr">
        <is>
          <t>Colimbium</t>
        </is>
      </c>
      <c r="AD99" s="1100" t="inlineStr">
        <is>
          <t>0,05-0,2</t>
        </is>
      </c>
      <c r="AE99" s="452" t="n"/>
      <c r="AF99" s="1100" t="n">
        <v>0.01</v>
      </c>
      <c r="AG99" s="452" t="n"/>
      <c r="AH99" s="1119" t="n"/>
      <c r="AI99" s="1119" t="n"/>
      <c r="AJ99" s="1119" t="n"/>
      <c r="AK99" s="1119" t="n"/>
      <c r="AL99" s="1119" t="n"/>
      <c r="AM99" s="1119" t="n"/>
      <c r="AN99" s="1119" t="n"/>
      <c r="AO99" s="1119" t="n"/>
      <c r="AP99" s="1119" t="n"/>
      <c r="AQ99" s="527" t="n"/>
      <c r="AR99" s="527" t="n"/>
      <c r="AS99" s="527" t="n"/>
      <c r="AT99" s="527" t="n"/>
      <c r="AU99" s="527" t="n"/>
      <c r="AV99" s="527" t="n"/>
      <c r="AW99" s="527" t="n"/>
      <c r="AX99" s="527" t="n"/>
      <c r="AY99" s="527" t="n"/>
      <c r="AZ99" s="527" t="n"/>
      <c r="BA99" s="527" t="n"/>
      <c r="BB99" s="527" t="n"/>
      <c r="BC99" s="527" t="n"/>
      <c r="BD99" s="527" t="n"/>
      <c r="BE99" s="527" t="n"/>
      <c r="BF99" s="410" t="inlineStr">
        <is>
          <t>LF6, Classes 1 and 2</t>
        </is>
      </c>
      <c r="BG99" s="1112" t="n">
        <v>-40</v>
      </c>
      <c r="BH99" s="377" t="n">
        <v>-40</v>
      </c>
      <c r="BI99" s="527" t="n"/>
      <c r="BJ99" s="413" t="inlineStr">
        <is>
          <t>Grade</t>
        </is>
      </c>
      <c r="BK99" s="414" t="inlineStr">
        <is>
          <t>Max Thickness Less Than or Equal to 2 in</t>
        </is>
      </c>
      <c r="BL99" s="414" t="inlineStr">
        <is>
          <t>Max Thickness Greater Than 2 in</t>
        </is>
      </c>
      <c r="BM99" s="527" t="n"/>
      <c r="BN99" s="527" t="n"/>
      <c r="BO99" s="527" t="n"/>
      <c r="BP99" s="527" t="n"/>
      <c r="BQ99" s="527" t="n"/>
      <c r="BR99" s="527" t="n"/>
    </row>
    <row r="100">
      <c r="R100" s="1214" t="n"/>
      <c r="S100" s="451" t="inlineStr">
        <is>
          <t>F310</t>
        </is>
      </c>
      <c r="T100" s="1100" t="n">
        <v>37</v>
      </c>
      <c r="U100" s="1100" t="n">
        <v>255</v>
      </c>
      <c r="V100" s="1100" t="n">
        <v>75</v>
      </c>
      <c r="W100" s="1100" t="n">
        <v>515</v>
      </c>
      <c r="X100" s="1100" t="n">
        <v>30</v>
      </c>
      <c r="Y100" s="1100" t="n">
        <v>50</v>
      </c>
      <c r="Z100" s="457" t="n"/>
      <c r="AC100" s="368" t="inlineStr">
        <is>
          <t>Aluminum</t>
        </is>
      </c>
      <c r="AD100" s="1100" t="n">
        <v>0.05</v>
      </c>
      <c r="AE100" s="452" t="n"/>
      <c r="AF100" s="1100" t="n">
        <v>0.01</v>
      </c>
      <c r="AG100" s="452" t="n"/>
      <c r="AH100" s="1119" t="n"/>
      <c r="AI100" s="1119" t="n"/>
      <c r="AJ100" s="1119" t="n"/>
      <c r="AK100" s="1119" t="n"/>
      <c r="AL100" s="1119" t="n"/>
      <c r="AM100" s="1119" t="n"/>
      <c r="AN100" s="1119" t="n"/>
      <c r="AO100" s="1119" t="n"/>
      <c r="AP100" s="1119" t="n"/>
      <c r="AQ100" s="527" t="n"/>
      <c r="AR100" s="527" t="n"/>
      <c r="AS100" s="527" t="n"/>
      <c r="AT100" s="527" t="n"/>
      <c r="AU100" s="527" t="n"/>
      <c r="AV100" s="527" t="n"/>
      <c r="AW100" s="527" t="n"/>
      <c r="AX100" s="527" t="n"/>
      <c r="AY100" s="527" t="n"/>
      <c r="AZ100" s="527" t="n"/>
      <c r="BA100" s="527" t="n"/>
      <c r="BB100" s="527" t="n"/>
      <c r="BC100" s="527" t="n"/>
      <c r="BD100" s="527" t="n"/>
      <c r="BE100" s="527" t="n"/>
      <c r="BF100" s="410" t="inlineStr">
        <is>
          <t>LF9</t>
        </is>
      </c>
      <c r="BG100" s="1112" t="n">
        <v>-80</v>
      </c>
      <c r="BH100" s="377" t="n">
        <v>-62</v>
      </c>
      <c r="BI100" s="527" t="n"/>
      <c r="BJ100" s="400" t="n"/>
      <c r="BK100" s="411" t="n"/>
      <c r="BL100" s="411" t="n"/>
      <c r="BM100" s="527" t="n"/>
      <c r="BN100" s="527" t="n"/>
      <c r="BO100" s="527" t="n"/>
      <c r="BP100" s="527" t="n"/>
      <c r="BQ100" s="527" t="n"/>
      <c r="BR100" s="527" t="n"/>
    </row>
    <row r="101">
      <c r="R101" s="1214" t="n"/>
      <c r="S101" s="451" t="inlineStr">
        <is>
          <t>F310MoLn</t>
        </is>
      </c>
      <c r="T101" s="1100" t="n">
        <v>30</v>
      </c>
      <c r="U101" s="1100" t="n">
        <v>205</v>
      </c>
      <c r="V101" s="1100" t="n">
        <v>78</v>
      </c>
      <c r="W101" s="1100" t="n">
        <v>540</v>
      </c>
      <c r="X101" s="1100" t="n">
        <v>25</v>
      </c>
      <c r="Y101" s="1100" t="n">
        <v>40</v>
      </c>
      <c r="Z101" s="457" t="n"/>
      <c r="AC101" s="368" t="inlineStr">
        <is>
          <t>Vanadium</t>
        </is>
      </c>
      <c r="AD101" s="1100" t="n">
        <v>0.1</v>
      </c>
      <c r="AE101" s="452" t="n"/>
      <c r="AF101" s="1100" t="n">
        <v>0.01</v>
      </c>
      <c r="AG101" s="452" t="n"/>
      <c r="AH101" s="1119" t="n"/>
      <c r="AI101" s="1119" t="n"/>
      <c r="AJ101" s="1119" t="n"/>
      <c r="AK101" s="1119" t="n"/>
      <c r="AL101" s="1119" t="n"/>
      <c r="AM101" s="1119" t="n"/>
      <c r="AN101" s="1119" t="n"/>
      <c r="AO101" s="1119" t="n"/>
      <c r="AP101" s="1119" t="n"/>
      <c r="AQ101" s="527" t="n"/>
      <c r="AR101" s="527" t="n"/>
      <c r="AS101" s="527" t="n"/>
      <c r="AT101" s="527" t="n"/>
      <c r="AU101" s="527" t="n"/>
      <c r="AV101" s="527" t="n"/>
      <c r="AW101" s="527" t="n"/>
      <c r="AX101" s="527" t="n"/>
      <c r="AY101" s="527" t="n"/>
      <c r="AZ101" s="527" t="n"/>
      <c r="BA101" s="527" t="n"/>
      <c r="BB101" s="527" t="n"/>
      <c r="BC101" s="527" t="n"/>
      <c r="BD101" s="527" t="n"/>
      <c r="BE101" s="527" t="n"/>
      <c r="BF101" s="410" t="inlineStr">
        <is>
          <t>LF787 Class 2</t>
        </is>
      </c>
      <c r="BG101" s="1112" t="n">
        <v>-60</v>
      </c>
      <c r="BH101" s="377" t="n">
        <v>-51</v>
      </c>
      <c r="BI101" s="527" t="n"/>
      <c r="BJ101" s="410" t="inlineStr">
        <is>
          <t>LF1</t>
        </is>
      </c>
      <c r="BK101" s="377" t="n">
        <v>0.45</v>
      </c>
      <c r="BL101" s="377" t="n">
        <v>0.46</v>
      </c>
      <c r="BM101" s="527" t="n"/>
      <c r="BN101" s="527" t="n"/>
      <c r="BO101" s="527" t="n"/>
      <c r="BP101" s="527" t="n"/>
      <c r="BQ101" s="527" t="n"/>
      <c r="BR101" s="527" t="n"/>
    </row>
    <row r="102">
      <c r="R102" s="1214" t="n"/>
      <c r="S102" s="451" t="inlineStr">
        <is>
          <t>F310H</t>
        </is>
      </c>
      <c r="T102" s="1100" t="n">
        <v>30</v>
      </c>
      <c r="U102" s="1100" t="n">
        <v>205</v>
      </c>
      <c r="V102" s="1100" t="n">
        <v>75</v>
      </c>
      <c r="W102" s="1100" t="n">
        <v>515</v>
      </c>
      <c r="X102" s="1100" t="n">
        <v>30</v>
      </c>
      <c r="Y102" s="1100" t="n">
        <v>50</v>
      </c>
      <c r="Z102" s="457" t="n"/>
      <c r="AC102" s="368" t="n"/>
      <c r="AD102" s="1100" t="inlineStr">
        <is>
          <t>0,1-0,25</t>
        </is>
      </c>
      <c r="AE102" s="452" t="n"/>
      <c r="AF102" s="1100" t="n">
        <v>0.02</v>
      </c>
      <c r="AG102" s="452" t="n"/>
      <c r="AH102" s="1119" t="n"/>
      <c r="AI102" s="1119" t="n"/>
      <c r="AJ102" s="1119" t="n"/>
      <c r="AK102" s="1119" t="n"/>
      <c r="AL102" s="1119" t="n"/>
      <c r="AM102" s="1119" t="n"/>
      <c r="AN102" s="1119" t="n"/>
      <c r="AO102" s="1119" t="n"/>
      <c r="AP102" s="1119" t="n"/>
      <c r="AQ102" s="527" t="n"/>
      <c r="AR102" s="527" t="n"/>
      <c r="AS102" s="527" t="n"/>
      <c r="AT102" s="527" t="n"/>
      <c r="AU102" s="527" t="n"/>
      <c r="AV102" s="527" t="n"/>
      <c r="AW102" s="527" t="n"/>
      <c r="AX102" s="527" t="n"/>
      <c r="AY102" s="527" t="n"/>
      <c r="AZ102" s="527" t="n"/>
      <c r="BA102" s="527" t="n"/>
      <c r="BB102" s="527" t="n"/>
      <c r="BC102" s="527" t="n"/>
      <c r="BD102" s="527" t="n"/>
      <c r="BE102" s="527" t="n"/>
      <c r="BF102" s="412" t="inlineStr">
        <is>
          <t>LF787 Class 3</t>
        </is>
      </c>
      <c r="BG102" s="401" t="n">
        <v>-80</v>
      </c>
      <c r="BH102" s="402" t="n">
        <v>-62</v>
      </c>
      <c r="BI102" s="527" t="n"/>
      <c r="BJ102" s="410" t="inlineStr">
        <is>
          <t>LF2</t>
        </is>
      </c>
      <c r="BK102" s="377" t="n">
        <v>0.47</v>
      </c>
      <c r="BL102" s="377" t="n">
        <v>0.48</v>
      </c>
      <c r="BM102" s="527" t="n"/>
      <c r="BN102" s="527" t="n"/>
      <c r="BO102" s="527" t="n"/>
      <c r="BP102" s="527" t="n"/>
      <c r="BQ102" s="527" t="n"/>
      <c r="BR102" s="527" t="n"/>
    </row>
    <row r="103">
      <c r="R103" s="1214" t="n"/>
      <c r="S103" s="451" t="inlineStr">
        <is>
          <t>F316</t>
        </is>
      </c>
      <c r="T103" s="1100" t="n">
        <v>30</v>
      </c>
      <c r="U103" s="1100" t="n">
        <v>205</v>
      </c>
      <c r="V103" s="1100" t="n">
        <v>75</v>
      </c>
      <c r="W103" s="1100" t="n">
        <v>515</v>
      </c>
      <c r="X103" s="1100" t="n">
        <v>30</v>
      </c>
      <c r="Y103" s="1100" t="n">
        <v>50</v>
      </c>
      <c r="Z103" s="457" t="n"/>
      <c r="AC103" s="368" t="inlineStr">
        <is>
          <t>Cerium</t>
        </is>
      </c>
      <c r="AD103" s="1100" t="inlineStr">
        <is>
          <t>0,03-0,08</t>
        </is>
      </c>
      <c r="AE103" s="452" t="n"/>
      <c r="AF103" s="1100" t="n">
        <v>-0.005</v>
      </c>
      <c r="AG103" s="452" t="n"/>
      <c r="AH103" s="1119" t="n"/>
      <c r="AI103" s="1119" t="n"/>
      <c r="AJ103" s="1119" t="n"/>
      <c r="AK103" s="1119" t="n"/>
      <c r="AL103" s="1119" t="n"/>
      <c r="AM103" s="1119" t="n"/>
      <c r="AN103" s="1119" t="n"/>
      <c r="AO103" s="1119" t="n"/>
      <c r="AP103" s="1119" t="n"/>
      <c r="AQ103" s="527" t="n"/>
      <c r="AR103" s="527" t="n"/>
      <c r="AS103" s="527" t="n"/>
      <c r="AT103" s="527" t="n"/>
      <c r="AU103" s="527" t="n"/>
      <c r="AV103" s="527" t="n"/>
      <c r="AW103" s="527" t="n"/>
      <c r="AX103" s="527" t="n"/>
      <c r="AY103" s="527" t="n"/>
      <c r="AZ103" s="527" t="n"/>
      <c r="BA103" s="527" t="n"/>
      <c r="BB103" s="527" t="n"/>
      <c r="BC103" s="527" t="n"/>
      <c r="BD103" s="527" t="n"/>
      <c r="BE103" s="527" t="n"/>
      <c r="BF103" s="527" t="n"/>
      <c r="BG103" s="527" t="n"/>
      <c r="BI103" s="527" t="n"/>
      <c r="BJ103" s="410" t="inlineStr">
        <is>
          <t>LF6 CL1</t>
        </is>
      </c>
      <c r="BK103" s="377" t="n">
        <v>0.45</v>
      </c>
      <c r="BL103" s="377" t="n">
        <v>0.46</v>
      </c>
      <c r="BM103" s="527" t="n"/>
      <c r="BN103" s="527" t="n"/>
      <c r="BO103" s="527" t="n"/>
      <c r="BP103" s="527" t="n"/>
      <c r="BQ103" s="527" t="n"/>
      <c r="BR103" s="527" t="n"/>
    </row>
    <row r="104">
      <c r="R104" s="1214" t="n"/>
      <c r="S104" s="451" t="inlineStr">
        <is>
          <t>F316H</t>
        </is>
      </c>
      <c r="T104" s="1100" t="n">
        <v>25</v>
      </c>
      <c r="U104" s="1100" t="n">
        <v>170</v>
      </c>
      <c r="V104" s="1100" t="n">
        <v>75</v>
      </c>
      <c r="W104" s="1100" t="n">
        <v>515</v>
      </c>
      <c r="X104" s="1100" t="n">
        <v>30</v>
      </c>
      <c r="Y104" s="1100" t="n">
        <v>50</v>
      </c>
      <c r="Z104" s="457" t="n"/>
      <c r="AC104" s="368" t="n"/>
      <c r="AD104" s="1100" t="n"/>
      <c r="AE104" s="452" t="n"/>
      <c r="AF104" s="1100" t="n">
        <v>0.01</v>
      </c>
      <c r="AG104" s="452" t="n"/>
      <c r="AH104" s="1119" t="n"/>
      <c r="AI104" s="1119" t="n"/>
      <c r="AJ104" s="1119" t="n"/>
      <c r="AK104" s="1119" t="n"/>
      <c r="AL104" s="1119" t="n"/>
      <c r="AM104" s="1119" t="n"/>
      <c r="AN104" s="1119" t="n"/>
      <c r="AO104" s="1119" t="n"/>
      <c r="AP104" s="1119" t="n"/>
      <c r="AQ104" s="527" t="n"/>
      <c r="AR104" s="527" t="n"/>
      <c r="AS104" s="527" t="n"/>
      <c r="AT104" s="527" t="n"/>
      <c r="AU104" s="527" t="n"/>
      <c r="AV104" s="527" t="n"/>
      <c r="AW104" s="527" t="n"/>
      <c r="AX104" s="527" t="n"/>
      <c r="AY104" s="527" t="n"/>
      <c r="AZ104" s="527" t="n"/>
      <c r="BA104" s="527" t="n"/>
      <c r="BB104" s="527" t="n"/>
      <c r="BC104" s="527" t="n"/>
      <c r="BD104" s="527" t="n"/>
      <c r="BE104" s="527" t="n"/>
      <c r="BF104" s="527" t="n"/>
      <c r="BG104" s="527" t="n"/>
      <c r="BH104" s="527" t="n"/>
      <c r="BI104" s="527" t="n"/>
      <c r="BJ104" s="412" t="inlineStr">
        <is>
          <t>LF6 CL2</t>
        </is>
      </c>
      <c r="BK104" s="402" t="n">
        <v>0.47</v>
      </c>
      <c r="BL104" s="402" t="n">
        <v>0.48</v>
      </c>
      <c r="BM104" s="527" t="n"/>
      <c r="BN104" s="527" t="n"/>
      <c r="BO104" s="527" t="n"/>
      <c r="BP104" s="527" t="n"/>
      <c r="BQ104" s="527" t="n"/>
      <c r="BR104" s="527" t="n"/>
    </row>
    <row r="105">
      <c r="R105" s="1214" t="n"/>
      <c r="S105" s="451" t="inlineStr">
        <is>
          <t>F316L</t>
        </is>
      </c>
      <c r="T105" s="1100" t="n">
        <v>35</v>
      </c>
      <c r="U105" s="1100" t="n">
        <v>240</v>
      </c>
      <c r="V105" s="1100" t="n">
        <v>70</v>
      </c>
      <c r="W105" s="1100" t="n">
        <v>485</v>
      </c>
      <c r="X105" s="1100" t="n">
        <v>30</v>
      </c>
      <c r="Y105" s="1100" t="n">
        <v>50</v>
      </c>
      <c r="Z105" s="457" t="n"/>
      <c r="AC105" s="368" t="inlineStr">
        <is>
          <t>Tungsten</t>
        </is>
      </c>
      <c r="AD105" s="1100" t="n">
        <v>1</v>
      </c>
      <c r="AE105" s="452" t="n"/>
      <c r="AF105" s="1100" t="n">
        <v>0.04</v>
      </c>
      <c r="AG105" s="452" t="n"/>
      <c r="AH105" s="1119" t="n"/>
      <c r="AI105" s="1119" t="n"/>
      <c r="AJ105" s="1119" t="n"/>
      <c r="AK105" s="1119" t="n"/>
      <c r="AL105" s="1119" t="n"/>
      <c r="AM105" s="1119" t="n"/>
      <c r="AN105" s="1119" t="n"/>
      <c r="AO105" s="1119" t="n"/>
      <c r="AP105" s="1119" t="n"/>
      <c r="AQ105" s="527" t="n"/>
      <c r="AR105" s="527" t="n"/>
      <c r="AS105" s="527" t="n"/>
      <c r="AT105" s="527" t="n"/>
      <c r="AU105" s="527" t="n"/>
      <c r="AV105" s="527" t="n"/>
      <c r="AW105" s="527" t="n"/>
      <c r="AX105" s="527" t="n"/>
      <c r="AY105" s="527" t="n"/>
      <c r="AZ105" s="527" t="n"/>
      <c r="BA105" s="527" t="n"/>
      <c r="BB105" s="527" t="n"/>
      <c r="BC105" s="527" t="n"/>
      <c r="BD105" s="527" t="n"/>
      <c r="BE105" s="527" t="n"/>
      <c r="BF105" s="527" t="n"/>
      <c r="BG105" s="527" t="n"/>
      <c r="BH105" s="527" t="n"/>
      <c r="BI105" s="527" t="n"/>
      <c r="BJ105" s="527" t="n"/>
      <c r="BK105" s="527" t="n"/>
      <c r="BL105" s="527" t="n"/>
      <c r="BM105" s="527" t="n"/>
      <c r="BN105" s="527" t="n"/>
      <c r="BO105" s="527" t="n"/>
      <c r="BP105" s="527" t="n"/>
      <c r="BQ105" s="527" t="n"/>
      <c r="BR105" s="527" t="n"/>
    </row>
    <row r="106">
      <c r="R106" s="1214" t="n"/>
      <c r="S106" s="451" t="inlineStr">
        <is>
          <t>F316N</t>
        </is>
      </c>
      <c r="T106" s="1100" t="n">
        <v>30</v>
      </c>
      <c r="U106" s="1100" t="n">
        <v>205</v>
      </c>
      <c r="V106" s="1100" t="n">
        <v>80</v>
      </c>
      <c r="W106" s="1100" t="n">
        <v>550</v>
      </c>
      <c r="X106" s="1100" t="n">
        <v>30</v>
      </c>
      <c r="Y106" s="1100" t="n">
        <v>50</v>
      </c>
      <c r="Z106" s="457" t="n"/>
      <c r="AC106" s="368" t="inlineStr">
        <is>
          <t>Copper</t>
        </is>
      </c>
      <c r="AD106" s="1100" t="n">
        <v>1</v>
      </c>
      <c r="AE106" s="452" t="n"/>
      <c r="AF106" s="1100" t="n">
        <v>0.03</v>
      </c>
      <c r="AG106" s="452" t="n"/>
      <c r="AH106" s="1119" t="n"/>
      <c r="AI106" s="1119" t="n"/>
      <c r="AJ106" s="1119" t="n"/>
      <c r="AK106" s="1119" t="n"/>
      <c r="AL106" s="1119" t="n"/>
      <c r="AM106" s="1119" t="n"/>
      <c r="AN106" s="1119" t="n"/>
      <c r="AO106" s="1119" t="n"/>
      <c r="AP106" s="1119" t="n"/>
      <c r="AQ106" s="1119" t="n"/>
      <c r="AR106" s="1119" t="n"/>
      <c r="AS106" s="1119" t="n"/>
      <c r="AT106" s="1119" t="n"/>
      <c r="AU106" s="1119" t="n"/>
      <c r="AV106" s="1119" t="n"/>
      <c r="AW106" s="1119" t="n"/>
      <c r="AX106" s="1119" t="n"/>
      <c r="AY106" s="1119" t="n"/>
      <c r="AZ106" s="1119" t="n"/>
      <c r="BA106" s="1119" t="n"/>
      <c r="BB106" s="1119" t="n"/>
      <c r="BC106" s="1119" t="n"/>
      <c r="BD106" s="1119" t="n"/>
      <c r="BE106" s="1119" t="n"/>
      <c r="BF106" s="1119" t="n"/>
      <c r="BG106" s="1119" t="n"/>
      <c r="BH106" s="1119" t="n"/>
      <c r="BI106" s="1119" t="n"/>
      <c r="BJ106" s="1119" t="n"/>
      <c r="BK106" s="1119" t="n"/>
      <c r="BL106" s="1119" t="n"/>
      <c r="BM106" s="1119" t="n"/>
      <c r="BN106" s="1119" t="n"/>
      <c r="BO106" s="1119" t="n"/>
      <c r="BP106" s="1119" t="n"/>
      <c r="BQ106" s="1119" t="n"/>
      <c r="BR106" s="1119" t="n"/>
      <c r="BS106" s="1119" t="n"/>
    </row>
    <row r="107">
      <c r="R107" s="1214" t="n"/>
      <c r="S107" s="451" t="inlineStr">
        <is>
          <t>F316LN</t>
        </is>
      </c>
      <c r="T107" s="1100" t="n">
        <v>30</v>
      </c>
      <c r="U107" s="1100" t="n">
        <v>205</v>
      </c>
      <c r="V107" s="1100" t="n">
        <v>75</v>
      </c>
      <c r="W107" s="1100" t="n">
        <v>515</v>
      </c>
      <c r="X107" s="1100" t="n">
        <v>30</v>
      </c>
      <c r="Y107" s="1100" t="n">
        <v>50</v>
      </c>
      <c r="Z107" s="457" t="n"/>
      <c r="AH107" s="1119" t="n"/>
      <c r="AI107" s="1119" t="n"/>
      <c r="AJ107" s="1119" t="n"/>
      <c r="AK107" s="1119" t="n"/>
      <c r="AL107" s="1119" t="n"/>
      <c r="AM107" s="1119" t="n"/>
      <c r="AN107" s="1119" t="n"/>
      <c r="AO107" s="1119" t="n"/>
      <c r="AP107" s="1119" t="n"/>
      <c r="AQ107" s="1119" t="n"/>
      <c r="AR107" s="1119" t="n"/>
      <c r="AS107" s="1119" t="n"/>
      <c r="AT107" s="1119" t="n"/>
      <c r="AU107" s="1119" t="n"/>
      <c r="AV107" s="1119" t="n"/>
      <c r="AW107" s="1119" t="n"/>
      <c r="AX107" s="1119" t="n"/>
      <c r="AY107" s="1119" t="n"/>
      <c r="AZ107" s="1119" t="n"/>
      <c r="BA107" s="1119" t="n"/>
      <c r="BB107" s="1119" t="n"/>
      <c r="BC107" s="1119" t="n"/>
      <c r="BD107" s="1119" t="n"/>
      <c r="BE107" s="1119" t="n"/>
      <c r="BF107" s="1119" t="n"/>
      <c r="BG107" s="1119" t="n"/>
      <c r="BH107" s="1119" t="n"/>
      <c r="BI107" s="1119" t="n"/>
      <c r="BJ107" s="1119" t="n"/>
      <c r="BK107" s="1119" t="n"/>
      <c r="BL107" s="1119" t="n"/>
      <c r="BM107" s="1119" t="n"/>
      <c r="BN107" s="1119" t="n"/>
      <c r="BO107" s="1119" t="n"/>
      <c r="BP107" s="1119" t="n"/>
      <c r="BQ107" s="1119" t="n"/>
      <c r="BR107" s="1119" t="n"/>
      <c r="BS107" s="1119" t="n"/>
    </row>
    <row r="108">
      <c r="R108" s="1214" t="n"/>
      <c r="S108" s="451" t="inlineStr">
        <is>
          <t>F317</t>
        </is>
      </c>
      <c r="T108" s="1100" t="n">
        <v>25</v>
      </c>
      <c r="U108" s="1100" t="n">
        <v>170</v>
      </c>
      <c r="V108" s="1100" t="n">
        <v>75</v>
      </c>
      <c r="W108" s="1100" t="n">
        <v>515</v>
      </c>
      <c r="X108" s="1100" t="n">
        <v>30</v>
      </c>
      <c r="Y108" s="1100" t="n">
        <v>50</v>
      </c>
      <c r="Z108" s="457" t="n"/>
      <c r="AH108" s="1119" t="n"/>
      <c r="AI108" s="1119" t="n"/>
      <c r="AJ108" s="1119" t="n"/>
      <c r="AK108" s="1119" t="n"/>
      <c r="AL108" s="1119" t="n"/>
      <c r="AM108" s="1119" t="n"/>
      <c r="AN108" s="1119" t="n"/>
      <c r="AO108" s="1119" t="n"/>
      <c r="AP108" s="1119" t="n"/>
      <c r="AQ108" s="1119" t="n"/>
      <c r="AR108" s="1119" t="n"/>
      <c r="AS108" s="1119" t="n"/>
      <c r="AT108" s="1119" t="n"/>
      <c r="AU108" s="1119" t="n"/>
      <c r="AV108" s="1119" t="n"/>
      <c r="AW108" s="1119" t="n"/>
      <c r="AX108" s="1119" t="n"/>
      <c r="AY108" s="1119" t="n"/>
      <c r="AZ108" s="1119" t="n"/>
      <c r="BA108" s="1119" t="n"/>
      <c r="BB108" s="1119" t="n"/>
      <c r="BC108" s="1119" t="n"/>
      <c r="BD108" s="1119" t="n"/>
      <c r="BE108" s="1119" t="n"/>
      <c r="BF108" s="1119" t="n"/>
      <c r="BG108" s="1119" t="n"/>
      <c r="BH108" s="1119" t="n"/>
      <c r="BI108" s="1119" t="n"/>
      <c r="BJ108" s="1119" t="n"/>
      <c r="BK108" s="1119" t="n"/>
      <c r="BL108" s="1119" t="n"/>
      <c r="BM108" s="1119" t="n"/>
      <c r="BN108" s="1119" t="n"/>
      <c r="BO108" s="1119" t="n"/>
      <c r="BP108" s="1119" t="n"/>
      <c r="BQ108" s="1119" t="n"/>
      <c r="BR108" s="1119" t="n"/>
      <c r="BS108" s="1119" t="n"/>
    </row>
    <row r="109">
      <c r="R109" s="1214" t="n"/>
      <c r="S109" s="451" t="inlineStr">
        <is>
          <t>F317L</t>
        </is>
      </c>
      <c r="T109" s="1100" t="n">
        <v>30</v>
      </c>
      <c r="U109" s="1100" t="n">
        <v>205</v>
      </c>
      <c r="V109" s="1100" t="n">
        <v>70</v>
      </c>
      <c r="W109" s="1100" t="n">
        <v>485</v>
      </c>
      <c r="X109" s="1100" t="n">
        <v>30</v>
      </c>
      <c r="Y109" s="1100" t="n">
        <v>50</v>
      </c>
      <c r="Z109" s="457" t="n"/>
      <c r="AH109" s="1119" t="n"/>
      <c r="AI109" s="1119" t="n"/>
      <c r="AJ109" s="1119" t="n"/>
      <c r="AK109" s="1119" t="n"/>
      <c r="AL109" s="1119" t="n"/>
      <c r="AM109" s="1119" t="n"/>
      <c r="AN109" s="1119" t="n"/>
      <c r="AO109" s="1119" t="n"/>
      <c r="AP109" s="1119" t="n"/>
      <c r="AQ109" s="1119" t="n"/>
      <c r="AR109" s="1119" t="n"/>
      <c r="AS109" s="1119" t="n"/>
      <c r="AT109" s="1119" t="n"/>
      <c r="AU109" s="1119" t="n"/>
      <c r="AV109" s="1119" t="n"/>
      <c r="AW109" s="1119" t="n"/>
      <c r="AX109" s="1119" t="n"/>
      <c r="AY109" s="1119" t="n"/>
      <c r="AZ109" s="1119" t="n"/>
      <c r="BA109" s="1119" t="n"/>
      <c r="BB109" s="1119" t="n"/>
      <c r="BC109" s="1119" t="n"/>
      <c r="BD109" s="1119" t="n"/>
      <c r="BE109" s="1119" t="n"/>
      <c r="BF109" s="1119" t="n"/>
      <c r="BG109" s="1119" t="n"/>
      <c r="BH109" s="1119" t="n"/>
      <c r="BI109" s="1119" t="n"/>
      <c r="BJ109" s="1119" t="n"/>
      <c r="BK109" s="1119" t="n"/>
      <c r="BL109" s="1119" t="n"/>
      <c r="BM109" s="1119" t="n"/>
      <c r="BN109" s="1119" t="n"/>
      <c r="BO109" s="1119" t="n"/>
      <c r="BP109" s="1119" t="n"/>
      <c r="BQ109" s="1119" t="n"/>
      <c r="BR109" s="1119" t="n"/>
      <c r="BS109" s="1119" t="n"/>
    </row>
    <row r="110">
      <c r="R110" s="1214" t="n"/>
      <c r="S110" s="451" t="inlineStr">
        <is>
          <t>F347</t>
        </is>
      </c>
      <c r="T110" s="1100" t="n">
        <v>30</v>
      </c>
      <c r="U110" s="1100" t="n">
        <v>205</v>
      </c>
      <c r="V110" s="1100" t="n">
        <v>75</v>
      </c>
      <c r="W110" s="1100" t="n">
        <v>515</v>
      </c>
      <c r="X110" s="1100" t="n">
        <v>30</v>
      </c>
      <c r="Y110" s="1100" t="n">
        <v>50</v>
      </c>
      <c r="Z110" s="457" t="n"/>
      <c r="AH110" s="1119" t="n"/>
      <c r="AI110" s="1119" t="n"/>
      <c r="AJ110" s="1119" t="n"/>
      <c r="AK110" s="1119" t="n"/>
      <c r="AL110" s="1119" t="n"/>
      <c r="AM110" s="1119" t="n"/>
      <c r="AN110" s="1119" t="n"/>
      <c r="AO110" s="1119" t="n"/>
      <c r="AP110" s="1119" t="n"/>
      <c r="AQ110" s="1119" t="n"/>
      <c r="AR110" s="1119" t="n"/>
      <c r="AS110" s="1119" t="n"/>
      <c r="AT110" s="1119" t="n"/>
      <c r="AU110" s="1119" t="n"/>
      <c r="AV110" s="1119" t="n"/>
      <c r="AW110" s="1119" t="n"/>
      <c r="AX110" s="1119" t="n"/>
      <c r="AY110" s="1119" t="n"/>
      <c r="AZ110" s="1119" t="n"/>
      <c r="BA110" s="1119" t="n"/>
      <c r="BB110" s="1119" t="n"/>
      <c r="BC110" s="1119" t="n"/>
      <c r="BD110" s="1119" t="n"/>
      <c r="BE110" s="1119" t="n"/>
      <c r="BF110" s="1119" t="n"/>
      <c r="BG110" s="1119" t="n"/>
      <c r="BH110" s="1119" t="n"/>
      <c r="BI110" s="1119" t="n"/>
      <c r="BJ110" s="1119" t="n"/>
      <c r="BK110" s="1119" t="n"/>
      <c r="BL110" s="1119" t="n"/>
      <c r="BM110" s="1119" t="n"/>
      <c r="BN110" s="1119" t="n"/>
      <c r="BO110" s="1119" t="n"/>
      <c r="BP110" s="1119" t="n"/>
      <c r="BQ110" s="1119" t="n"/>
      <c r="BR110" s="1119" t="n"/>
      <c r="BS110" s="1119" t="n"/>
    </row>
    <row r="111">
      <c r="R111" s="1214" t="n"/>
      <c r="S111" s="451" t="inlineStr">
        <is>
          <t>F347H</t>
        </is>
      </c>
      <c r="T111" s="1100" t="n">
        <v>30</v>
      </c>
      <c r="U111" s="1100" t="n">
        <v>205</v>
      </c>
      <c r="V111" s="1100" t="n">
        <v>75</v>
      </c>
      <c r="W111" s="1100" t="n">
        <v>515</v>
      </c>
      <c r="X111" s="1100" t="n">
        <v>30</v>
      </c>
      <c r="Y111" s="1100" t="n">
        <v>50</v>
      </c>
      <c r="Z111" s="457" t="n"/>
      <c r="AH111" s="1119" t="n"/>
      <c r="AI111" s="1119" t="n"/>
      <c r="AJ111" s="1119" t="n"/>
      <c r="AK111" s="1119" t="n"/>
      <c r="AL111" s="1119" t="n"/>
      <c r="AM111" s="1119" t="n"/>
      <c r="AN111" s="1119" t="n"/>
      <c r="AO111" s="1119" t="n"/>
      <c r="AP111" s="1119" t="n"/>
      <c r="AQ111" s="1119" t="n"/>
      <c r="AR111" s="1119" t="n"/>
      <c r="AS111" s="1119" t="n"/>
      <c r="AT111" s="1119" t="n"/>
      <c r="AU111" s="1119" t="n"/>
      <c r="AV111" s="1119" t="n"/>
      <c r="AW111" s="1119" t="n"/>
      <c r="AX111" s="1119" t="n"/>
      <c r="AY111" s="1119" t="n"/>
      <c r="AZ111" s="1119" t="n"/>
      <c r="BA111" s="1119" t="n"/>
      <c r="BB111" s="1119" t="n"/>
      <c r="BC111" s="1119" t="n"/>
      <c r="BD111" s="1119" t="n"/>
      <c r="BE111" s="1119" t="n"/>
      <c r="BF111" s="1119" t="n"/>
      <c r="BG111" s="1119" t="n"/>
      <c r="BH111" s="1119" t="n"/>
      <c r="BI111" s="1119" t="n"/>
      <c r="BJ111" s="1119" t="n"/>
      <c r="BK111" s="1119" t="n"/>
      <c r="BL111" s="1119" t="n"/>
      <c r="BM111" s="1119" t="n"/>
      <c r="BN111" s="1119" t="n"/>
      <c r="BO111" s="1119" t="n"/>
      <c r="BP111" s="1119" t="n"/>
      <c r="BQ111" s="1119" t="n"/>
      <c r="BR111" s="1119" t="n"/>
      <c r="BS111" s="1119" t="n"/>
    </row>
    <row r="112">
      <c r="R112" s="1214" t="n"/>
      <c r="S112" s="451" t="inlineStr">
        <is>
          <t>F348</t>
        </is>
      </c>
      <c r="T112" s="1100" t="n">
        <v>30</v>
      </c>
      <c r="U112" s="1100" t="n">
        <v>205</v>
      </c>
      <c r="V112" s="1100" t="n">
        <v>75</v>
      </c>
      <c r="W112" s="1100" t="n">
        <v>515</v>
      </c>
      <c r="X112" s="1100" t="n">
        <v>30</v>
      </c>
      <c r="Y112" s="1100" t="n">
        <v>50</v>
      </c>
      <c r="Z112" s="457" t="n"/>
      <c r="AH112" s="1119" t="n"/>
      <c r="AI112" s="1119" t="n"/>
      <c r="AJ112" s="1119" t="n"/>
      <c r="AK112" s="1119" t="n"/>
      <c r="AL112" s="1119" t="n"/>
      <c r="AM112" s="1119" t="n"/>
      <c r="AN112" s="1119" t="n"/>
      <c r="AO112" s="1119" t="n"/>
      <c r="AP112" s="1119" t="n"/>
      <c r="AQ112" s="1119" t="n"/>
      <c r="AR112" s="1119" t="n"/>
      <c r="AS112" s="1119" t="n"/>
      <c r="AT112" s="1119" t="n"/>
      <c r="AU112" s="1119" t="n"/>
      <c r="AV112" s="1119" t="n"/>
      <c r="AW112" s="1119" t="n"/>
      <c r="AX112" s="1119" t="n"/>
      <c r="AY112" s="1119" t="n"/>
      <c r="AZ112" s="1119" t="n"/>
      <c r="BA112" s="1119" t="n"/>
      <c r="BB112" s="1119" t="n"/>
      <c r="BC112" s="1119" t="n"/>
      <c r="BD112" s="1119" t="n"/>
      <c r="BE112" s="1119" t="n"/>
      <c r="BF112" s="1119" t="n"/>
      <c r="BG112" s="1119" t="n"/>
      <c r="BH112" s="1119" t="n"/>
      <c r="BI112" s="1119" t="n"/>
      <c r="BJ112" s="1119" t="n"/>
      <c r="BK112" s="1119" t="n"/>
      <c r="BL112" s="1119" t="n"/>
      <c r="BM112" s="1119" t="n"/>
      <c r="BN112" s="1119" t="n"/>
      <c r="BO112" s="1119" t="n"/>
      <c r="BP112" s="1119" t="n"/>
      <c r="BQ112" s="1119" t="n"/>
      <c r="BR112" s="1119" t="n"/>
      <c r="BS112" s="1119" t="n"/>
    </row>
    <row r="113">
      <c r="R113" s="1214" t="n"/>
      <c r="S113" s="451" t="inlineStr">
        <is>
          <t>F348H</t>
        </is>
      </c>
      <c r="T113" s="1100" t="n">
        <v>30</v>
      </c>
      <c r="U113" s="1100" t="n">
        <v>205</v>
      </c>
      <c r="V113" s="1100" t="n">
        <v>75</v>
      </c>
      <c r="W113" s="1100" t="n">
        <v>515</v>
      </c>
      <c r="X113" s="1100" t="n">
        <v>30</v>
      </c>
      <c r="Y113" s="1100" t="n">
        <v>50</v>
      </c>
      <c r="Z113" s="457" t="n"/>
      <c r="AH113" s="1119" t="n"/>
      <c r="AI113" s="1119" t="n"/>
      <c r="AJ113" s="1119" t="n"/>
      <c r="AK113" s="1119" t="n"/>
      <c r="AL113" s="1119" t="n"/>
      <c r="AM113" s="1119" t="n"/>
      <c r="AN113" s="1119" t="n"/>
      <c r="AO113" s="1119" t="n"/>
      <c r="AP113" s="1119" t="n"/>
      <c r="AQ113" s="1119" t="n"/>
      <c r="AR113" s="1119" t="n"/>
      <c r="AS113" s="1119" t="n"/>
      <c r="AT113" s="1119" t="n"/>
      <c r="AU113" s="1119" t="n"/>
      <c r="AV113" s="1119" t="n"/>
      <c r="AW113" s="1119" t="n"/>
      <c r="AX113" s="1119" t="n"/>
      <c r="AY113" s="1119" t="n"/>
      <c r="AZ113" s="1119" t="n"/>
      <c r="BA113" s="1119" t="n"/>
      <c r="BB113" s="1119" t="n"/>
      <c r="BC113" s="1119" t="n"/>
      <c r="BD113" s="1119" t="n"/>
      <c r="BE113" s="1119" t="n"/>
      <c r="BF113" s="1119" t="n"/>
      <c r="BG113" s="1119" t="n"/>
      <c r="BH113" s="1119" t="n"/>
      <c r="BI113" s="1119" t="n"/>
      <c r="BJ113" s="1119" t="n"/>
      <c r="BK113" s="1119" t="n"/>
      <c r="BL113" s="1119" t="n"/>
      <c r="BM113" s="1119" t="n"/>
      <c r="BN113" s="1119" t="n"/>
      <c r="BO113" s="1119" t="n"/>
      <c r="BP113" s="1119" t="n"/>
      <c r="BQ113" s="1119" t="n"/>
      <c r="BR113" s="1119" t="n"/>
      <c r="BS113" s="1119" t="n"/>
    </row>
    <row r="114">
      <c r="R114" s="1214" t="n"/>
      <c r="S114" s="451" t="inlineStr">
        <is>
          <t>F321</t>
        </is>
      </c>
      <c r="T114" s="1100" t="n">
        <v>30</v>
      </c>
      <c r="U114" s="1100" t="n">
        <v>205</v>
      </c>
      <c r="V114" s="1100" t="n">
        <v>75</v>
      </c>
      <c r="W114" s="1100" t="n">
        <v>515</v>
      </c>
      <c r="X114" s="1100" t="n">
        <v>30</v>
      </c>
      <c r="Y114" s="1100" t="n">
        <v>50</v>
      </c>
      <c r="Z114" s="457" t="n"/>
      <c r="AH114" s="1119" t="n"/>
      <c r="AI114" s="1119" t="n"/>
      <c r="AJ114" s="1119" t="n"/>
      <c r="AK114" s="1119" t="n"/>
      <c r="AL114" s="1119" t="n"/>
      <c r="AM114" s="1119" t="n"/>
      <c r="AN114" s="1119" t="n"/>
      <c r="AO114" s="1119" t="n"/>
      <c r="AP114" s="1119" t="n"/>
      <c r="AQ114" s="1119" t="n"/>
      <c r="AR114" s="1119" t="n"/>
      <c r="AS114" s="1119" t="n"/>
      <c r="AT114" s="1119" t="n"/>
      <c r="AU114" s="1119" t="n"/>
      <c r="AV114" s="1119" t="n"/>
      <c r="AW114" s="1119" t="n"/>
      <c r="AX114" s="1119" t="n"/>
      <c r="AY114" s="1119" t="n"/>
      <c r="AZ114" s="1119" t="n"/>
      <c r="BA114" s="1119" t="n"/>
      <c r="BB114" s="1119" t="n"/>
      <c r="BC114" s="1119" t="n"/>
      <c r="BD114" s="1119" t="n"/>
      <c r="BE114" s="1119" t="n"/>
      <c r="BF114" s="1119" t="n"/>
      <c r="BG114" s="1119" t="n"/>
      <c r="BH114" s="1119" t="n"/>
      <c r="BI114" s="1119" t="n"/>
      <c r="BJ114" s="1119" t="n"/>
      <c r="BK114" s="1119" t="n"/>
      <c r="BL114" s="1119" t="n"/>
      <c r="BM114" s="1119" t="n"/>
      <c r="BN114" s="1119" t="n"/>
      <c r="BO114" s="1119" t="n"/>
      <c r="BP114" s="1119" t="n"/>
      <c r="BQ114" s="1119" t="n"/>
      <c r="BR114" s="1119" t="n"/>
      <c r="BS114" s="1119" t="n"/>
    </row>
    <row r="115">
      <c r="R115" s="1214" t="n"/>
      <c r="S115" s="451" t="inlineStr">
        <is>
          <t>F321H</t>
        </is>
      </c>
      <c r="T115" s="1100" t="n">
        <v>30</v>
      </c>
      <c r="U115" s="1100" t="n">
        <v>205</v>
      </c>
      <c r="V115" s="1100" t="n">
        <v>75</v>
      </c>
      <c r="W115" s="1100" t="n">
        <v>515</v>
      </c>
      <c r="X115" s="1100" t="n">
        <v>30</v>
      </c>
      <c r="Y115" s="1100" t="n">
        <v>50</v>
      </c>
      <c r="Z115" s="457" t="n"/>
      <c r="AK115" s="1119" t="n"/>
      <c r="AL115" s="1119" t="n"/>
      <c r="AM115" s="1119" t="n"/>
      <c r="AN115" s="1119" t="n"/>
      <c r="AO115" s="1119" t="n"/>
      <c r="AP115" s="1119" t="n"/>
      <c r="AZ115" s="1119" t="n"/>
    </row>
    <row r="116">
      <c r="R116" s="1214" t="n"/>
      <c r="S116" s="451" t="inlineStr">
        <is>
          <t>FXM-11</t>
        </is>
      </c>
      <c r="T116" s="1100" t="n">
        <v>50</v>
      </c>
      <c r="U116" s="1100" t="n">
        <v>345</v>
      </c>
      <c r="V116" s="1100" t="n">
        <v>90</v>
      </c>
      <c r="W116" s="1100" t="n">
        <v>620</v>
      </c>
      <c r="X116" s="1100" t="n">
        <v>45</v>
      </c>
      <c r="Y116" s="1100" t="n">
        <v>60</v>
      </c>
      <c r="Z116" s="457" t="n"/>
    </row>
    <row r="117">
      <c r="R117" s="1214" t="n"/>
      <c r="S117" s="451" t="inlineStr">
        <is>
          <t>FXM-19</t>
        </is>
      </c>
      <c r="T117" s="1100" t="n">
        <v>55</v>
      </c>
      <c r="U117" s="1100" t="n">
        <v>380</v>
      </c>
      <c r="V117" s="1100" t="n">
        <v>100</v>
      </c>
      <c r="W117" s="1100" t="n">
        <v>690</v>
      </c>
      <c r="X117" s="1100" t="n">
        <v>35</v>
      </c>
      <c r="Y117" s="1100" t="n">
        <v>55</v>
      </c>
      <c r="Z117" s="457" t="n"/>
    </row>
    <row r="118">
      <c r="R118" s="1214" t="n"/>
      <c r="S118" s="451" t="inlineStr">
        <is>
          <t>F10</t>
        </is>
      </c>
      <c r="T118" s="1100" t="n">
        <v>30</v>
      </c>
      <c r="U118" s="1100" t="n">
        <v>205</v>
      </c>
      <c r="V118" s="1100" t="n">
        <v>80</v>
      </c>
      <c r="W118" s="1100" t="n">
        <v>550</v>
      </c>
      <c r="X118" s="1100" t="n">
        <v>30</v>
      </c>
      <c r="Y118" s="1100" t="n">
        <v>50</v>
      </c>
      <c r="Z118" s="457" t="n"/>
    </row>
    <row r="119">
      <c r="R119" s="1214" t="n"/>
      <c r="S119" s="451" t="inlineStr">
        <is>
          <t>F20</t>
        </is>
      </c>
      <c r="T119" s="1100" t="n">
        <v>35</v>
      </c>
      <c r="U119" s="1100" t="n">
        <v>240</v>
      </c>
      <c r="V119" s="1100" t="n">
        <v>80</v>
      </c>
      <c r="W119" s="1100" t="n">
        <v>550</v>
      </c>
      <c r="X119" s="1100" t="n">
        <v>30</v>
      </c>
      <c r="Y119" s="1100" t="n">
        <v>50</v>
      </c>
      <c r="Z119" s="457" t="n"/>
    </row>
    <row r="120">
      <c r="R120" s="1214" t="n"/>
      <c r="S120" s="451" t="inlineStr">
        <is>
          <t>F44</t>
        </is>
      </c>
      <c r="T120" s="1100" t="n">
        <v>44</v>
      </c>
      <c r="U120" s="1100" t="n">
        <v>300</v>
      </c>
      <c r="V120" s="1100" t="n">
        <v>94</v>
      </c>
      <c r="W120" s="1100" t="n">
        <v>650</v>
      </c>
      <c r="X120" s="1100" t="n">
        <v>35</v>
      </c>
      <c r="Y120" s="1100" t="n">
        <v>50</v>
      </c>
      <c r="Z120" s="457" t="n"/>
    </row>
    <row r="121">
      <c r="R121" s="1214" t="n"/>
      <c r="S121" s="452" t="inlineStr">
        <is>
          <t>F45</t>
        </is>
      </c>
      <c r="T121" s="1100" t="n">
        <v>45</v>
      </c>
      <c r="U121" s="1100" t="n">
        <v>310</v>
      </c>
      <c r="V121" s="1100" t="n">
        <v>87</v>
      </c>
      <c r="W121" s="1100" t="n">
        <v>600</v>
      </c>
      <c r="X121" s="1100" t="n">
        <v>40</v>
      </c>
      <c r="Y121" s="1100" t="n">
        <v>50</v>
      </c>
      <c r="Z121" s="457" t="n"/>
    </row>
    <row r="122">
      <c r="R122" s="1214" t="n"/>
      <c r="S122" s="451" t="inlineStr">
        <is>
          <t>F46</t>
        </is>
      </c>
      <c r="T122" s="1100" t="n">
        <v>35</v>
      </c>
      <c r="U122" s="1100" t="n">
        <v>240</v>
      </c>
      <c r="V122" s="1100" t="n">
        <v>78</v>
      </c>
      <c r="W122" s="1100" t="n">
        <v>540</v>
      </c>
      <c r="X122" s="1100" t="n">
        <v>40</v>
      </c>
      <c r="Y122" s="1100" t="n">
        <v>50</v>
      </c>
      <c r="Z122" s="457" t="n"/>
    </row>
    <row r="123">
      <c r="R123" s="1214" t="n"/>
      <c r="S123" s="451" t="inlineStr">
        <is>
          <t>F47</t>
        </is>
      </c>
      <c r="T123" s="1100" t="n">
        <v>30</v>
      </c>
      <c r="U123" s="1100" t="n">
        <v>205</v>
      </c>
      <c r="V123" s="1100" t="n">
        <v>75</v>
      </c>
      <c r="W123" s="1100" t="n">
        <v>515</v>
      </c>
      <c r="X123" s="1100" t="n">
        <v>40</v>
      </c>
      <c r="Y123" s="1100" t="n">
        <v>50</v>
      </c>
      <c r="Z123" s="457" t="n"/>
    </row>
    <row r="124">
      <c r="R124" s="1214" t="n"/>
      <c r="S124" s="451" t="inlineStr">
        <is>
          <t>F48</t>
        </is>
      </c>
      <c r="T124" s="1100" t="n">
        <v>35</v>
      </c>
      <c r="U124" s="1100" t="n">
        <v>240</v>
      </c>
      <c r="V124" s="1100" t="n">
        <v>80</v>
      </c>
      <c r="W124" s="1100" t="n">
        <v>550</v>
      </c>
      <c r="X124" s="1100" t="n">
        <v>40</v>
      </c>
      <c r="Y124" s="1100" t="n">
        <v>50</v>
      </c>
      <c r="Z124" s="457" t="n"/>
    </row>
    <row r="125">
      <c r="R125" s="1214" t="n"/>
      <c r="S125" s="451" t="inlineStr">
        <is>
          <t>F49</t>
        </is>
      </c>
      <c r="T125" s="1100" t="n">
        <v>60</v>
      </c>
      <c r="U125" s="1100" t="n">
        <v>415</v>
      </c>
      <c r="V125" s="1100" t="n">
        <v>115</v>
      </c>
      <c r="W125" s="1100" t="n">
        <v>795</v>
      </c>
      <c r="X125" s="1100" t="n">
        <v>35</v>
      </c>
      <c r="Y125" s="1100" t="n">
        <v>40</v>
      </c>
      <c r="Z125" s="457" t="n"/>
    </row>
    <row r="126">
      <c r="R126" s="1214" t="n"/>
      <c r="S126" s="451" t="inlineStr">
        <is>
          <t>F56</t>
        </is>
      </c>
      <c r="T126" s="1100" t="n">
        <v>27</v>
      </c>
      <c r="U126" s="1100" t="n">
        <v>185</v>
      </c>
      <c r="V126" s="1100" t="n">
        <v>73</v>
      </c>
      <c r="W126" s="1100" t="n">
        <v>500</v>
      </c>
      <c r="X126" s="1100" t="n">
        <v>30</v>
      </c>
      <c r="Y126" s="1100" t="n">
        <v>35</v>
      </c>
      <c r="Z126" s="457" t="n"/>
    </row>
    <row r="127">
      <c r="R127" s="120" t="n"/>
      <c r="S127" s="451" t="inlineStr">
        <is>
          <t>F58</t>
        </is>
      </c>
      <c r="T127" s="1100" t="n">
        <v>45</v>
      </c>
      <c r="U127" s="1100" t="n">
        <v>310</v>
      </c>
      <c r="V127" s="1100" t="n">
        <v>95</v>
      </c>
      <c r="W127" s="1100" t="n">
        <v>655</v>
      </c>
      <c r="X127" s="1100" t="n">
        <v>30</v>
      </c>
      <c r="Y127" s="1100" t="n">
        <v>50</v>
      </c>
      <c r="Z127" s="457" t="n"/>
    </row>
    <row r="128">
      <c r="R128" s="1215" t="inlineStr">
        <is>
          <t>Ferritic-Austenitic Stainless Steels</t>
        </is>
      </c>
      <c r="S128" s="451" t="inlineStr">
        <is>
          <t>F60</t>
        </is>
      </c>
      <c r="T128" s="1100" t="n">
        <v>65</v>
      </c>
      <c r="U128" s="1100" t="n">
        <v>450</v>
      </c>
      <c r="V128" s="1100" t="inlineStr">
        <is>
          <t>100-130</t>
        </is>
      </c>
      <c r="W128" s="1100" t="inlineStr">
        <is>
          <t>690-900</t>
        </is>
      </c>
      <c r="X128" s="1100" t="n">
        <v>25</v>
      </c>
      <c r="Y128" s="1100" t="n">
        <v>50</v>
      </c>
      <c r="Z128" s="457" t="n"/>
    </row>
    <row r="129">
      <c r="R129" s="1214" t="n"/>
      <c r="S129" s="451" t="inlineStr">
        <is>
          <t>F51</t>
        </is>
      </c>
      <c r="T129" s="1100" t="n">
        <v>65</v>
      </c>
      <c r="U129" s="1100" t="n">
        <v>450</v>
      </c>
      <c r="V129" s="1100" t="n">
        <v>90</v>
      </c>
      <c r="W129" s="1100" t="n">
        <v>620</v>
      </c>
      <c r="X129" s="1100" t="n">
        <v>25</v>
      </c>
      <c r="Y129" s="1100" t="n">
        <v>45</v>
      </c>
      <c r="Z129" s="457" t="n"/>
    </row>
    <row r="130" ht="15" customHeight="1" s="510">
      <c r="R130" s="1214" t="n"/>
      <c r="S130" s="451" t="inlineStr">
        <is>
          <t>F50</t>
        </is>
      </c>
      <c r="T130" s="1100" t="n">
        <v>70</v>
      </c>
      <c r="U130" s="1100" t="n">
        <v>485</v>
      </c>
      <c r="V130" s="1100" t="n">
        <v>100</v>
      </c>
      <c r="W130" s="1100" t="n">
        <v>690</v>
      </c>
      <c r="X130" s="1100" t="n">
        <v>15</v>
      </c>
      <c r="Y130" s="72" t="n"/>
      <c r="Z130" s="457" t="n"/>
    </row>
    <row r="131">
      <c r="R131" s="1214" t="n"/>
      <c r="S131" s="451" t="inlineStr">
        <is>
          <t>F53</t>
        </is>
      </c>
      <c r="T131" s="1100" t="n">
        <v>80</v>
      </c>
      <c r="U131" s="1100" t="n">
        <v>550</v>
      </c>
      <c r="V131" s="1100" t="n">
        <v>116</v>
      </c>
      <c r="W131" s="1100" t="n">
        <v>800</v>
      </c>
      <c r="X131" s="1100" t="n">
        <v>15</v>
      </c>
      <c r="Y131" s="72" t="n"/>
      <c r="Z131" s="456" t="n">
        <v>310</v>
      </c>
    </row>
    <row r="132">
      <c r="R132" s="1214" t="n"/>
      <c r="S132" s="451" t="inlineStr">
        <is>
          <t>F54</t>
        </is>
      </c>
      <c r="T132" s="1100" t="n">
        <v>80</v>
      </c>
      <c r="U132" s="1100" t="n">
        <v>550</v>
      </c>
      <c r="V132" s="1100" t="n">
        <v>116</v>
      </c>
      <c r="W132" s="1100" t="n">
        <v>800</v>
      </c>
      <c r="X132" s="1100" t="n">
        <v>15</v>
      </c>
      <c r="Y132" s="1100" t="n">
        <v>30</v>
      </c>
      <c r="Z132" s="456" t="n">
        <v>310</v>
      </c>
    </row>
    <row r="133" ht="15" customHeight="1" s="510">
      <c r="R133" s="1214" t="n"/>
      <c r="S133" s="451" t="inlineStr">
        <is>
          <t>F55</t>
        </is>
      </c>
      <c r="T133" s="1100" t="n">
        <v>80</v>
      </c>
      <c r="U133" s="1100" t="n">
        <v>550</v>
      </c>
      <c r="V133" s="1100" t="inlineStr">
        <is>
          <t>109-130</t>
        </is>
      </c>
      <c r="W133" s="1100" t="inlineStr">
        <is>
          <t>750-895</t>
        </is>
      </c>
      <c r="X133" s="1100" t="n">
        <v>25</v>
      </c>
      <c r="Y133" s="1100" t="n">
        <v>45</v>
      </c>
      <c r="Z133" s="457" t="n"/>
    </row>
    <row r="134">
      <c r="R134" s="1214" t="n"/>
      <c r="S134" s="451" t="inlineStr">
        <is>
          <t>F57</t>
        </is>
      </c>
      <c r="T134" s="1100" t="n">
        <v>85</v>
      </c>
      <c r="U134" s="1100" t="n">
        <v>585</v>
      </c>
      <c r="V134" s="1100" t="n">
        <v>118</v>
      </c>
      <c r="W134" s="1100" t="n">
        <v>820</v>
      </c>
      <c r="X134" s="1100" t="n">
        <v>25</v>
      </c>
      <c r="Y134" s="1100" t="n">
        <v>50</v>
      </c>
      <c r="Z134" s="457" t="n"/>
    </row>
    <row r="135">
      <c r="R135" s="1214" t="n"/>
      <c r="S135" s="451" t="inlineStr">
        <is>
          <t>F59</t>
        </is>
      </c>
      <c r="T135" s="1100" t="n">
        <v>80</v>
      </c>
      <c r="U135" s="1100" t="n">
        <v>550</v>
      </c>
      <c r="V135" s="1100" t="n">
        <v>112</v>
      </c>
      <c r="W135" s="1100" t="n">
        <v>770</v>
      </c>
      <c r="X135" s="1100" t="n">
        <v>25</v>
      </c>
      <c r="Y135" s="1100" t="n">
        <v>40</v>
      </c>
      <c r="Z135" s="457" t="n"/>
    </row>
    <row r="136">
      <c r="R136" s="1214" t="n"/>
      <c r="S136" s="451" t="inlineStr">
        <is>
          <t>F60</t>
        </is>
      </c>
      <c r="T136" s="1100" t="n">
        <v>65</v>
      </c>
      <c r="U136" s="1100" t="n">
        <v>450</v>
      </c>
      <c r="V136" s="1100" t="n">
        <v>90</v>
      </c>
      <c r="W136" s="1100" t="n">
        <v>620</v>
      </c>
      <c r="X136" s="1100" t="n">
        <v>25</v>
      </c>
      <c r="Y136" s="1100" t="n">
        <v>45</v>
      </c>
      <c r="Z136" s="457" t="n"/>
    </row>
    <row r="137">
      <c r="R137" s="120" t="n"/>
      <c r="S137" s="458" t="inlineStr">
        <is>
          <t>F61</t>
        </is>
      </c>
      <c r="T137" s="543" t="n">
        <v>80</v>
      </c>
      <c r="U137" s="543" t="n">
        <v>550</v>
      </c>
      <c r="V137" s="543" t="n">
        <v>109</v>
      </c>
      <c r="W137" s="543" t="n">
        <v>750</v>
      </c>
      <c r="X137" s="543" t="n">
        <v>25</v>
      </c>
      <c r="Y137" s="543" t="n">
        <v>50</v>
      </c>
      <c r="Z137" s="393" t="n"/>
    </row>
    <row r="138">
      <c r="R138" s="460" t="n"/>
    </row>
    <row r="139">
      <c r="R139" s="460" t="n"/>
    </row>
    <row r="140">
      <c r="R140" s="460" t="n"/>
    </row>
    <row r="141">
      <c r="R141" s="460" t="n"/>
    </row>
    <row r="142">
      <c r="R142" s="460" t="n"/>
    </row>
    <row r="143">
      <c r="R143" s="1119" t="n"/>
    </row>
  </sheetData>
  <mergeCells count="104">
    <mergeCell ref="AD68:AE68"/>
    <mergeCell ref="AD83:AE83"/>
    <mergeCell ref="AF77:AG77"/>
    <mergeCell ref="R91:R93"/>
    <mergeCell ref="AD67:AE67"/>
    <mergeCell ref="AF67:AG67"/>
    <mergeCell ref="AF101:AG101"/>
    <mergeCell ref="B21:C21"/>
    <mergeCell ref="AD69:AE69"/>
    <mergeCell ref="V28:W28"/>
    <mergeCell ref="AD103:AE103"/>
    <mergeCell ref="AF69:AG69"/>
    <mergeCell ref="X28:Y28"/>
    <mergeCell ref="AF103:AG103"/>
    <mergeCell ref="R128:R137"/>
    <mergeCell ref="BF62:BF63"/>
    <mergeCell ref="BE60:BE69"/>
    <mergeCell ref="AD95:AE95"/>
    <mergeCell ref="AF95:AG95"/>
    <mergeCell ref="AD104:AE104"/>
    <mergeCell ref="AF104:AG104"/>
    <mergeCell ref="BI60:BI61"/>
    <mergeCell ref="AF79:AG79"/>
    <mergeCell ref="AF88:AG88"/>
    <mergeCell ref="AD97:AE97"/>
    <mergeCell ref="AF106:AG106"/>
    <mergeCell ref="AD81:AE81"/>
    <mergeCell ref="AD87:AE87"/>
    <mergeCell ref="BK60:BL60"/>
    <mergeCell ref="AF81:AG81"/>
    <mergeCell ref="AF90:AG90"/>
    <mergeCell ref="AD71:AE71"/>
    <mergeCell ref="AF71:AG71"/>
    <mergeCell ref="AD73:AE73"/>
    <mergeCell ref="AF73:AG73"/>
    <mergeCell ref="AD82:AE82"/>
    <mergeCell ref="AF82:AG82"/>
    <mergeCell ref="AD99:AE99"/>
    <mergeCell ref="AF68:AG68"/>
    <mergeCell ref="AD84:AE84"/>
    <mergeCell ref="BF66:BG66"/>
    <mergeCell ref="AF92:AG92"/>
    <mergeCell ref="AD101:AE101"/>
    <mergeCell ref="AD77:AE77"/>
    <mergeCell ref="AD86:AE86"/>
    <mergeCell ref="BF68:BG68"/>
    <mergeCell ref="R85:R90"/>
    <mergeCell ref="AF94:AG94"/>
    <mergeCell ref="AD72:AE72"/>
    <mergeCell ref="AF72:AG72"/>
    <mergeCell ref="AD96:AE96"/>
    <mergeCell ref="AF96:AG96"/>
    <mergeCell ref="AF70:AG70"/>
    <mergeCell ref="AF105:AG105"/>
    <mergeCell ref="AD98:AE98"/>
    <mergeCell ref="AF98:AG98"/>
    <mergeCell ref="BG60:BG61"/>
    <mergeCell ref="AD79:AE79"/>
    <mergeCell ref="AD88:AE88"/>
    <mergeCell ref="AD90:AE90"/>
    <mergeCell ref="AF93:AG93"/>
    <mergeCell ref="AD74:AE74"/>
    <mergeCell ref="AF74:AG74"/>
    <mergeCell ref="AF83:AG83"/>
    <mergeCell ref="AD76:AE76"/>
    <mergeCell ref="AF76:AG76"/>
    <mergeCell ref="AD85:AE85"/>
    <mergeCell ref="AF85:AG85"/>
    <mergeCell ref="BN60:BO60"/>
    <mergeCell ref="AD100:AE100"/>
    <mergeCell ref="AD75:AE75"/>
    <mergeCell ref="AF100:AG100"/>
    <mergeCell ref="AF75:AG75"/>
    <mergeCell ref="BF67:BG67"/>
    <mergeCell ref="AF84:AG84"/>
    <mergeCell ref="AD102:AE102"/>
    <mergeCell ref="BJ60:BJ61"/>
    <mergeCell ref="AF102:AG102"/>
    <mergeCell ref="AD92:AE92"/>
    <mergeCell ref="BF69:BG69"/>
    <mergeCell ref="AF86:AG86"/>
    <mergeCell ref="BM60:BM61"/>
    <mergeCell ref="AD94:AE94"/>
    <mergeCell ref="AF97:AG97"/>
    <mergeCell ref="AD78:AE78"/>
    <mergeCell ref="AF78:AG78"/>
    <mergeCell ref="AF87:AG87"/>
    <mergeCell ref="AD80:AE80"/>
    <mergeCell ref="AF80:AG80"/>
    <mergeCell ref="AD89:AE89"/>
    <mergeCell ref="R94:R127"/>
    <mergeCell ref="AF89:AG89"/>
    <mergeCell ref="V46:X46"/>
    <mergeCell ref="AD70:AE70"/>
    <mergeCell ref="AD105:AE105"/>
    <mergeCell ref="V47:X47"/>
    <mergeCell ref="AD91:AE91"/>
    <mergeCell ref="AF91:AG91"/>
    <mergeCell ref="R66:R84"/>
    <mergeCell ref="AF99:AG99"/>
    <mergeCell ref="BF60:BF61"/>
    <mergeCell ref="AD106:AE106"/>
    <mergeCell ref="BH60:BH61"/>
    <mergeCell ref="AD93:AE93"/>
  </mergeCells>
  <pageMargins left="0.7" right="0.7" top="0.75" bottom="0.75" header="0.3" footer="0.3"/>
  <drawing xmlns:r="http://schemas.openxmlformats.org/officeDocument/2006/relationships" r:id="rId1"/>
  <tableParts count="12">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xl/worksheets/sheet10.xml><?xml version="1.0" encoding="utf-8"?>
<worksheet xmlns="http://schemas.openxmlformats.org/spreadsheetml/2006/main">
  <sheetPr codeName="Sayfa7" published="0">
    <outlinePr summaryBelow="1" summaryRight="1"/>
    <pageSetUpPr/>
  </sheetPr>
  <dimension ref="A1:AC296"/>
  <sheetViews>
    <sheetView showGridLines="0" zoomScale="70" zoomScaleNormal="70" workbookViewId="0">
      <selection activeCell="Q34" sqref="Q34"/>
    </sheetView>
  </sheetViews>
  <sheetFormatPr baseColWidth="8" defaultRowHeight="15"/>
  <cols>
    <col width="42.375" customWidth="1" style="510" min="2" max="2"/>
    <col width="21.38671875" customWidth="1" style="510" min="3" max="3"/>
    <col width="12.64453125" customWidth="1" style="510" min="4" max="4"/>
    <col width="12.9140625" customWidth="1" style="510" min="5" max="5"/>
    <col width="16.27734375" customWidth="1" style="510" min="6" max="6"/>
    <col width="13.31640625" customWidth="1" style="510" min="7" max="7"/>
    <col width="13.98828125" customWidth="1" style="510" min="8" max="8"/>
    <col width="14.9296875" customWidth="1" style="510" min="9" max="9"/>
    <col width="12.10546875" bestFit="1" customWidth="1" style="510" min="10" max="10"/>
    <col width="10.625" bestFit="1" customWidth="1" style="510" min="11" max="11"/>
    <col width="9.28125" bestFit="1" customWidth="1" style="510" min="12" max="12"/>
    <col width="14.390625" customWidth="1" style="510" min="13" max="13"/>
    <col width="10.4921875" customWidth="1" style="510" min="14" max="14"/>
    <col width="14.9296875" customWidth="1" style="510" min="15" max="15"/>
    <col width="31.609375" customWidth="1" style="510" min="17" max="17"/>
    <col width="17.62109375" customWidth="1" style="510" min="18" max="18"/>
    <col width="16.94921875" customWidth="1" style="510" min="19" max="19"/>
    <col width="19.50390625" customWidth="1" style="510" min="20" max="20"/>
    <col width="24.48046875" customWidth="1" style="510" min="21" max="21"/>
    <col width="10.4921875" customWidth="1" style="510" min="22" max="22"/>
    <col width="17.484375" customWidth="1" style="510" min="23" max="23"/>
    <col width="13.046875" customWidth="1" style="510" min="24" max="24"/>
    <col width="12.375" customWidth="1" style="510" min="25" max="25"/>
    <col width="13.31640625" customWidth="1" style="510" min="26" max="26"/>
  </cols>
  <sheetData>
    <row r="1">
      <c r="B1" s="124" t="inlineStr">
        <is>
          <t>Need an Offer?</t>
        </is>
      </c>
    </row>
    <row r="2">
      <c r="B2" s="124" t="inlineStr">
        <is>
          <t>Leave a Reply Cancel reply</t>
        </is>
      </c>
    </row>
    <row r="3">
      <c r="B3" s="126" t="inlineStr">
        <is>
          <t>The most common materials for pipe flanges (forged grades) are: ASTM A105 (carbon steel high temperature to match A53/A106/API 5L pipes), A350 Grades LF1/2/3 (carbon steel low temperature to match A333 pipes), A694 Grades F42 to F80 (high yield carbon steel to match API 5L pipe grades), ASTM A182 Grades F5 to F91 (alloy steel flanges to match A335 pipes), A182 Grade F304/316 (stainless steel flanges to match A312 SS pipes), A182 Gr, F44/F51/F53/F55 (duplex and super duplex to match A790/A928 pipes) and various nickel alloy grades (Inconel, Incoloy, Hastelloy, Monel),</t>
        </is>
      </c>
    </row>
    <row r="4">
      <c r="B4" s="448" t="n"/>
    </row>
    <row r="5" ht="22.5" customHeight="1" s="510">
      <c r="B5" s="128" t="inlineStr">
        <is>
          <t>CARBON STEEL FLANGES</t>
        </is>
      </c>
    </row>
    <row r="6">
      <c r="B6" s="448" t="n"/>
    </row>
    <row r="7">
      <c r="B7" s="129" t="inlineStr">
        <is>
          <t>The chemical composition and the mechanical properties of the three main carbon steel flanges material grades:</t>
        </is>
      </c>
    </row>
    <row r="8">
      <c r="B8" s="130" t="inlineStr">
        <is>
          <t>https://blog.projectmaterials.com/flanges/flange-materials-carbon-alloy-stainless-duplex/#elementor-toc__heading-anchor-0</t>
        </is>
      </c>
    </row>
    <row r="9">
      <c r="B9" s="125" t="inlineStr">
        <is>
          <t>ASTM A105 (high-temperature carbon steel) to match A53, A106, API 5L carbon steel pipes</t>
        </is>
      </c>
    </row>
    <row r="10">
      <c r="B10" s="125" t="inlineStr">
        <is>
          <t>ASTM A350 LF1, LF2, LF3 (low-temperature carbon steel) to match ASTM A333 pipes</t>
        </is>
      </c>
    </row>
    <row r="11">
      <c r="B11" s="131" t="inlineStr">
        <is>
          <t>ASTM A694 F42, F52, F60, F65 (high-yield carbon steel to match API 5L X42, X52, X60, and X65 steel pipes</t>
        </is>
      </c>
    </row>
    <row r="12">
      <c r="B12" s="132" t="n"/>
    </row>
    <row r="13">
      <c r="B13" s="448" t="n"/>
    </row>
    <row r="14" ht="9.75" customHeight="1" s="510">
      <c r="B14" s="498" t="n"/>
    </row>
    <row r="15" ht="36.75" customHeight="1" s="510" thickBot="1">
      <c r="B15" s="561" t="inlineStr">
        <is>
          <t>CHEMICAL COMPOSITION ASTM A105, A350, A694, A182</t>
        </is>
      </c>
      <c r="C15" s="535" t="inlineStr">
        <is>
          <t>C%</t>
        </is>
      </c>
      <c r="D15" s="535" t="inlineStr">
        <is>
          <t>Mn%</t>
        </is>
      </c>
      <c r="E15" s="535" t="inlineStr">
        <is>
          <t>Si%</t>
        </is>
      </c>
      <c r="F15" s="535" t="inlineStr">
        <is>
          <t>S%</t>
        </is>
      </c>
      <c r="G15" s="535" t="inlineStr">
        <is>
          <t>P%</t>
        </is>
      </c>
      <c r="H15" s="535" t="inlineStr">
        <is>
          <t>Cr%</t>
        </is>
      </c>
      <c r="I15" s="535" t="inlineStr">
        <is>
          <t>Ni%</t>
        </is>
      </c>
      <c r="J15" s="535" t="inlineStr">
        <is>
          <t>Mo%</t>
        </is>
      </c>
      <c r="K15" s="535" t="inlineStr">
        <is>
          <t>V%</t>
        </is>
      </c>
      <c r="L15" s="535" t="inlineStr">
        <is>
          <t>Cu%</t>
        </is>
      </c>
      <c r="M15" s="535" t="inlineStr">
        <is>
          <t>Nb%</t>
        </is>
      </c>
      <c r="N15" s="535" t="inlineStr">
        <is>
          <t>N%</t>
        </is>
      </c>
      <c r="O15" s="563" t="inlineStr">
        <is>
          <t>Other</t>
        </is>
      </c>
      <c r="P15" s="514" t="n"/>
      <c r="Q15" s="564" t="inlineStr">
        <is>
          <t>MECHANICAL PROPERTIES A105, A350, A694, A182</t>
        </is>
      </c>
      <c r="R15" s="564" t="inlineStr">
        <is>
          <t>Yield Strength Min, psi</t>
        </is>
      </c>
      <c r="S15" s="564" t="inlineStr">
        <is>
          <t>Yield Strength Min, N/mm²</t>
        </is>
      </c>
      <c r="T15" s="564" t="inlineStr">
        <is>
          <t>Tensile Strength Min, psi</t>
        </is>
      </c>
      <c r="U15" s="564" t="inlineStr">
        <is>
          <t>Tensile Strength Min, N/mm²</t>
        </is>
      </c>
      <c r="V15" s="564" t="inlineStr">
        <is>
          <t>Elongation (%)</t>
        </is>
      </c>
      <c r="W15" s="564" t="inlineStr">
        <is>
          <t>Reduction of Area (%)</t>
        </is>
      </c>
      <c r="X15" s="564" t="inlineStr">
        <is>
          <t>Hardness, maximum</t>
        </is>
      </c>
      <c r="Y15" s="564" t="inlineStr">
        <is>
          <t>CVN Avarage</t>
        </is>
      </c>
      <c r="Z15" s="544" t="inlineStr">
        <is>
          <t>CVN Min</t>
        </is>
      </c>
      <c r="AA15" s="544" t="inlineStr">
        <is>
          <t>CVN Temp C</t>
        </is>
      </c>
    </row>
    <row r="16" ht="15" customHeight="1" s="510">
      <c r="B16" s="536" t="inlineStr">
        <is>
          <t>ASTM A105</t>
        </is>
      </c>
      <c r="C16" s="1100" t="inlineStr">
        <is>
          <t>0,35 max</t>
        </is>
      </c>
      <c r="D16" s="1100" t="inlineStr">
        <is>
          <t>0,6/1,05</t>
        </is>
      </c>
      <c r="E16" s="1100" t="n">
        <v>0.035</v>
      </c>
      <c r="F16" s="1100" t="n">
        <v>0.04</v>
      </c>
      <c r="G16" s="1100" t="inlineStr">
        <is>
          <t>0,035 max</t>
        </is>
      </c>
      <c r="H16" s="1100" t="n">
        <v>0.4</v>
      </c>
      <c r="I16" s="1100" t="n">
        <v>0.4</v>
      </c>
      <c r="J16" s="1100" t="n">
        <v>0.12</v>
      </c>
      <c r="K16" s="1100" t="n">
        <v>0.08</v>
      </c>
      <c r="L16" s="479" t="n"/>
      <c r="M16" s="479" t="n"/>
      <c r="N16" s="479" t="n"/>
      <c r="O16" s="483" t="n"/>
      <c r="Q16" s="72" t="inlineStr">
        <is>
          <t>ASTM A105</t>
        </is>
      </c>
      <c r="R16" s="1100" t="n">
        <v>36000</v>
      </c>
      <c r="S16" s="1100" t="n">
        <v>250</v>
      </c>
      <c r="T16" s="1100" t="n">
        <v>70000</v>
      </c>
      <c r="U16" s="1100" t="n">
        <v>485</v>
      </c>
      <c r="V16" s="1100" t="inlineStr">
        <is>
          <t>22**</t>
        </is>
      </c>
      <c r="W16" s="1100" t="n">
        <v>30</v>
      </c>
      <c r="X16" s="1100" t="n">
        <v>197</v>
      </c>
      <c r="Y16" s="1100" t="n"/>
      <c r="Z16" s="535" t="n"/>
      <c r="AA16" s="535" t="n"/>
    </row>
    <row r="17">
      <c r="B17" s="536" t="inlineStr">
        <is>
          <t>ASTM A350 Grade LF1</t>
        </is>
      </c>
      <c r="C17" s="1100" t="inlineStr">
        <is>
          <t>0.30</t>
        </is>
      </c>
      <c r="D17" s="1100" t="inlineStr">
        <is>
          <t>0.60-1.35</t>
        </is>
      </c>
      <c r="E17" s="1100" t="inlineStr">
        <is>
          <t>0.2-0.30</t>
        </is>
      </c>
      <c r="F17" s="1100" t="inlineStr">
        <is>
          <t>0.040</t>
        </is>
      </c>
      <c r="G17" s="1100" t="inlineStr">
        <is>
          <t>0.035</t>
        </is>
      </c>
      <c r="H17" s="1100" t="inlineStr">
        <is>
          <t>0.30</t>
        </is>
      </c>
      <c r="I17" s="1100" t="inlineStr">
        <is>
          <t>0.40</t>
        </is>
      </c>
      <c r="J17" s="1100" t="inlineStr">
        <is>
          <t>0.12</t>
        </is>
      </c>
      <c r="K17" s="1100" t="inlineStr">
        <is>
          <t>0.05</t>
        </is>
      </c>
      <c r="L17" s="479" t="inlineStr">
        <is>
          <t>0.40</t>
        </is>
      </c>
      <c r="M17" s="479" t="inlineStr">
        <is>
          <t>0.02</t>
        </is>
      </c>
      <c r="N17" s="479" t="n"/>
      <c r="O17" s="483" t="n"/>
      <c r="Q17" s="536" t="inlineStr">
        <is>
          <t>ASTM A350 Grade LF1</t>
        </is>
      </c>
      <c r="R17" s="1100" t="n">
        <v>30000</v>
      </c>
      <c r="S17" s="1100" t="n">
        <v>250</v>
      </c>
      <c r="T17" s="1100" t="inlineStr">
        <is>
          <t>60000-85000</t>
        </is>
      </c>
      <c r="U17" s="1100" t="inlineStr">
        <is>
          <t>415-585</t>
        </is>
      </c>
      <c r="V17" s="1100" t="n">
        <v>25</v>
      </c>
      <c r="W17" s="1100" t="n">
        <v>38</v>
      </c>
      <c r="X17" s="1100" t="inlineStr">
        <is>
          <t>15/12 ft-lbs</t>
        </is>
      </c>
      <c r="Y17" s="1100" t="n">
        <v>18</v>
      </c>
      <c r="Z17" s="1100" t="n">
        <v>14</v>
      </c>
      <c r="AA17" s="1100" t="n">
        <v>-28.9</v>
      </c>
    </row>
    <row r="18">
      <c r="B18" s="536" t="inlineStr">
        <is>
          <t>ASTM A350 Grade LF2</t>
        </is>
      </c>
      <c r="C18" s="1100" t="inlineStr">
        <is>
          <t>0.30</t>
        </is>
      </c>
      <c r="D18" s="1100" t="inlineStr">
        <is>
          <t>0.60-1.35</t>
        </is>
      </c>
      <c r="E18" s="1100" t="inlineStr">
        <is>
          <t>0.15-0.30</t>
        </is>
      </c>
      <c r="F18" s="1100" t="inlineStr">
        <is>
          <t>0.040</t>
        </is>
      </c>
      <c r="G18" s="1100" t="inlineStr">
        <is>
          <t>0.035</t>
        </is>
      </c>
      <c r="H18" s="1100" t="inlineStr">
        <is>
          <t>0.30</t>
        </is>
      </c>
      <c r="I18" s="1100" t="inlineStr">
        <is>
          <t>0.40</t>
        </is>
      </c>
      <c r="J18" s="1100" t="inlineStr">
        <is>
          <t>0.12</t>
        </is>
      </c>
      <c r="K18" s="1100" t="inlineStr">
        <is>
          <t>0.05</t>
        </is>
      </c>
      <c r="L18" s="479" t="inlineStr">
        <is>
          <t>0.40</t>
        </is>
      </c>
      <c r="M18" s="479" t="inlineStr">
        <is>
          <t>0.02</t>
        </is>
      </c>
      <c r="N18" s="479" t="n"/>
      <c r="O18" s="483" t="n"/>
      <c r="Q18" s="536" t="inlineStr">
        <is>
          <t>ASTM A350 Grade LF2 Class 1</t>
        </is>
      </c>
      <c r="R18" s="1100" t="n">
        <v>36000</v>
      </c>
      <c r="S18" s="1100" t="n">
        <v>250</v>
      </c>
      <c r="T18" s="1100" t="inlineStr">
        <is>
          <t>70000-95000</t>
        </is>
      </c>
      <c r="U18" s="1100" t="inlineStr">
        <is>
          <t>485-655</t>
        </is>
      </c>
      <c r="V18" s="1100" t="n">
        <v>22</v>
      </c>
      <c r="W18" s="1100" t="n">
        <v>30</v>
      </c>
      <c r="X18" s="1100" t="n"/>
      <c r="Y18" s="1100" t="n">
        <v>20</v>
      </c>
      <c r="Z18" s="1100" t="n">
        <v>16</v>
      </c>
      <c r="AA18" s="1100" t="n">
        <v>-45.6</v>
      </c>
    </row>
    <row r="19">
      <c r="B19" s="536" t="inlineStr">
        <is>
          <t>ASTM A350 Grade LF3</t>
        </is>
      </c>
      <c r="C19" s="1100" t="inlineStr">
        <is>
          <t>0.20</t>
        </is>
      </c>
      <c r="D19" s="1100" t="inlineStr">
        <is>
          <t>0.90</t>
        </is>
      </c>
      <c r="E19" s="1100" t="inlineStr">
        <is>
          <t>0.20-0.35</t>
        </is>
      </c>
      <c r="F19" s="1100" t="inlineStr">
        <is>
          <t>0.040</t>
        </is>
      </c>
      <c r="G19" s="1100" t="inlineStr">
        <is>
          <t>0.035</t>
        </is>
      </c>
      <c r="H19" s="1100" t="inlineStr">
        <is>
          <t>0.30</t>
        </is>
      </c>
      <c r="I19" s="1100" t="inlineStr">
        <is>
          <t>3.3-3.7</t>
        </is>
      </c>
      <c r="J19" s="1100" t="inlineStr">
        <is>
          <t>0.12</t>
        </is>
      </c>
      <c r="K19" s="1100" t="inlineStr">
        <is>
          <t>0.03</t>
        </is>
      </c>
      <c r="L19" s="479" t="inlineStr">
        <is>
          <t>0.40</t>
        </is>
      </c>
      <c r="M19" s="479" t="inlineStr">
        <is>
          <t>0.02</t>
        </is>
      </c>
      <c r="N19" s="479" t="n"/>
      <c r="O19" s="483" t="n"/>
      <c r="Q19" s="536" t="inlineStr">
        <is>
          <t>ASTM A350 Grade LF2 Class 2</t>
        </is>
      </c>
      <c r="R19" s="1100" t="n">
        <v>36000</v>
      </c>
      <c r="S19" s="1100" t="n">
        <v>250</v>
      </c>
      <c r="T19" s="1100" t="inlineStr">
        <is>
          <t>70000-95000</t>
        </is>
      </c>
      <c r="U19" s="1100" t="inlineStr">
        <is>
          <t>485-655</t>
        </is>
      </c>
      <c r="V19" s="1100" t="n">
        <v>22</v>
      </c>
      <c r="W19" s="1100" t="n">
        <v>30</v>
      </c>
      <c r="X19" s="1100" t="n"/>
      <c r="Y19" s="1100" t="n">
        <v>27</v>
      </c>
      <c r="Z19" s="1100" t="n">
        <v>20</v>
      </c>
      <c r="AA19" s="1100" t="n">
        <v>-18</v>
      </c>
    </row>
    <row r="20" s="510">
      <c r="B20" s="536" t="inlineStr">
        <is>
          <t>ASTM A350 Grade LF5</t>
        </is>
      </c>
      <c r="C20" s="1100" t="inlineStr">
        <is>
          <t>0.30</t>
        </is>
      </c>
      <c r="D20" s="1100" t="inlineStr">
        <is>
          <t>0.60-1.35</t>
        </is>
      </c>
      <c r="E20" s="1100" t="inlineStr">
        <is>
          <t>0.20-0.35</t>
        </is>
      </c>
      <c r="F20" s="1100" t="inlineStr">
        <is>
          <t>0.040</t>
        </is>
      </c>
      <c r="G20" s="1100" t="inlineStr">
        <is>
          <t>0.035</t>
        </is>
      </c>
      <c r="H20" s="1100" t="inlineStr">
        <is>
          <t>0.30</t>
        </is>
      </c>
      <c r="I20" s="1100" t="inlineStr">
        <is>
          <t>1.0-2.0</t>
        </is>
      </c>
      <c r="J20" s="1100" t="inlineStr">
        <is>
          <t>0.12</t>
        </is>
      </c>
      <c r="K20" s="1100" t="inlineStr">
        <is>
          <t>0.03</t>
        </is>
      </c>
      <c r="L20" s="479" t="inlineStr">
        <is>
          <t>0.40</t>
        </is>
      </c>
      <c r="M20" s="479" t="inlineStr">
        <is>
          <t>0.02</t>
        </is>
      </c>
      <c r="N20" s="479" t="n"/>
      <c r="O20" s="483" t="n"/>
      <c r="Q20" s="536" t="inlineStr">
        <is>
          <t>ASTM A350 Grade LF3</t>
        </is>
      </c>
      <c r="R20" s="1100" t="n">
        <v>37500</v>
      </c>
      <c r="S20" s="1100" t="n">
        <v>260</v>
      </c>
      <c r="T20" s="1100" t="inlineStr">
        <is>
          <t>70000-95000</t>
        </is>
      </c>
      <c r="U20" s="1100" t="inlineStr">
        <is>
          <t>485-655</t>
        </is>
      </c>
      <c r="V20" s="1100" t="n">
        <v>22</v>
      </c>
      <c r="W20" s="1100" t="n">
        <v>35</v>
      </c>
      <c r="X20" s="1100" t="n"/>
      <c r="Y20" s="1100" t="n">
        <v>20</v>
      </c>
      <c r="Z20" s="1100" t="n">
        <v>16</v>
      </c>
      <c r="AA20" s="1100" t="n">
        <v>-101.1</v>
      </c>
    </row>
    <row r="21" s="510">
      <c r="B21" s="536" t="inlineStr">
        <is>
          <t>ASTM A350 Grade LF6</t>
        </is>
      </c>
      <c r="C21" s="1100" t="inlineStr">
        <is>
          <t>0.22</t>
        </is>
      </c>
      <c r="D21" s="1100" t="inlineStr">
        <is>
          <t>1.15-1.50</t>
        </is>
      </c>
      <c r="E21" s="1100" t="inlineStr">
        <is>
          <t>0.15-0.30</t>
        </is>
      </c>
      <c r="F21" s="1100" t="inlineStr">
        <is>
          <t>0.035</t>
        </is>
      </c>
      <c r="G21" s="1100" t="inlineStr">
        <is>
          <t>0.025</t>
        </is>
      </c>
      <c r="H21" s="1100" t="inlineStr">
        <is>
          <t>0.30</t>
        </is>
      </c>
      <c r="I21" s="1100" t="inlineStr">
        <is>
          <t>0.40</t>
        </is>
      </c>
      <c r="J21" s="1100" t="inlineStr">
        <is>
          <t>0.12</t>
        </is>
      </c>
      <c r="K21" s="1100" t="inlineStr">
        <is>
          <t>0.04-0.11</t>
        </is>
      </c>
      <c r="L21" s="479" t="inlineStr">
        <is>
          <t>0.40</t>
        </is>
      </c>
      <c r="M21" s="479" t="inlineStr">
        <is>
          <t>0.02</t>
        </is>
      </c>
      <c r="N21" s="479" t="inlineStr">
        <is>
          <t>0.01-0.030</t>
        </is>
      </c>
      <c r="O21" s="483" t="n"/>
      <c r="Q21" s="536" t="inlineStr">
        <is>
          <t>ASTM A350 Grade LF3  Class 2</t>
        </is>
      </c>
      <c r="R21" s="1100" t="n">
        <v>37500</v>
      </c>
      <c r="S21" s="1100" t="n">
        <v>260</v>
      </c>
      <c r="T21" s="1100" t="inlineStr">
        <is>
          <t>70000-95000</t>
        </is>
      </c>
      <c r="U21" s="1100" t="inlineStr">
        <is>
          <t>485-655</t>
        </is>
      </c>
      <c r="V21" s="1100" t="n">
        <v>22</v>
      </c>
      <c r="W21" s="1100" t="n">
        <v>35</v>
      </c>
      <c r="X21" s="1100" t="n"/>
      <c r="Y21" s="1100" t="n"/>
      <c r="Z21" s="1100" t="n"/>
      <c r="AA21" s="1100" t="n"/>
    </row>
    <row r="22" s="510">
      <c r="B22" s="536" t="inlineStr">
        <is>
          <t>ASTM A350 Grade LF9</t>
        </is>
      </c>
      <c r="C22" s="1100" t="inlineStr">
        <is>
          <t>0.20</t>
        </is>
      </c>
      <c r="D22" s="1100" t="inlineStr">
        <is>
          <t>0.40-1.06</t>
        </is>
      </c>
      <c r="E22" s="1100" t="n"/>
      <c r="F22" s="1100" t="inlineStr">
        <is>
          <t>0.040</t>
        </is>
      </c>
      <c r="G22" s="1100" t="inlineStr">
        <is>
          <t>0.040</t>
        </is>
      </c>
      <c r="H22" s="1100" t="inlineStr">
        <is>
          <t>0.30</t>
        </is>
      </c>
      <c r="I22" s="1100" t="inlineStr">
        <is>
          <t>1.60-2.24</t>
        </is>
      </c>
      <c r="J22" s="1100" t="inlineStr">
        <is>
          <t>0.12</t>
        </is>
      </c>
      <c r="K22" s="1100" t="inlineStr">
        <is>
          <t>0.03</t>
        </is>
      </c>
      <c r="L22" s="479" t="inlineStr">
        <is>
          <t>0.75-1.25</t>
        </is>
      </c>
      <c r="M22" s="479" t="inlineStr">
        <is>
          <t>0.02</t>
        </is>
      </c>
      <c r="N22" s="479" t="n"/>
      <c r="O22" s="483" t="n"/>
      <c r="Q22" s="536" t="inlineStr">
        <is>
          <t>ASTM A350 Grade LF5 Class 1</t>
        </is>
      </c>
      <c r="R22" s="1100" t="n">
        <v>30000</v>
      </c>
      <c r="S22" s="1100" t="n">
        <v>250</v>
      </c>
      <c r="T22" s="1100" t="inlineStr">
        <is>
          <t>60000-85000</t>
        </is>
      </c>
      <c r="U22" s="1100" t="inlineStr">
        <is>
          <t>415-585</t>
        </is>
      </c>
      <c r="V22" s="1100" t="n">
        <v>25</v>
      </c>
      <c r="W22" s="1100" t="n">
        <v>38</v>
      </c>
      <c r="X22" s="1100" t="inlineStr">
        <is>
          <t>15/12 ft-lbs</t>
        </is>
      </c>
      <c r="Y22" s="1100" t="n">
        <v>20</v>
      </c>
      <c r="Z22" s="1100" t="n">
        <v>16</v>
      </c>
      <c r="AA22" s="1100" t="n">
        <v>-59.4</v>
      </c>
    </row>
    <row r="23" s="510">
      <c r="B23" s="536" t="inlineStr">
        <is>
          <t>ASTM A350 Grade LF787</t>
        </is>
      </c>
      <c r="C23" s="1100" t="inlineStr">
        <is>
          <t>0.07</t>
        </is>
      </c>
      <c r="D23" s="1100" t="inlineStr">
        <is>
          <t>0.40-0.70</t>
        </is>
      </c>
      <c r="E23" s="1100" t="inlineStr">
        <is>
          <t>0.40</t>
        </is>
      </c>
      <c r="F23" s="1100" t="inlineStr">
        <is>
          <t>0.025</t>
        </is>
      </c>
      <c r="G23" s="1100" t="inlineStr">
        <is>
          <t>0.025</t>
        </is>
      </c>
      <c r="H23" s="1100" t="inlineStr">
        <is>
          <t>0.60-0.90</t>
        </is>
      </c>
      <c r="I23" s="1100" t="inlineStr">
        <is>
          <t>0.70-1.00</t>
        </is>
      </c>
      <c r="J23" s="1100" t="inlineStr">
        <is>
          <t>0.15-0.25</t>
        </is>
      </c>
      <c r="K23" s="1100" t="inlineStr">
        <is>
          <t>0.03</t>
        </is>
      </c>
      <c r="L23" s="479" t="inlineStr">
        <is>
          <t>1.00-1.30</t>
        </is>
      </c>
      <c r="M23" s="479" t="inlineStr">
        <is>
          <t>0.02 min</t>
        </is>
      </c>
      <c r="N23" s="479" t="n"/>
      <c r="O23" s="483" t="n"/>
      <c r="Q23" s="536" t="inlineStr">
        <is>
          <t>ASTM A350 Grade LF5 Class 2</t>
        </is>
      </c>
      <c r="R23" s="1100" t="n">
        <v>37500</v>
      </c>
      <c r="S23" s="1100" t="n">
        <v>260</v>
      </c>
      <c r="T23" s="1100" t="inlineStr">
        <is>
          <t>70000-95000</t>
        </is>
      </c>
      <c r="U23" s="1100" t="inlineStr">
        <is>
          <t>485-655</t>
        </is>
      </c>
      <c r="V23" s="1100" t="n">
        <v>22</v>
      </c>
      <c r="W23" s="1100" t="n">
        <v>35</v>
      </c>
      <c r="X23" s="1100" t="n"/>
      <c r="Y23" s="1100" t="n">
        <v>20</v>
      </c>
      <c r="Z23" s="1100" t="n">
        <v>16</v>
      </c>
      <c r="AA23" s="1100" t="n">
        <v>-59.4</v>
      </c>
    </row>
    <row r="24">
      <c r="B24" s="536" t="inlineStr">
        <is>
          <t>ASTM A694 F42</t>
        </is>
      </c>
      <c r="C24" s="1100" t="inlineStr">
        <is>
          <t>0,26-0,265</t>
        </is>
      </c>
      <c r="D24" s="1100" t="inlineStr">
        <is>
          <t>1,60-1,64</t>
        </is>
      </c>
      <c r="E24" s="1100" t="inlineStr">
        <is>
          <t>0,15-0,35</t>
        </is>
      </c>
      <c r="F24" s="1100" t="inlineStr">
        <is>
          <t>0,025-0,030</t>
        </is>
      </c>
      <c r="G24" s="1100" t="inlineStr">
        <is>
          <t>0,025-0,030</t>
        </is>
      </c>
      <c r="H24" s="1100" t="n"/>
      <c r="I24" s="1100" t="n"/>
      <c r="J24" s="1100" t="n"/>
      <c r="K24" s="1100" t="n"/>
      <c r="L24" s="479" t="n"/>
      <c r="M24" s="479" t="n"/>
      <c r="N24" s="479" t="n"/>
      <c r="O24" s="483" t="n"/>
      <c r="Q24" s="479" t="inlineStr">
        <is>
          <t>ASTM A350 Grade LF6 Class 1</t>
        </is>
      </c>
      <c r="R24" s="1100" t="n">
        <v>52000</v>
      </c>
      <c r="S24" s="1100" t="n">
        <v>360</v>
      </c>
      <c r="T24" s="1100" t="inlineStr">
        <is>
          <t>66000-91000</t>
        </is>
      </c>
      <c r="U24" s="1100" t="inlineStr">
        <is>
          <t>455-630</t>
        </is>
      </c>
      <c r="V24" s="1100" t="n">
        <v>22</v>
      </c>
      <c r="W24" s="1100" t="n">
        <v>40</v>
      </c>
      <c r="X24" s="1100" t="n"/>
      <c r="Y24" s="1100" t="n">
        <v>20</v>
      </c>
      <c r="Z24" s="1100" t="n">
        <v>16</v>
      </c>
      <c r="AA24" s="1100" t="n">
        <v>-50</v>
      </c>
    </row>
    <row r="25">
      <c r="B25" s="536" t="inlineStr">
        <is>
          <t>ASTM A694 F46</t>
        </is>
      </c>
      <c r="C25" s="1100" t="inlineStr">
        <is>
          <t>0,26-0,265</t>
        </is>
      </c>
      <c r="D25" s="1100" t="inlineStr">
        <is>
          <t>1,60-1,64</t>
        </is>
      </c>
      <c r="E25" s="1100" t="inlineStr">
        <is>
          <t>0,15-0,35</t>
        </is>
      </c>
      <c r="F25" s="1100" t="inlineStr">
        <is>
          <t>0,025-0,030</t>
        </is>
      </c>
      <c r="G25" s="1100" t="inlineStr">
        <is>
          <t>0,025-0,030</t>
        </is>
      </c>
      <c r="H25" s="1100" t="n"/>
      <c r="I25" s="1100" t="n"/>
      <c r="J25" s="1100" t="n"/>
      <c r="K25" s="1100" t="n"/>
      <c r="L25" s="479" t="n"/>
      <c r="M25" s="479" t="n"/>
      <c r="N25" s="479" t="n"/>
      <c r="O25" s="483" t="n"/>
      <c r="Q25" s="479" t="inlineStr">
        <is>
          <t>ASTM A350 Grade LF6 Class 2</t>
        </is>
      </c>
      <c r="R25" s="1100" t="n">
        <v>60000</v>
      </c>
      <c r="S25" s="1100" t="n">
        <v>415</v>
      </c>
      <c r="T25" s="1100" t="inlineStr">
        <is>
          <t>75000-100000</t>
        </is>
      </c>
      <c r="U25" s="1100" t="inlineStr">
        <is>
          <t>515-690</t>
        </is>
      </c>
      <c r="V25" s="1100" t="n">
        <v>20</v>
      </c>
      <c r="W25" s="1100" t="n">
        <v>40</v>
      </c>
      <c r="X25" s="1100" t="n"/>
      <c r="Y25" s="1100" t="n">
        <v>27</v>
      </c>
      <c r="Z25" s="1100" t="n">
        <v>20</v>
      </c>
      <c r="AA25" s="1100" t="n">
        <v>-50</v>
      </c>
    </row>
    <row r="26">
      <c r="B26" s="536" t="inlineStr">
        <is>
          <t>ASTM A694 F48</t>
        </is>
      </c>
      <c r="C26" s="1100" t="inlineStr">
        <is>
          <t>0,26-0,265</t>
        </is>
      </c>
      <c r="D26" s="1100" t="inlineStr">
        <is>
          <t>1,60-1,64</t>
        </is>
      </c>
      <c r="E26" s="1100" t="inlineStr">
        <is>
          <t>0,15-0,35</t>
        </is>
      </c>
      <c r="F26" s="1100" t="inlineStr">
        <is>
          <t>0,025-0,030</t>
        </is>
      </c>
      <c r="G26" s="1100" t="inlineStr">
        <is>
          <t>0,025-0,030</t>
        </is>
      </c>
      <c r="H26" s="1100" t="n"/>
      <c r="I26" s="1100" t="n"/>
      <c r="J26" s="1100" t="n"/>
      <c r="K26" s="1100" t="n"/>
      <c r="L26" s="479" t="n"/>
      <c r="M26" s="479" t="n"/>
      <c r="N26" s="479" t="n"/>
      <c r="O26" s="483" t="n"/>
      <c r="Q26" s="479" t="inlineStr">
        <is>
          <t>ASTM A350 Grade LF6 Class 3</t>
        </is>
      </c>
      <c r="R26" s="1100" t="n">
        <v>60000</v>
      </c>
      <c r="S26" s="1100" t="n">
        <v>415</v>
      </c>
      <c r="T26" s="1100" t="inlineStr">
        <is>
          <t>75000-100000</t>
        </is>
      </c>
      <c r="U26" s="1100" t="inlineStr">
        <is>
          <t>515-690</t>
        </is>
      </c>
      <c r="V26" s="1100" t="n">
        <v>20</v>
      </c>
      <c r="W26" s="1100" t="n">
        <v>40</v>
      </c>
      <c r="X26" s="1100" t="n"/>
      <c r="Y26" s="1100" t="n">
        <v>27</v>
      </c>
      <c r="Z26" s="1100" t="n">
        <v>20</v>
      </c>
      <c r="AA26" s="1100" t="n">
        <v>-18</v>
      </c>
    </row>
    <row r="27">
      <c r="B27" s="536" t="inlineStr">
        <is>
          <t>ASTM A694 F50</t>
        </is>
      </c>
      <c r="C27" s="1100" t="inlineStr">
        <is>
          <t>0,26-0,265</t>
        </is>
      </c>
      <c r="D27" s="1100" t="inlineStr">
        <is>
          <t>1,60-1,64</t>
        </is>
      </c>
      <c r="E27" s="1100" t="inlineStr">
        <is>
          <t>0,15-0,35</t>
        </is>
      </c>
      <c r="F27" s="1100" t="inlineStr">
        <is>
          <t>0,025-0,030</t>
        </is>
      </c>
      <c r="G27" s="1100" t="inlineStr">
        <is>
          <t>0,025-0,030</t>
        </is>
      </c>
      <c r="H27" s="1100" t="n"/>
      <c r="I27" s="1100" t="n"/>
      <c r="J27" s="1100" t="n"/>
      <c r="K27" s="1100" t="n"/>
      <c r="L27" s="479" t="n"/>
      <c r="M27" s="479" t="n"/>
      <c r="N27" s="479" t="n"/>
      <c r="O27" s="483" t="n"/>
      <c r="Q27" s="479" t="inlineStr">
        <is>
          <t>ASTM A350 Grade LF9</t>
        </is>
      </c>
      <c r="R27" s="1100" t="n">
        <v>46000</v>
      </c>
      <c r="S27" s="1100" t="n">
        <v>315</v>
      </c>
      <c r="T27" s="1100" t="inlineStr">
        <is>
          <t>63000-88000</t>
        </is>
      </c>
      <c r="U27" s="1100" t="inlineStr">
        <is>
          <t>435-605</t>
        </is>
      </c>
      <c r="V27" s="1100" t="n">
        <v>25</v>
      </c>
      <c r="W27" s="1100" t="n">
        <v>38</v>
      </c>
      <c r="X27" s="1100" t="n"/>
      <c r="Y27" s="1100" t="n">
        <v>18</v>
      </c>
      <c r="Z27" s="1100" t="n">
        <v>14</v>
      </c>
      <c r="AA27" s="1100" t="n">
        <v>-73.3</v>
      </c>
    </row>
    <row r="28" s="510">
      <c r="B28" s="536" t="inlineStr">
        <is>
          <t>ASTM A694 F52</t>
        </is>
      </c>
      <c r="C28" s="1100" t="inlineStr">
        <is>
          <t>0,26-0,265</t>
        </is>
      </c>
      <c r="D28" s="1100" t="inlineStr">
        <is>
          <t>1,60-1,64</t>
        </is>
      </c>
      <c r="E28" s="1100" t="inlineStr">
        <is>
          <t>0,15-0,35</t>
        </is>
      </c>
      <c r="F28" s="1100" t="inlineStr">
        <is>
          <t>0,025-0,030</t>
        </is>
      </c>
      <c r="G28" s="1100" t="inlineStr">
        <is>
          <t>0,025-0,030</t>
        </is>
      </c>
      <c r="H28" s="1100" t="n"/>
      <c r="I28" s="1100" t="n"/>
      <c r="J28" s="1100" t="n"/>
      <c r="K28" s="1100" t="n"/>
      <c r="L28" s="479" t="n"/>
      <c r="M28" s="479" t="n"/>
      <c r="N28" s="479" t="n"/>
      <c r="O28" s="483" t="n"/>
      <c r="Q28" s="536" t="inlineStr">
        <is>
          <t>ASTM A350 Grade LF787 Class 2</t>
        </is>
      </c>
      <c r="R28" s="1100" t="n">
        <v>55000</v>
      </c>
      <c r="S28" s="1100" t="n">
        <v>380</v>
      </c>
      <c r="T28" s="1100" t="inlineStr">
        <is>
          <t>65000-85000</t>
        </is>
      </c>
      <c r="U28" s="1100" t="inlineStr">
        <is>
          <t>435-585</t>
        </is>
      </c>
      <c r="V28" s="1100" t="n">
        <v>20</v>
      </c>
      <c r="W28" s="1100" t="n">
        <v>45</v>
      </c>
      <c r="X28" s="1100" t="n"/>
      <c r="Y28" s="1100" t="n">
        <v>20</v>
      </c>
      <c r="Z28" s="1100" t="n">
        <v>16</v>
      </c>
      <c r="AA28" s="1100" t="n">
        <v>-50</v>
      </c>
    </row>
    <row r="29" s="510">
      <c r="B29" s="536" t="inlineStr">
        <is>
          <t>ASTM A694 F60</t>
        </is>
      </c>
      <c r="C29" s="1100" t="inlineStr">
        <is>
          <t>0,26-0,265</t>
        </is>
      </c>
      <c r="D29" s="1100" t="inlineStr">
        <is>
          <t>1,60-1,64</t>
        </is>
      </c>
      <c r="E29" s="1100" t="inlineStr">
        <is>
          <t>0,15-0,35</t>
        </is>
      </c>
      <c r="F29" s="1100" t="inlineStr">
        <is>
          <t>0,025-0,030</t>
        </is>
      </c>
      <c r="G29" s="1100" t="inlineStr">
        <is>
          <t>0,025-0,030</t>
        </is>
      </c>
      <c r="H29" s="1100" t="n"/>
      <c r="I29" s="1100" t="n"/>
      <c r="J29" s="1100" t="n"/>
      <c r="K29" s="1100" t="n"/>
      <c r="L29" s="479" t="n"/>
      <c r="M29" s="479" t="n"/>
      <c r="N29" s="479" t="n"/>
      <c r="O29" s="483" t="n"/>
      <c r="Q29" s="536" t="inlineStr">
        <is>
          <t>ASTM A350 Grade LF787 Class 3</t>
        </is>
      </c>
      <c r="R29" s="1100" t="n">
        <v>65000</v>
      </c>
      <c r="S29" s="1100" t="n">
        <v>450</v>
      </c>
      <c r="T29" s="1100" t="inlineStr">
        <is>
          <t>75000-95000</t>
        </is>
      </c>
      <c r="U29" s="1100" t="inlineStr">
        <is>
          <t>515-655</t>
        </is>
      </c>
      <c r="V29" s="1100" t="n">
        <v>20</v>
      </c>
      <c r="W29" s="1100" t="n">
        <v>45</v>
      </c>
      <c r="X29" s="1100" t="n"/>
      <c r="Y29" s="1100" t="n">
        <v>20</v>
      </c>
      <c r="Z29" s="1100" t="n">
        <v>16</v>
      </c>
      <c r="AA29" s="1100" t="n">
        <v>-73</v>
      </c>
    </row>
    <row r="30" s="510">
      <c r="B30" s="536" t="inlineStr">
        <is>
          <t>ASTM A694 F65</t>
        </is>
      </c>
      <c r="C30" s="1100" t="inlineStr">
        <is>
          <t>0,26-0,265</t>
        </is>
      </c>
      <c r="D30" s="1100" t="inlineStr">
        <is>
          <t>1,60-1,64</t>
        </is>
      </c>
      <c r="E30" s="1100" t="inlineStr">
        <is>
          <t>0,15-0,35</t>
        </is>
      </c>
      <c r="F30" s="1100" t="inlineStr">
        <is>
          <t>0,025-0,030</t>
        </is>
      </c>
      <c r="G30" s="1100" t="inlineStr">
        <is>
          <t>0,025-0,030</t>
        </is>
      </c>
      <c r="H30" s="1100" t="n"/>
      <c r="I30" s="1100" t="n"/>
      <c r="J30" s="1100" t="n"/>
      <c r="K30" s="1100" t="n"/>
      <c r="L30" s="479" t="n"/>
      <c r="M30" s="479" t="n"/>
      <c r="N30" s="479" t="n"/>
      <c r="O30" s="483" t="n"/>
      <c r="Q30" s="72" t="inlineStr">
        <is>
          <t>ASTM A694 F42</t>
        </is>
      </c>
      <c r="R30" s="1100" t="n">
        <v>42000</v>
      </c>
      <c r="S30" s="1100" t="n">
        <v>290</v>
      </c>
      <c r="T30" s="1100" t="n">
        <v>60000</v>
      </c>
      <c r="U30" s="1100" t="n">
        <v>415</v>
      </c>
      <c r="V30" s="1100" t="n">
        <v>20</v>
      </c>
      <c r="W30" s="1100" t="n"/>
      <c r="X30" s="1100" t="n"/>
      <c r="Y30" s="1100" t="n"/>
      <c r="Z30" s="1100" t="n"/>
      <c r="AA30" s="1100" t="n"/>
      <c r="AB30" s="514" t="n"/>
      <c r="AC30" s="514" t="n"/>
    </row>
    <row r="31" s="510">
      <c r="B31" s="536" t="inlineStr">
        <is>
          <t>ASTM A694 F70</t>
        </is>
      </c>
      <c r="C31" s="1100" t="n"/>
      <c r="D31" s="1100" t="n"/>
      <c r="E31" s="1100" t="n"/>
      <c r="F31" s="1100" t="n"/>
      <c r="G31" s="1100" t="n"/>
      <c r="H31" s="1100" t="n"/>
      <c r="I31" s="1100" t="n"/>
      <c r="J31" s="1100" t="n"/>
      <c r="K31" s="1100" t="n"/>
      <c r="L31" s="479" t="n"/>
      <c r="M31" s="479" t="n"/>
      <c r="N31" s="479" t="n"/>
      <c r="O31" s="483" t="n"/>
      <c r="Q31" s="72" t="inlineStr">
        <is>
          <t>ASTM A694 F46</t>
        </is>
      </c>
      <c r="R31" s="1100" t="n">
        <v>46000</v>
      </c>
      <c r="S31" s="1100" t="n">
        <v>315</v>
      </c>
      <c r="T31" s="1100" t="n">
        <v>60000</v>
      </c>
      <c r="U31" s="1100" t="n">
        <v>415</v>
      </c>
      <c r="V31" s="1100" t="n">
        <v>20</v>
      </c>
      <c r="W31" s="1100" t="n"/>
      <c r="X31" s="1100" t="n"/>
      <c r="Y31" s="1100" t="n"/>
      <c r="Z31" s="1100" t="n"/>
      <c r="AA31" s="1100" t="n"/>
      <c r="AB31" s="514" t="n"/>
      <c r="AC31" s="514" t="n"/>
    </row>
    <row r="32" s="510">
      <c r="B32" s="536" t="inlineStr">
        <is>
          <t>ASTM A182 F11 CL2</t>
        </is>
      </c>
      <c r="C32" s="1100" t="inlineStr">
        <is>
          <t>0,10-0,20</t>
        </is>
      </c>
      <c r="D32" s="1100" t="inlineStr">
        <is>
          <t>0,30-0,80</t>
        </is>
      </c>
      <c r="E32" s="514" t="inlineStr">
        <is>
          <t>0,50-1,00</t>
        </is>
      </c>
      <c r="F32" s="1100" t="n">
        <v>0.04</v>
      </c>
      <c r="G32" s="1100" t="n">
        <v>0.04</v>
      </c>
      <c r="H32" s="1100" t="inlineStr">
        <is>
          <t>1,00-1,50</t>
        </is>
      </c>
      <c r="I32" s="1100" t="n"/>
      <c r="J32" s="514" t="inlineStr">
        <is>
          <t>0,44-0,65</t>
        </is>
      </c>
      <c r="K32" s="1100" t="n"/>
      <c r="L32" s="479" t="n"/>
      <c r="M32" s="479" t="n"/>
      <c r="N32" s="479" t="n"/>
      <c r="O32" s="483" t="n"/>
      <c r="Q32" s="72" t="inlineStr">
        <is>
          <t>ASTM A694 F48</t>
        </is>
      </c>
      <c r="R32" s="1100" t="n">
        <v>48000</v>
      </c>
      <c r="S32" s="1100" t="n">
        <v>330</v>
      </c>
      <c r="T32" s="1100" t="n">
        <v>62000</v>
      </c>
      <c r="U32" s="1100" t="n">
        <v>425</v>
      </c>
      <c r="V32" s="1100" t="n">
        <v>20</v>
      </c>
      <c r="W32" s="1100" t="n"/>
      <c r="X32" s="1100" t="n"/>
      <c r="Y32" s="1100" t="n"/>
      <c r="Z32" s="1100" t="n"/>
      <c r="AA32" s="1100" t="n"/>
      <c r="AB32" s="514" t="n"/>
      <c r="AC32" s="514" t="n"/>
    </row>
    <row r="33" s="510">
      <c r="B33" s="536" t="inlineStr">
        <is>
          <t>ASTM A182 F22 CL3</t>
        </is>
      </c>
      <c r="C33" s="1100" t="inlineStr">
        <is>
          <t>0,05-0,15</t>
        </is>
      </c>
      <c r="D33" s="1100" t="inlineStr">
        <is>
          <t>0,30-0,60</t>
        </is>
      </c>
      <c r="E33" s="514" t="inlineStr">
        <is>
          <t>0,50 MAX</t>
        </is>
      </c>
      <c r="F33" s="1100" t="n">
        <v>0.04</v>
      </c>
      <c r="G33" s="1100" t="n">
        <v>0.04</v>
      </c>
      <c r="H33" s="1100" t="inlineStr">
        <is>
          <t>2,00-2,50</t>
        </is>
      </c>
      <c r="I33" s="1100" t="n"/>
      <c r="J33" s="514" t="inlineStr">
        <is>
          <t>0,87-1,13</t>
        </is>
      </c>
      <c r="K33" s="1100" t="n"/>
      <c r="L33" s="479" t="n"/>
      <c r="M33" s="479" t="n"/>
      <c r="N33" s="479" t="n"/>
      <c r="O33" s="483" t="n"/>
      <c r="Q33" s="72" t="inlineStr">
        <is>
          <t>ASTM A694 F50</t>
        </is>
      </c>
      <c r="R33" s="1100" t="n">
        <v>50000</v>
      </c>
      <c r="S33" s="1100" t="n">
        <v>345</v>
      </c>
      <c r="T33" s="1100" t="n">
        <v>64000</v>
      </c>
      <c r="U33" s="1100" t="n">
        <v>440</v>
      </c>
      <c r="V33" s="1100" t="n">
        <v>20</v>
      </c>
      <c r="W33" s="1100" t="n"/>
      <c r="X33" s="1100" t="n"/>
      <c r="Y33" s="1100" t="n"/>
      <c r="Z33" s="1100" t="n"/>
      <c r="AA33" s="1100" t="n"/>
      <c r="AB33" s="514" t="n"/>
      <c r="AC33" s="514" t="n"/>
    </row>
    <row r="34" s="510">
      <c r="B34" s="536" t="inlineStr">
        <is>
          <t>ASTM A182 F5</t>
        </is>
      </c>
      <c r="C34" s="1100" t="inlineStr">
        <is>
          <t>0,15 MAX</t>
        </is>
      </c>
      <c r="D34" s="1100" t="inlineStr">
        <is>
          <t>0,30-0,60</t>
        </is>
      </c>
      <c r="E34" s="514" t="inlineStr">
        <is>
          <t>0,50 MAX</t>
        </is>
      </c>
      <c r="F34" s="1100" t="n">
        <v>0.03</v>
      </c>
      <c r="G34" s="1100" t="n">
        <v>0.03</v>
      </c>
      <c r="H34" s="1100" t="inlineStr">
        <is>
          <t>4,00-6,00</t>
        </is>
      </c>
      <c r="I34" s="514" t="n">
        <v>0.5</v>
      </c>
      <c r="J34" s="514" t="inlineStr">
        <is>
          <t>0,44-0,65</t>
        </is>
      </c>
      <c r="K34" s="1100" t="n"/>
      <c r="L34" s="479" t="n"/>
      <c r="M34" s="479" t="n"/>
      <c r="N34" s="479" t="n"/>
      <c r="O34" s="483" t="n"/>
      <c r="Q34" s="72" t="inlineStr">
        <is>
          <t>ASTM A694 F52</t>
        </is>
      </c>
      <c r="R34" s="1100" t="n">
        <v>52000</v>
      </c>
      <c r="S34" s="1100" t="n">
        <v>360</v>
      </c>
      <c r="T34" s="1100" t="n">
        <v>66000</v>
      </c>
      <c r="U34" s="1100" t="n">
        <v>455</v>
      </c>
      <c r="V34" s="1100" t="n">
        <v>20</v>
      </c>
      <c r="W34" s="1100" t="n"/>
      <c r="X34" s="1100" t="n"/>
      <c r="Y34" s="1100" t="n"/>
      <c r="Z34" s="1100" t="n"/>
      <c r="AA34" s="1100" t="n"/>
    </row>
    <row r="35" ht="15" customHeight="1" s="510">
      <c r="B35" s="536" t="inlineStr">
        <is>
          <t>ASTM A182 F9</t>
        </is>
      </c>
      <c r="C35" s="1100" t="inlineStr">
        <is>
          <t>0,15 MAX</t>
        </is>
      </c>
      <c r="D35" s="1100" t="inlineStr">
        <is>
          <t>0,30-0,60</t>
        </is>
      </c>
      <c r="E35" s="514" t="inlineStr">
        <is>
          <t>0,50-1,00</t>
        </is>
      </c>
      <c r="F35" s="1100" t="n">
        <v>0.03</v>
      </c>
      <c r="G35" s="1100" t="n">
        <v>0.03</v>
      </c>
      <c r="H35" s="1100" t="inlineStr">
        <is>
          <t>8,0-10,0</t>
        </is>
      </c>
      <c r="I35" s="1100" t="n"/>
      <c r="J35" s="514" t="inlineStr">
        <is>
          <t>0,90-1,10</t>
        </is>
      </c>
      <c r="K35" s="1100" t="n"/>
      <c r="L35" s="479" t="n"/>
      <c r="M35" s="479" t="n"/>
      <c r="N35" s="479" t="n"/>
      <c r="O35" s="483" t="n"/>
      <c r="Q35" s="72" t="inlineStr">
        <is>
          <t>ASTM A694 F56</t>
        </is>
      </c>
      <c r="R35" s="1100" t="n">
        <v>56000</v>
      </c>
      <c r="S35" s="1100" t="n">
        <v>385</v>
      </c>
      <c r="T35" s="1100" t="n">
        <v>68000</v>
      </c>
      <c r="U35" s="1100" t="n">
        <v>470</v>
      </c>
      <c r="V35" s="1100" t="n">
        <v>20</v>
      </c>
      <c r="W35" s="1100" t="n"/>
      <c r="X35" s="1100" t="n"/>
      <c r="Y35" s="1100" t="n"/>
      <c r="Z35" s="1100" t="n"/>
      <c r="AA35" s="1100" t="n"/>
    </row>
    <row r="36" s="510">
      <c r="B36" s="484" t="inlineStr">
        <is>
          <t>ASTM A182 F304(1)</t>
        </is>
      </c>
      <c r="C36" s="1100" t="n">
        <v>0.08</v>
      </c>
      <c r="D36" s="1100" t="n">
        <v>2</v>
      </c>
      <c r="E36" s="1100" t="n">
        <v>1</v>
      </c>
      <c r="F36" s="1100" t="n">
        <v>0.03</v>
      </c>
      <c r="G36" s="1100" t="n">
        <v>0.045</v>
      </c>
      <c r="H36" s="1100" t="inlineStr">
        <is>
          <t>18,0-20,0</t>
        </is>
      </c>
      <c r="I36" s="1100" t="inlineStr">
        <is>
          <t>8,0-11,0</t>
        </is>
      </c>
      <c r="J36" s="1100" t="n"/>
      <c r="K36" s="1100" t="n"/>
      <c r="L36" s="479" t="n"/>
      <c r="M36" s="479" t="n"/>
      <c r="N36" s="479" t="n"/>
      <c r="O36" s="485" t="n"/>
      <c r="Q36" s="72" t="inlineStr">
        <is>
          <t>ASTM A694 F60</t>
        </is>
      </c>
      <c r="R36" s="1100" t="n">
        <v>60000</v>
      </c>
      <c r="S36" s="1100" t="n">
        <v>415</v>
      </c>
      <c r="T36" s="1100" t="n">
        <v>75000</v>
      </c>
      <c r="U36" s="1100" t="n">
        <v>515</v>
      </c>
      <c r="V36" s="1100" t="n">
        <v>20</v>
      </c>
      <c r="W36" s="1100" t="n"/>
      <c r="X36" s="1100" t="n"/>
      <c r="Y36" s="1100" t="n"/>
      <c r="Z36" s="1100" t="n"/>
      <c r="AA36" s="1100" t="n"/>
    </row>
    <row r="37" s="510">
      <c r="B37" s="484" t="inlineStr">
        <is>
          <t>ASTM A182 F304H</t>
        </is>
      </c>
      <c r="C37" s="1100" t="inlineStr">
        <is>
          <t>0,04-0,10</t>
        </is>
      </c>
      <c r="D37" s="1100" t="n">
        <v>2</v>
      </c>
      <c r="E37" s="1100" t="n">
        <v>1</v>
      </c>
      <c r="F37" s="1100" t="n">
        <v>0.03</v>
      </c>
      <c r="G37" s="1100" t="n">
        <v>0.045</v>
      </c>
      <c r="H37" s="1100" t="inlineStr">
        <is>
          <t>18,0-20,0</t>
        </is>
      </c>
      <c r="I37" s="1100" t="inlineStr">
        <is>
          <t>8,0-11,0</t>
        </is>
      </c>
      <c r="J37" s="1100" t="n"/>
      <c r="K37" s="1100" t="n"/>
      <c r="L37" s="479" t="n"/>
      <c r="M37" s="479" t="n"/>
      <c r="N37" s="479" t="n"/>
      <c r="O37" s="485" t="n"/>
      <c r="Q37" s="72" t="inlineStr">
        <is>
          <t>ASTM A694 F65</t>
        </is>
      </c>
      <c r="R37" s="1100" t="n">
        <v>65000</v>
      </c>
      <c r="S37" s="1100" t="n">
        <v>450</v>
      </c>
      <c r="T37" s="1100" t="n">
        <v>77000</v>
      </c>
      <c r="U37" s="1100" t="n">
        <v>530</v>
      </c>
      <c r="V37" s="1100" t="n">
        <v>20</v>
      </c>
      <c r="W37" s="1100" t="n"/>
      <c r="X37" s="1100" t="n"/>
      <c r="Y37" s="1100" t="n"/>
      <c r="Z37" s="1100" t="n"/>
      <c r="AA37" s="1100" t="n"/>
    </row>
    <row r="38" s="510">
      <c r="B38" s="484" t="inlineStr">
        <is>
          <t>ASTM A182 F304L(1)</t>
        </is>
      </c>
      <c r="C38" s="1100" t="n">
        <v>0.03</v>
      </c>
      <c r="D38" s="1100" t="n">
        <v>2</v>
      </c>
      <c r="E38" s="1100" t="n">
        <v>1</v>
      </c>
      <c r="F38" s="1100" t="n">
        <v>0.03</v>
      </c>
      <c r="G38" s="1100" t="n">
        <v>0.045</v>
      </c>
      <c r="H38" s="1100" t="inlineStr">
        <is>
          <t>18,0-20,0</t>
        </is>
      </c>
      <c r="I38" s="1100" t="inlineStr">
        <is>
          <t>8,0-13,0</t>
        </is>
      </c>
      <c r="J38" s="1100" t="n"/>
      <c r="K38" s="1100" t="n"/>
      <c r="L38" s="479" t="n"/>
      <c r="M38" s="479" t="n"/>
      <c r="N38" s="479" t="n"/>
      <c r="O38" s="485" t="n"/>
      <c r="Q38" s="72" t="inlineStr">
        <is>
          <t>ASTM A694 F70</t>
        </is>
      </c>
      <c r="R38" s="1100" t="n">
        <v>70000</v>
      </c>
      <c r="S38" s="1100" t="n">
        <v>485</v>
      </c>
      <c r="T38" s="1100" t="n">
        <v>82000</v>
      </c>
      <c r="U38" s="1100" t="n">
        <v>565</v>
      </c>
      <c r="V38" s="1100" t="n">
        <v>18</v>
      </c>
      <c r="W38" s="1100" t="n"/>
      <c r="X38" s="1100" t="n"/>
      <c r="Y38" s="1100" t="n"/>
      <c r="Z38" s="1100" t="n"/>
      <c r="AA38" s="1100" t="n"/>
    </row>
    <row r="39" s="510">
      <c r="B39" s="484" t="inlineStr">
        <is>
          <t>ASTM A182 F304N(2)</t>
        </is>
      </c>
      <c r="C39" s="1100" t="n">
        <v>0.08</v>
      </c>
      <c r="D39" s="1100" t="n">
        <v>2</v>
      </c>
      <c r="E39" s="1100" t="n">
        <v>1</v>
      </c>
      <c r="F39" s="1100" t="n">
        <v>0.03</v>
      </c>
      <c r="G39" s="1100" t="n">
        <v>0.045</v>
      </c>
      <c r="H39" s="1100" t="inlineStr">
        <is>
          <t>18,0-20,0</t>
        </is>
      </c>
      <c r="I39" s="1100" t="inlineStr">
        <is>
          <t>8,0-10,5</t>
        </is>
      </c>
      <c r="J39" s="1100" t="n"/>
      <c r="K39" s="1100" t="n"/>
      <c r="L39" s="479" t="n"/>
      <c r="M39" s="479" t="n"/>
      <c r="N39" s="479" t="n"/>
      <c r="O39" s="485" t="n"/>
      <c r="Q39" s="366" t="inlineStr">
        <is>
          <t>ASTM A182 F1</t>
        </is>
      </c>
      <c r="R39" s="375" t="n">
        <v>40000</v>
      </c>
      <c r="S39" s="375" t="n">
        <v>275</v>
      </c>
      <c r="T39" s="375" t="n">
        <v>70000</v>
      </c>
      <c r="U39" s="375" t="n">
        <v>485</v>
      </c>
      <c r="V39" s="375" t="n">
        <v>20</v>
      </c>
      <c r="W39" s="375" t="n">
        <v>30</v>
      </c>
      <c r="X39" s="375" t="inlineStr">
        <is>
          <t>143-192</t>
        </is>
      </c>
      <c r="Y39" s="1100" t="n"/>
      <c r="Z39" s="1100" t="n"/>
      <c r="AA39" s="1100" t="n"/>
    </row>
    <row r="40" s="510">
      <c r="B40" s="484" t="inlineStr">
        <is>
          <t>ASTM A182 F304LN(2)</t>
        </is>
      </c>
      <c r="C40" s="1100" t="n">
        <v>0.03</v>
      </c>
      <c r="D40" s="1100" t="n">
        <v>2</v>
      </c>
      <c r="E40" s="1100" t="n">
        <v>1</v>
      </c>
      <c r="F40" s="1100" t="n">
        <v>0.03</v>
      </c>
      <c r="G40" s="1100" t="n">
        <v>0.045</v>
      </c>
      <c r="H40" s="1100" t="inlineStr">
        <is>
          <t>18,0-20,0</t>
        </is>
      </c>
      <c r="I40" s="1100" t="inlineStr">
        <is>
          <t>8,0-10,5</t>
        </is>
      </c>
      <c r="J40" s="1100" t="n"/>
      <c r="K40" s="1100" t="n"/>
      <c r="L40" s="479" t="n"/>
      <c r="M40" s="479" t="n"/>
      <c r="N40" s="479" t="n"/>
      <c r="O40" s="485" t="n"/>
      <c r="Q40" s="366" t="inlineStr">
        <is>
          <t>ASTM A182 F2</t>
        </is>
      </c>
      <c r="R40" s="375" t="n">
        <v>40000</v>
      </c>
      <c r="S40" s="375" t="n">
        <v>275</v>
      </c>
      <c r="T40" s="375" t="n">
        <v>70000</v>
      </c>
      <c r="U40" s="375" t="n">
        <v>485</v>
      </c>
      <c r="V40" s="375" t="n">
        <v>20</v>
      </c>
      <c r="W40" s="375" t="n">
        <v>30</v>
      </c>
      <c r="X40" s="375" t="inlineStr">
        <is>
          <t>143-192</t>
        </is>
      </c>
      <c r="Y40" s="1100" t="n"/>
      <c r="Z40" s="1100" t="n"/>
      <c r="AA40" s="1100" t="n"/>
    </row>
    <row r="41" ht="15" customHeight="1" s="510">
      <c r="B41" s="484" t="inlineStr">
        <is>
          <t>ASTM A182 F309H</t>
        </is>
      </c>
      <c r="C41" s="1100" t="inlineStr">
        <is>
          <t>0,04-0,10</t>
        </is>
      </c>
      <c r="D41" s="1100" t="n">
        <v>2</v>
      </c>
      <c r="E41" s="1100" t="n">
        <v>1</v>
      </c>
      <c r="F41" s="1100" t="n">
        <v>0.03</v>
      </c>
      <c r="G41" s="1100" t="n">
        <v>0.045</v>
      </c>
      <c r="H41" s="1100" t="inlineStr">
        <is>
          <t>22,0-24,0</t>
        </is>
      </c>
      <c r="I41" s="1100" t="inlineStr">
        <is>
          <t>12,0-15,0</t>
        </is>
      </c>
      <c r="J41" s="1100" t="n"/>
      <c r="K41" s="1100" t="n"/>
      <c r="L41" s="479" t="n"/>
      <c r="M41" s="479" t="n"/>
      <c r="N41" s="479" t="n"/>
      <c r="O41" s="485" t="n"/>
      <c r="Q41" s="366" t="inlineStr">
        <is>
          <t>ASTM A182 F5</t>
        </is>
      </c>
      <c r="R41" s="375" t="n">
        <v>40000</v>
      </c>
      <c r="S41" s="375" t="n">
        <v>275</v>
      </c>
      <c r="T41" s="375" t="n">
        <v>70000</v>
      </c>
      <c r="U41" s="375" t="n">
        <v>485</v>
      </c>
      <c r="V41" s="375" t="n">
        <v>20</v>
      </c>
      <c r="W41" s="375" t="n">
        <v>35</v>
      </c>
      <c r="X41" s="375" t="inlineStr">
        <is>
          <t>143-217</t>
        </is>
      </c>
      <c r="Y41" s="1100" t="n"/>
      <c r="Z41" s="1100" t="n"/>
      <c r="AA41" s="1100" t="n"/>
    </row>
    <row r="42" s="510">
      <c r="B42" s="484" t="inlineStr">
        <is>
          <t>ASTM A182 F310</t>
        </is>
      </c>
      <c r="C42" s="1100" t="n">
        <v>0.25</v>
      </c>
      <c r="D42" s="1100" t="n">
        <v>2</v>
      </c>
      <c r="E42" s="1100" t="n">
        <v>1</v>
      </c>
      <c r="F42" s="1100" t="n">
        <v>0.03</v>
      </c>
      <c r="G42" s="1100" t="n">
        <v>0.045</v>
      </c>
      <c r="H42" s="1100" t="inlineStr">
        <is>
          <t>24,0-26,0</t>
        </is>
      </c>
      <c r="I42" s="1100" t="inlineStr">
        <is>
          <t>19,0-22,0</t>
        </is>
      </c>
      <c r="J42" s="1100" t="n"/>
      <c r="K42" s="1100" t="n"/>
      <c r="L42" s="479" t="n"/>
      <c r="M42" s="479" t="n"/>
      <c r="N42" s="479" t="n"/>
      <c r="O42" s="485" t="n"/>
      <c r="Q42" s="366" t="inlineStr">
        <is>
          <t>ASTM A182 F5a</t>
        </is>
      </c>
      <c r="R42" s="375" t="n">
        <v>65000</v>
      </c>
      <c r="S42" s="375" t="n">
        <v>450</v>
      </c>
      <c r="T42" s="375" t="n">
        <v>90000</v>
      </c>
      <c r="U42" s="375" t="n">
        <v>620</v>
      </c>
      <c r="V42" s="375" t="n">
        <v>22</v>
      </c>
      <c r="W42" s="375" t="n">
        <v>50</v>
      </c>
      <c r="X42" s="375" t="inlineStr">
        <is>
          <t>187-248</t>
        </is>
      </c>
      <c r="Y42" s="1100" t="n"/>
      <c r="Z42" s="1100" t="n"/>
      <c r="AA42" s="1100" t="n"/>
    </row>
    <row r="43" s="510">
      <c r="B43" s="484" t="inlineStr">
        <is>
          <t>ASTM A182 F310H</t>
        </is>
      </c>
      <c r="C43" s="1100" t="inlineStr">
        <is>
          <t>0,04-0,10</t>
        </is>
      </c>
      <c r="D43" s="1100" t="n">
        <v>2</v>
      </c>
      <c r="E43" s="1100" t="n">
        <v>1</v>
      </c>
      <c r="F43" s="1100" t="n">
        <v>0.03</v>
      </c>
      <c r="G43" s="1100" t="n">
        <v>0.045</v>
      </c>
      <c r="H43" s="1100" t="inlineStr">
        <is>
          <t>24,0-26,0</t>
        </is>
      </c>
      <c r="I43" s="1100" t="inlineStr">
        <is>
          <t>19,0-22,0</t>
        </is>
      </c>
      <c r="J43" s="1100" t="n"/>
      <c r="K43" s="1100" t="n"/>
      <c r="L43" s="479" t="n"/>
      <c r="M43" s="479" t="n"/>
      <c r="N43" s="479" t="n"/>
      <c r="O43" s="485" t="n"/>
      <c r="Q43" s="366" t="inlineStr">
        <is>
          <t>ASTM A182 F9</t>
        </is>
      </c>
      <c r="R43" s="375" t="n">
        <v>55000</v>
      </c>
      <c r="S43" s="375" t="n">
        <v>380</v>
      </c>
      <c r="T43" s="375" t="n">
        <v>85000</v>
      </c>
      <c r="U43" s="375" t="n">
        <v>585</v>
      </c>
      <c r="V43" s="375" t="n">
        <v>20</v>
      </c>
      <c r="W43" s="375" t="n">
        <v>40</v>
      </c>
      <c r="X43" s="375" t="inlineStr">
        <is>
          <t>179-217</t>
        </is>
      </c>
      <c r="Y43" s="1100" t="n"/>
      <c r="Z43" s="1100" t="n"/>
      <c r="AA43" s="1100" t="n"/>
    </row>
    <row r="44" ht="15" customHeight="1" s="510">
      <c r="B44" s="484" t="inlineStr">
        <is>
          <t>ASTM A182 F310MoLN</t>
        </is>
      </c>
      <c r="C44" s="1100" t="n">
        <v>0.03</v>
      </c>
      <c r="D44" s="1100" t="n">
        <v>2</v>
      </c>
      <c r="E44" s="1100" t="n">
        <v>0.4</v>
      </c>
      <c r="F44" s="1100" t="n">
        <v>0.015</v>
      </c>
      <c r="G44" s="1100" t="n">
        <v>0.03</v>
      </c>
      <c r="H44" s="1100" t="inlineStr">
        <is>
          <t>24,0-26,0</t>
        </is>
      </c>
      <c r="I44" s="1100" t="inlineStr">
        <is>
          <t>21,0-23,0</t>
        </is>
      </c>
      <c r="J44" s="1100" t="inlineStr">
        <is>
          <t>2,0-3,0</t>
        </is>
      </c>
      <c r="K44" s="1100" t="n"/>
      <c r="L44" s="479" t="n"/>
      <c r="M44" s="479" t="n"/>
      <c r="N44" s="479" t="inlineStr">
        <is>
          <t>N 0,10-0,16</t>
        </is>
      </c>
      <c r="O44" s="485" t="n"/>
      <c r="Q44" s="366" t="inlineStr">
        <is>
          <t>ASTM A182 F91</t>
        </is>
      </c>
      <c r="R44" s="1100" t="n">
        <v>60000</v>
      </c>
      <c r="S44" s="1100" t="n">
        <v>415</v>
      </c>
      <c r="T44" s="1100" t="n">
        <v>85000</v>
      </c>
      <c r="U44" s="1100" t="n">
        <v>585</v>
      </c>
      <c r="V44" s="1100" t="n">
        <v>20</v>
      </c>
      <c r="W44" s="1100" t="n">
        <v>40</v>
      </c>
      <c r="X44" s="1100" t="n">
        <v>248</v>
      </c>
      <c r="Y44" s="1100" t="n"/>
      <c r="Z44" s="1100" t="n"/>
      <c r="AA44" s="1100" t="n"/>
    </row>
    <row r="45" s="510">
      <c r="B45" s="484" t="inlineStr">
        <is>
          <t>ASTM A182 F316</t>
        </is>
      </c>
      <c r="C45" s="1100" t="n">
        <v>0.08</v>
      </c>
      <c r="D45" s="1100" t="n">
        <v>2</v>
      </c>
      <c r="E45" s="1100" t="n">
        <v>1</v>
      </c>
      <c r="F45" s="1100" t="n">
        <v>0.03</v>
      </c>
      <c r="G45" s="1100" t="n">
        <v>0.045</v>
      </c>
      <c r="H45" s="1100" t="inlineStr">
        <is>
          <t>16,0-18,0</t>
        </is>
      </c>
      <c r="I45" s="1100" t="inlineStr">
        <is>
          <t>10,0-14,0</t>
        </is>
      </c>
      <c r="J45" s="1100" t="inlineStr">
        <is>
          <t>2,0-3,0</t>
        </is>
      </c>
      <c r="K45" s="1100" t="n"/>
      <c r="L45" s="479" t="n"/>
      <c r="M45" s="479" t="n"/>
      <c r="N45" s="479" t="n"/>
      <c r="O45" s="485" t="n"/>
      <c r="Q45" s="366" t="inlineStr">
        <is>
          <t>ASTM A182 F92</t>
        </is>
      </c>
      <c r="R45" s="1100" t="n">
        <v>64000</v>
      </c>
      <c r="S45" s="1100" t="n">
        <v>440</v>
      </c>
      <c r="T45" s="1100" t="n">
        <v>90000</v>
      </c>
      <c r="U45" s="1100" t="n">
        <v>620</v>
      </c>
      <c r="V45" s="1100" t="n">
        <v>20</v>
      </c>
      <c r="W45" s="1100" t="n">
        <v>45</v>
      </c>
      <c r="X45" s="1100" t="n">
        <v>269</v>
      </c>
      <c r="Y45" s="1100" t="n"/>
      <c r="Z45" s="1100" t="n"/>
      <c r="AA45" s="1100" t="n"/>
    </row>
    <row r="46" s="510">
      <c r="B46" s="484" t="inlineStr">
        <is>
          <t>ASTM A182 F316H</t>
        </is>
      </c>
      <c r="C46" s="1100" t="inlineStr">
        <is>
          <t>0,04-0,10</t>
        </is>
      </c>
      <c r="D46" s="1100" t="n">
        <v>2</v>
      </c>
      <c r="E46" s="1100" t="n">
        <v>1</v>
      </c>
      <c r="F46" s="1100" t="n">
        <v>0.03</v>
      </c>
      <c r="G46" s="1100" t="n">
        <v>0.045</v>
      </c>
      <c r="H46" s="1100" t="inlineStr">
        <is>
          <t>16,0-18,0</t>
        </is>
      </c>
      <c r="I46" s="1100" t="inlineStr">
        <is>
          <t>10,0-14,0</t>
        </is>
      </c>
      <c r="J46" s="1100" t="inlineStr">
        <is>
          <t>2,0-3,0</t>
        </is>
      </c>
      <c r="K46" s="1100" t="n"/>
      <c r="L46" s="479" t="n"/>
      <c r="M46" s="479" t="n"/>
      <c r="N46" s="479" t="n"/>
      <c r="O46" s="485" t="n"/>
      <c r="Q46" s="366" t="inlineStr">
        <is>
          <t>ASTM A182 F911</t>
        </is>
      </c>
      <c r="R46" s="1100" t="n">
        <v>64000</v>
      </c>
      <c r="S46" s="1100" t="n">
        <v>440</v>
      </c>
      <c r="T46" s="1100" t="n">
        <v>90000</v>
      </c>
      <c r="U46" s="1100" t="n">
        <v>620</v>
      </c>
      <c r="V46" s="1100" t="n">
        <v>18</v>
      </c>
      <c r="W46" s="1100" t="n">
        <v>40</v>
      </c>
      <c r="X46" s="1100" t="inlineStr">
        <is>
          <t>187-248</t>
        </is>
      </c>
      <c r="Y46" s="1100" t="n"/>
      <c r="Z46" s="1100" t="n"/>
      <c r="AA46" s="1100" t="n"/>
    </row>
    <row r="47" s="510">
      <c r="B47" s="484" t="inlineStr">
        <is>
          <t>ASTM A182 F316L(1)</t>
        </is>
      </c>
      <c r="C47" s="1100" t="n">
        <v>0.03</v>
      </c>
      <c r="D47" s="1100" t="n">
        <v>2</v>
      </c>
      <c r="E47" s="1100" t="n">
        <v>1</v>
      </c>
      <c r="F47" s="1100" t="n">
        <v>0.03</v>
      </c>
      <c r="G47" s="1100" t="n">
        <v>0.045</v>
      </c>
      <c r="H47" s="1100" t="inlineStr">
        <is>
          <t>16,0-18,0</t>
        </is>
      </c>
      <c r="I47" s="1100" t="inlineStr">
        <is>
          <t>10,0-15,0</t>
        </is>
      </c>
      <c r="J47" s="1100" t="inlineStr">
        <is>
          <t>2,0-3,0</t>
        </is>
      </c>
      <c r="K47" s="1100" t="n"/>
      <c r="L47" s="479" t="n"/>
      <c r="M47" s="479" t="n"/>
      <c r="N47" s="479" t="n"/>
      <c r="O47" s="485" t="n"/>
      <c r="Q47" s="366" t="inlineStr">
        <is>
          <t>ASTM A182 F11 Class1</t>
        </is>
      </c>
      <c r="R47" s="1100" t="n">
        <v>30000</v>
      </c>
      <c r="S47" s="1100" t="n">
        <v>205</v>
      </c>
      <c r="T47" s="1100" t="n">
        <v>60000</v>
      </c>
      <c r="U47" s="1100" t="n">
        <v>415</v>
      </c>
      <c r="V47" s="1100" t="n">
        <v>20</v>
      </c>
      <c r="W47" s="1100" t="n">
        <v>45</v>
      </c>
      <c r="X47" s="1100" t="inlineStr">
        <is>
          <t>121-174</t>
        </is>
      </c>
      <c r="Y47" s="1100" t="n"/>
      <c r="Z47" s="1100" t="n"/>
      <c r="AA47" s="1100" t="n"/>
    </row>
    <row r="48" s="510">
      <c r="B48" s="484" t="inlineStr">
        <is>
          <t>ASTM A182 F316N(2)</t>
        </is>
      </c>
      <c r="C48" s="1100" t="n">
        <v>0.08</v>
      </c>
      <c r="D48" s="1100" t="n">
        <v>2</v>
      </c>
      <c r="E48" s="1100" t="n">
        <v>1</v>
      </c>
      <c r="F48" s="1100" t="n">
        <v>0.03</v>
      </c>
      <c r="G48" s="1100" t="n">
        <v>0.045</v>
      </c>
      <c r="H48" s="1100" t="inlineStr">
        <is>
          <t>16,0-18,0</t>
        </is>
      </c>
      <c r="I48" s="1100" t="inlineStr">
        <is>
          <t>11,0-14,0</t>
        </is>
      </c>
      <c r="J48" s="1100" t="inlineStr">
        <is>
          <t>2,0-3,0</t>
        </is>
      </c>
      <c r="K48" s="1100" t="n"/>
      <c r="L48" s="479" t="n"/>
      <c r="M48" s="479" t="n"/>
      <c r="N48" s="479" t="n"/>
      <c r="O48" s="485" t="n"/>
      <c r="Q48" s="366" t="inlineStr">
        <is>
          <t>ASTM A182 F11 Class2</t>
        </is>
      </c>
      <c r="R48" s="1100" t="n">
        <v>40000</v>
      </c>
      <c r="S48" s="1100" t="n">
        <v>275</v>
      </c>
      <c r="T48" s="1100" t="n">
        <v>70000</v>
      </c>
      <c r="U48" s="1100" t="n">
        <v>485</v>
      </c>
      <c r="V48" s="1100" t="n">
        <v>20</v>
      </c>
      <c r="W48" s="1100" t="n">
        <v>30</v>
      </c>
      <c r="X48" s="1100" t="inlineStr">
        <is>
          <t>143-207</t>
        </is>
      </c>
      <c r="Y48" s="1100" t="n"/>
      <c r="Z48" s="1100" t="n"/>
      <c r="AA48" s="1100" t="n"/>
    </row>
    <row r="49" s="510">
      <c r="B49" s="484" t="inlineStr">
        <is>
          <t>ASTM A182 F316LN(2)</t>
        </is>
      </c>
      <c r="C49" s="1100" t="n">
        <v>0.03</v>
      </c>
      <c r="D49" s="1100" t="n">
        <v>2</v>
      </c>
      <c r="E49" s="1100" t="n">
        <v>1</v>
      </c>
      <c r="F49" s="1100" t="n">
        <v>0.03</v>
      </c>
      <c r="G49" s="1100" t="n">
        <v>0.045</v>
      </c>
      <c r="H49" s="1100" t="inlineStr">
        <is>
          <t>16,0-18,0</t>
        </is>
      </c>
      <c r="I49" s="1100" t="inlineStr">
        <is>
          <t>11,0-14,0</t>
        </is>
      </c>
      <c r="J49" s="1100" t="inlineStr">
        <is>
          <t>2,0-3,0</t>
        </is>
      </c>
      <c r="K49" s="1100" t="n"/>
      <c r="L49" s="479" t="n"/>
      <c r="M49" s="479" t="n"/>
      <c r="N49" s="479" t="n"/>
      <c r="O49" s="485" t="n"/>
      <c r="Q49" s="366" t="inlineStr">
        <is>
          <t>ASTM A182 F11 Class3</t>
        </is>
      </c>
      <c r="R49" s="1100" t="n">
        <v>45000</v>
      </c>
      <c r="S49" s="1100" t="n">
        <v>310</v>
      </c>
      <c r="T49" s="1100" t="n">
        <v>75000</v>
      </c>
      <c r="U49" s="1100" t="n">
        <v>515</v>
      </c>
      <c r="V49" s="1100" t="n">
        <v>20</v>
      </c>
      <c r="W49" s="1100" t="n">
        <v>30</v>
      </c>
      <c r="X49" s="1100" t="inlineStr">
        <is>
          <t>156-207</t>
        </is>
      </c>
      <c r="Y49" s="1100" t="n"/>
      <c r="Z49" s="1100" t="n"/>
      <c r="AA49" s="1100" t="n"/>
    </row>
    <row r="50" s="510">
      <c r="B50" s="484" t="inlineStr">
        <is>
          <t>ASTM A182 F316Ti</t>
        </is>
      </c>
      <c r="C50" s="1100" t="n">
        <v>0.08</v>
      </c>
      <c r="D50" s="1100" t="n">
        <v>2</v>
      </c>
      <c r="E50" s="1100" t="n">
        <v>1</v>
      </c>
      <c r="F50" s="1100" t="n">
        <v>0.03</v>
      </c>
      <c r="G50" s="1100" t="n">
        <v>0.045</v>
      </c>
      <c r="H50" s="1100" t="inlineStr">
        <is>
          <t>16,0-18,0</t>
        </is>
      </c>
      <c r="I50" s="1100" t="inlineStr">
        <is>
          <t>10,0-14,0</t>
        </is>
      </c>
      <c r="J50" s="1100" t="inlineStr">
        <is>
          <t>2,0-3,0</t>
        </is>
      </c>
      <c r="K50" s="1100" t="n"/>
      <c r="L50" s="479" t="n"/>
      <c r="M50" s="479" t="n">
        <v>-3</v>
      </c>
      <c r="N50" s="479" t="inlineStr">
        <is>
          <t>N 0,10 max</t>
        </is>
      </c>
      <c r="O50" s="485" t="n"/>
      <c r="Q50" s="366" t="inlineStr">
        <is>
          <t>ASTM A182 F12 Class1</t>
        </is>
      </c>
      <c r="R50" s="1100" t="n">
        <v>32000</v>
      </c>
      <c r="S50" s="1100" t="n">
        <v>220</v>
      </c>
      <c r="T50" s="1100" t="n">
        <v>60000</v>
      </c>
      <c r="U50" s="1100" t="n">
        <v>415</v>
      </c>
      <c r="V50" s="1100" t="n">
        <v>20</v>
      </c>
      <c r="W50" s="1100" t="n">
        <v>45</v>
      </c>
      <c r="X50" s="1100" t="inlineStr">
        <is>
          <t>174-237</t>
        </is>
      </c>
      <c r="Y50" s="1100" t="n"/>
      <c r="Z50" s="1100" t="n"/>
      <c r="AA50" s="1100" t="n"/>
    </row>
    <row r="51" s="510">
      <c r="B51" s="484" t="inlineStr">
        <is>
          <t>ASTM A182 F317</t>
        </is>
      </c>
      <c r="C51" s="1100" t="n">
        <v>0.08</v>
      </c>
      <c r="D51" s="1100" t="n">
        <v>2</v>
      </c>
      <c r="E51" s="1100" t="n">
        <v>1</v>
      </c>
      <c r="F51" s="1100" t="n">
        <v>0.03</v>
      </c>
      <c r="G51" s="1100" t="n">
        <v>0.045</v>
      </c>
      <c r="H51" s="1100" t="inlineStr">
        <is>
          <t>18,0-20,0</t>
        </is>
      </c>
      <c r="I51" s="1100" t="inlineStr">
        <is>
          <t>11,0-15,0</t>
        </is>
      </c>
      <c r="J51" s="1100" t="inlineStr">
        <is>
          <t>3,0-4,0</t>
        </is>
      </c>
      <c r="K51" s="1100" t="n"/>
      <c r="L51" s="479" t="n"/>
      <c r="M51" s="479" t="n"/>
      <c r="N51" s="479" t="n"/>
      <c r="O51" s="485" t="n"/>
      <c r="Q51" s="366" t="inlineStr">
        <is>
          <t>ASTM A182 F12 Class2</t>
        </is>
      </c>
      <c r="R51" s="1100" t="n">
        <v>40000</v>
      </c>
      <c r="S51" s="1100" t="n">
        <v>275</v>
      </c>
      <c r="T51" s="1100" t="n">
        <v>70000</v>
      </c>
      <c r="U51" s="1100" t="n">
        <v>485</v>
      </c>
      <c r="V51" s="1100" t="n">
        <v>20</v>
      </c>
      <c r="W51" s="1100" t="n">
        <v>30</v>
      </c>
      <c r="X51" s="1100" t="n">
        <v>170</v>
      </c>
      <c r="Y51" s="1100" t="n"/>
      <c r="Z51" s="1100" t="n"/>
      <c r="AA51" s="1100" t="n"/>
    </row>
    <row r="52" s="510">
      <c r="B52" s="484" t="inlineStr">
        <is>
          <t>ASTM A182 F317L</t>
        </is>
      </c>
      <c r="C52" s="1100" t="n">
        <v>0.03</v>
      </c>
      <c r="D52" s="1100" t="n">
        <v>2</v>
      </c>
      <c r="E52" s="1100" t="n">
        <v>1</v>
      </c>
      <c r="F52" s="1100" t="n">
        <v>0.03</v>
      </c>
      <c r="G52" s="1100" t="n">
        <v>0.045</v>
      </c>
      <c r="H52" s="1100" t="inlineStr">
        <is>
          <t>18,0-20,0</t>
        </is>
      </c>
      <c r="I52" s="1100" t="inlineStr">
        <is>
          <t>11,0-15,0</t>
        </is>
      </c>
      <c r="J52" s="1100" t="inlineStr">
        <is>
          <t>3,0-4,0</t>
        </is>
      </c>
      <c r="K52" s="1100" t="n"/>
      <c r="L52" s="479" t="n"/>
      <c r="M52" s="479" t="n"/>
      <c r="N52" s="479" t="n"/>
      <c r="O52" s="485" t="n"/>
      <c r="Q52" s="366" t="inlineStr">
        <is>
          <t>ASTM A182 F21</t>
        </is>
      </c>
      <c r="R52" s="1100" t="n">
        <v>45000</v>
      </c>
      <c r="S52" s="1100" t="n">
        <v>310</v>
      </c>
      <c r="T52" s="1100" t="n">
        <v>75000</v>
      </c>
      <c r="U52" s="1100" t="n">
        <v>515</v>
      </c>
      <c r="V52" s="1100" t="n">
        <v>20</v>
      </c>
      <c r="W52" s="1100" t="n">
        <v>30</v>
      </c>
      <c r="X52" s="1100" t="inlineStr">
        <is>
          <t>156-207</t>
        </is>
      </c>
      <c r="Y52" s="1100" t="n"/>
      <c r="Z52" s="1100" t="n"/>
      <c r="AA52" s="1100" t="n"/>
    </row>
    <row r="53" s="510">
      <c r="B53" s="484" t="inlineStr">
        <is>
          <t>ASTM A182 F321</t>
        </is>
      </c>
      <c r="C53" s="1100" t="n">
        <v>0.08</v>
      </c>
      <c r="D53" s="1100" t="n">
        <v>2</v>
      </c>
      <c r="E53" s="1100" t="n">
        <v>1</v>
      </c>
      <c r="F53" s="1100" t="n">
        <v>0.03</v>
      </c>
      <c r="G53" s="1100" t="n">
        <v>0.045</v>
      </c>
      <c r="H53" s="1100" t="inlineStr">
        <is>
          <t>17,0-19,0</t>
        </is>
      </c>
      <c r="I53" s="1100" t="inlineStr">
        <is>
          <t>9,0-12,0</t>
        </is>
      </c>
      <c r="J53" s="1100" t="n"/>
      <c r="K53" s="1100" t="n"/>
      <c r="L53" s="479" t="n"/>
      <c r="M53" s="479" t="n">
        <v>-4</v>
      </c>
      <c r="N53" s="479" t="n"/>
      <c r="O53" s="485" t="n"/>
      <c r="Q53" s="366" t="inlineStr">
        <is>
          <t>ASTM A182 F3V and F 3VCb</t>
        </is>
      </c>
      <c r="R53" s="1100" t="n">
        <v>60000</v>
      </c>
      <c r="S53" s="1100" t="n">
        <v>415</v>
      </c>
      <c r="T53" s="1100" t="inlineStr">
        <is>
          <t>85000-110000</t>
        </is>
      </c>
      <c r="U53" s="1100" t="inlineStr">
        <is>
          <t>585-760</t>
        </is>
      </c>
      <c r="V53" s="1100" t="n">
        <v>18</v>
      </c>
      <c r="W53" s="1100" t="n">
        <v>45</v>
      </c>
      <c r="X53" s="1100" t="inlineStr">
        <is>
          <t>174-237</t>
        </is>
      </c>
      <c r="Y53" s="1100" t="n"/>
      <c r="Z53" s="1100" t="n"/>
      <c r="AA53" s="1100" t="n"/>
    </row>
    <row r="54" s="510">
      <c r="B54" s="484" t="inlineStr">
        <is>
          <t>ASTM A182 F321H</t>
        </is>
      </c>
      <c r="C54" s="1100" t="inlineStr">
        <is>
          <t>0,04-0,10</t>
        </is>
      </c>
      <c r="D54" s="1100" t="n">
        <v>2</v>
      </c>
      <c r="E54" s="1100" t="n">
        <v>1</v>
      </c>
      <c r="F54" s="1100" t="n">
        <v>0.03</v>
      </c>
      <c r="G54" s="1100" t="n">
        <v>0.045</v>
      </c>
      <c r="H54" s="1100" t="inlineStr">
        <is>
          <t>17,0-19,0</t>
        </is>
      </c>
      <c r="I54" s="1100" t="inlineStr">
        <is>
          <t>9,0-12,0</t>
        </is>
      </c>
      <c r="J54" s="1100" t="n"/>
      <c r="K54" s="1100" t="n"/>
      <c r="L54" s="479" t="n"/>
      <c r="M54" s="479" t="n">
        <v>-5</v>
      </c>
      <c r="N54" s="479" t="n"/>
      <c r="O54" s="485" t="n"/>
      <c r="Q54" s="366" t="inlineStr">
        <is>
          <t>ASTM A182 F22 Class1</t>
        </is>
      </c>
      <c r="R54" s="1100" t="n">
        <v>30000</v>
      </c>
      <c r="S54" s="1100" t="n">
        <v>205</v>
      </c>
      <c r="T54" s="1100" t="n">
        <v>60000</v>
      </c>
      <c r="U54" s="1100" t="n">
        <v>415</v>
      </c>
      <c r="V54" s="1100" t="n">
        <v>20</v>
      </c>
      <c r="W54" s="1100" t="n">
        <v>35</v>
      </c>
      <c r="X54" s="1100" t="n">
        <v>170</v>
      </c>
      <c r="Y54" s="1100" t="n"/>
      <c r="Z54" s="1100" t="n"/>
      <c r="AA54" s="1100" t="n"/>
    </row>
    <row r="55" s="510">
      <c r="B55" s="484" t="inlineStr">
        <is>
          <t>ASTM A182 F347</t>
        </is>
      </c>
      <c r="C55" s="1100" t="n">
        <v>0.08</v>
      </c>
      <c r="D55" s="1100" t="n">
        <v>2</v>
      </c>
      <c r="E55" s="1100" t="n">
        <v>1</v>
      </c>
      <c r="F55" s="1100" t="n">
        <v>0.03</v>
      </c>
      <c r="G55" s="1100" t="n">
        <v>0.045</v>
      </c>
      <c r="H55" s="1100" t="inlineStr">
        <is>
          <t>17,0-20,0</t>
        </is>
      </c>
      <c r="I55" s="1100" t="inlineStr">
        <is>
          <t>9,0-13,0</t>
        </is>
      </c>
      <c r="J55" s="1100" t="n"/>
      <c r="K55" s="1100" t="n"/>
      <c r="L55" s="479" t="n">
        <v>-6</v>
      </c>
      <c r="M55" s="479" t="n"/>
      <c r="N55" s="479" t="n"/>
      <c r="O55" s="485" t="n"/>
      <c r="Q55" s="366" t="inlineStr">
        <is>
          <t>ASTM A182 F22 Class3</t>
        </is>
      </c>
      <c r="R55" s="1100" t="n">
        <v>45000</v>
      </c>
      <c r="S55" s="1100" t="n">
        <v>310</v>
      </c>
      <c r="T55" s="1100" t="n">
        <v>75000</v>
      </c>
      <c r="U55" s="1100" t="n">
        <v>515</v>
      </c>
      <c r="V55" s="1100" t="n">
        <v>20</v>
      </c>
      <c r="W55" s="1100" t="n">
        <v>30</v>
      </c>
      <c r="X55" s="1100" t="inlineStr">
        <is>
          <t>156-207</t>
        </is>
      </c>
      <c r="Y55" s="1100" t="n"/>
      <c r="Z55" s="1100" t="n"/>
      <c r="AA55" s="1100" t="n"/>
    </row>
    <row r="56" s="510">
      <c r="B56" s="484" t="inlineStr">
        <is>
          <t>ASTM A182 F347H</t>
        </is>
      </c>
      <c r="C56" s="1100" t="inlineStr">
        <is>
          <t>0,04-0,10</t>
        </is>
      </c>
      <c r="D56" s="1100" t="n">
        <v>2</v>
      </c>
      <c r="E56" s="1100" t="n">
        <v>1</v>
      </c>
      <c r="F56" s="1100" t="n">
        <v>0.03</v>
      </c>
      <c r="G56" s="1100" t="n">
        <v>0.045</v>
      </c>
      <c r="H56" s="1100" t="inlineStr">
        <is>
          <t>17,0-20,0</t>
        </is>
      </c>
      <c r="I56" s="1100" t="inlineStr">
        <is>
          <t>9,0-13,0</t>
        </is>
      </c>
      <c r="J56" s="1100" t="n"/>
      <c r="K56" s="1100" t="n"/>
      <c r="L56" s="479" t="n">
        <v>-7</v>
      </c>
      <c r="M56" s="479" t="n"/>
      <c r="N56" s="479" t="n"/>
      <c r="O56" s="485" t="n"/>
      <c r="Q56" s="366" t="inlineStr">
        <is>
          <t>ASTM A182 F22V</t>
        </is>
      </c>
      <c r="R56" s="1100" t="n">
        <v>60000</v>
      </c>
      <c r="S56" s="1100" t="n">
        <v>415</v>
      </c>
      <c r="T56" s="1100" t="inlineStr">
        <is>
          <t>85000-110000</t>
        </is>
      </c>
      <c r="U56" s="1100" t="inlineStr">
        <is>
          <t>585-780</t>
        </is>
      </c>
      <c r="V56" s="1100" t="n">
        <v>18</v>
      </c>
      <c r="W56" s="1100" t="n">
        <v>45</v>
      </c>
      <c r="X56" s="1100" t="inlineStr">
        <is>
          <t>174-237</t>
        </is>
      </c>
      <c r="Y56" s="1100" t="n"/>
      <c r="Z56" s="1100" t="n"/>
      <c r="AA56" s="1100" t="n"/>
    </row>
    <row r="57" s="510">
      <c r="B57" s="484" t="inlineStr">
        <is>
          <t>ASTM A182 F348</t>
        </is>
      </c>
      <c r="C57" s="1100" t="n">
        <v>0.08</v>
      </c>
      <c r="D57" s="1100" t="n">
        <v>2</v>
      </c>
      <c r="E57" s="1100" t="n">
        <v>1</v>
      </c>
      <c r="F57" s="1100" t="n">
        <v>0.03</v>
      </c>
      <c r="G57" s="1100" t="n">
        <v>0.045</v>
      </c>
      <c r="H57" s="1100" t="inlineStr">
        <is>
          <t>17,0-20,0</t>
        </is>
      </c>
      <c r="I57" s="1100" t="inlineStr">
        <is>
          <t>9,0-13,0</t>
        </is>
      </c>
      <c r="J57" s="1100" t="n"/>
      <c r="K57" s="1100" t="n"/>
      <c r="L57" s="479" t="n">
        <v>-6</v>
      </c>
      <c r="M57" s="479" t="n"/>
      <c r="N57" s="479" t="n"/>
      <c r="O57" s="485" t="inlineStr">
        <is>
          <t>Co 0,20 / Ta 0,10</t>
        </is>
      </c>
      <c r="Q57" s="366" t="inlineStr">
        <is>
          <t>ASTM A182 FR</t>
        </is>
      </c>
      <c r="R57" s="1100" t="n">
        <v>46000</v>
      </c>
      <c r="S57" s="1100" t="n">
        <v>315</v>
      </c>
      <c r="T57" s="1100" t="n">
        <v>63000</v>
      </c>
      <c r="U57" s="1100" t="n">
        <v>435</v>
      </c>
      <c r="V57" s="1100" t="n">
        <v>25</v>
      </c>
      <c r="W57" s="1100" t="n">
        <v>38</v>
      </c>
      <c r="X57" s="1100" t="n">
        <v>197</v>
      </c>
      <c r="Y57" s="1100" t="n"/>
      <c r="Z57" s="1100" t="n"/>
      <c r="AA57" s="1100" t="n"/>
    </row>
    <row r="58" s="510">
      <c r="B58" s="486" t="inlineStr">
        <is>
          <t>ASTM A182 F348H</t>
        </is>
      </c>
      <c r="C58" s="543" t="inlineStr">
        <is>
          <t>0,04-0,10</t>
        </is>
      </c>
      <c r="D58" s="543" t="n">
        <v>2</v>
      </c>
      <c r="E58" s="543" t="n">
        <v>1</v>
      </c>
      <c r="F58" s="543" t="n">
        <v>0.03</v>
      </c>
      <c r="G58" s="543" t="n">
        <v>0.045</v>
      </c>
      <c r="H58" s="543" t="inlineStr">
        <is>
          <t>17,0-20,0</t>
        </is>
      </c>
      <c r="I58" s="543" t="inlineStr">
        <is>
          <t>9,0-13,0</t>
        </is>
      </c>
      <c r="J58" s="543" t="n"/>
      <c r="K58" s="543" t="n"/>
      <c r="L58" s="488" t="n">
        <v>-7</v>
      </c>
      <c r="M58" s="488" t="n"/>
      <c r="N58" s="488" t="n"/>
      <c r="O58" s="489" t="inlineStr">
        <is>
          <t>Co 0,20 / Ta 0,10</t>
        </is>
      </c>
      <c r="Q58" s="366" t="inlineStr">
        <is>
          <t>ASTM A182 F6a Class1</t>
        </is>
      </c>
      <c r="R58" s="1100" t="n">
        <v>40000</v>
      </c>
      <c r="S58" s="1100" t="n">
        <v>275</v>
      </c>
      <c r="T58" s="1100" t="n">
        <v>70000</v>
      </c>
      <c r="U58" s="1100" t="n">
        <v>485</v>
      </c>
      <c r="V58" s="1100" t="n">
        <v>18</v>
      </c>
      <c r="W58" s="1100" t="n">
        <v>35</v>
      </c>
      <c r="X58" s="1100" t="inlineStr">
        <is>
          <t>143-207</t>
        </is>
      </c>
      <c r="Y58" s="1100" t="n"/>
      <c r="Z58" s="1100" t="n"/>
      <c r="AA58" s="1100" t="n"/>
    </row>
    <row r="59" s="510">
      <c r="B59" s="448" t="n"/>
      <c r="C59" s="514" t="n"/>
      <c r="D59" s="514" t="n"/>
      <c r="E59" s="514" t="n"/>
      <c r="F59" s="514" t="n"/>
      <c r="G59" s="514" t="n"/>
      <c r="H59" s="514" t="n"/>
      <c r="I59" s="514" t="n"/>
      <c r="J59" s="514" t="n"/>
      <c r="K59" s="514" t="n"/>
      <c r="L59" s="448" t="n"/>
      <c r="M59" s="448" t="n"/>
      <c r="N59" s="448" t="n"/>
      <c r="Q59" s="366" t="inlineStr">
        <is>
          <t>ASTM A182 F6a Class2</t>
        </is>
      </c>
      <c r="R59" s="1100" t="n">
        <v>55000</v>
      </c>
      <c r="S59" s="1100" t="n">
        <v>380</v>
      </c>
      <c r="T59" s="1100" t="n">
        <v>85000</v>
      </c>
      <c r="U59" s="1100" t="n">
        <v>585</v>
      </c>
      <c r="V59" s="1100" t="n">
        <v>18</v>
      </c>
      <c r="W59" s="1100" t="n">
        <v>35</v>
      </c>
      <c r="X59" s="1100" t="inlineStr">
        <is>
          <t>167-229</t>
        </is>
      </c>
      <c r="Y59" s="1100" t="n"/>
      <c r="Z59" s="1100" t="n"/>
      <c r="AA59" s="1100" t="n"/>
    </row>
    <row r="60" s="510">
      <c r="B60" s="448" t="n"/>
      <c r="C60" s="514" t="n"/>
      <c r="D60" s="514" t="n"/>
      <c r="E60" s="514" t="n"/>
      <c r="F60" s="514" t="n"/>
      <c r="G60" s="514" t="n"/>
      <c r="H60" s="514" t="n"/>
      <c r="I60" s="514" t="n"/>
      <c r="J60" s="514" t="n"/>
      <c r="K60" s="514" t="n"/>
      <c r="L60" s="448" t="n"/>
      <c r="M60" s="448" t="n"/>
      <c r="N60" s="448" t="n"/>
      <c r="Q60" s="366" t="inlineStr">
        <is>
          <t>ASTM A182 F6a Class3</t>
        </is>
      </c>
      <c r="R60" s="1100" t="n">
        <v>85000</v>
      </c>
      <c r="S60" s="1100" t="n">
        <v>585</v>
      </c>
      <c r="T60" s="1100" t="n">
        <v>110000</v>
      </c>
      <c r="U60" s="1100" t="n">
        <v>760</v>
      </c>
      <c r="V60" s="1100" t="n">
        <v>15</v>
      </c>
      <c r="W60" s="1100" t="n">
        <v>35</v>
      </c>
      <c r="X60" s="1100" t="inlineStr">
        <is>
          <t>235-302</t>
        </is>
      </c>
      <c r="Y60" s="1100" t="n"/>
      <c r="Z60" s="1100" t="n"/>
      <c r="AA60" s="1100" t="n"/>
    </row>
    <row r="61" s="510">
      <c r="B61" s="448" t="n"/>
      <c r="C61" s="514" t="n"/>
      <c r="D61" s="514" t="n"/>
      <c r="F61" s="514" t="n"/>
      <c r="G61" s="514" t="n"/>
      <c r="H61" s="514" t="n"/>
      <c r="I61" s="514" t="n"/>
      <c r="J61" s="514" t="n"/>
      <c r="K61" s="514" t="n"/>
      <c r="L61" s="448" t="n"/>
      <c r="M61" s="448" t="n"/>
      <c r="N61" s="448" t="n"/>
      <c r="Q61" s="366" t="inlineStr">
        <is>
          <t>ASTM A182 F 6a Class4</t>
        </is>
      </c>
      <c r="R61" s="1100" t="n">
        <v>110000</v>
      </c>
      <c r="S61" s="1100" t="n">
        <v>760</v>
      </c>
      <c r="T61" s="1100" t="n">
        <v>130000</v>
      </c>
      <c r="U61" s="1100" t="n">
        <v>895</v>
      </c>
      <c r="V61" s="1100" t="n">
        <v>12</v>
      </c>
      <c r="W61" s="1100" t="n">
        <v>35</v>
      </c>
      <c r="X61" s="1100" t="inlineStr">
        <is>
          <t>263-321</t>
        </is>
      </c>
      <c r="Y61" s="1100" t="n"/>
      <c r="Z61" s="1100" t="n"/>
      <c r="AA61" s="1100" t="n"/>
    </row>
    <row r="62" s="510">
      <c r="B62" s="448" t="n"/>
      <c r="C62" s="514" t="n"/>
      <c r="D62" s="514" t="n"/>
      <c r="F62" s="514" t="n"/>
      <c r="G62" s="514" t="n"/>
      <c r="H62" s="514" t="n"/>
      <c r="I62" s="514" t="n"/>
      <c r="J62" s="514" t="n"/>
      <c r="K62" s="514" t="n"/>
      <c r="L62" s="448" t="n"/>
      <c r="M62" s="448" t="n"/>
      <c r="N62" s="448" t="n"/>
      <c r="Q62" s="366" t="inlineStr">
        <is>
          <t>ASTM A182 F6b</t>
        </is>
      </c>
      <c r="R62" s="1100" t="n">
        <v>90000</v>
      </c>
      <c r="S62" s="1100" t="n">
        <v>620</v>
      </c>
      <c r="T62" s="1100" t="inlineStr">
        <is>
          <t>110000-135000</t>
        </is>
      </c>
      <c r="U62" s="1100" t="inlineStr">
        <is>
          <t>760-930</t>
        </is>
      </c>
      <c r="V62" s="1100" t="n">
        <v>16</v>
      </c>
      <c r="W62" s="1100" t="n">
        <v>45</v>
      </c>
      <c r="X62" s="1100" t="inlineStr">
        <is>
          <t>235-285</t>
        </is>
      </c>
      <c r="Y62" s="1100" t="n"/>
      <c r="Z62" s="1100" t="n"/>
      <c r="AA62" s="1100" t="n"/>
    </row>
    <row r="63" s="510">
      <c r="B63" s="448" t="n"/>
      <c r="C63" s="448" t="n"/>
      <c r="D63" s="448" t="n"/>
      <c r="F63" s="448" t="n"/>
      <c r="G63" s="448" t="n"/>
      <c r="H63" s="448" t="n"/>
      <c r="I63" s="448" t="n"/>
      <c r="J63" s="448" t="n"/>
      <c r="K63" s="448" t="n"/>
      <c r="L63" s="448" t="n"/>
      <c r="Q63" s="366" t="inlineStr">
        <is>
          <t>ASTM A182 F6NM</t>
        </is>
      </c>
      <c r="R63" s="1100" t="n">
        <v>90000</v>
      </c>
      <c r="S63" s="1100" t="n">
        <v>620</v>
      </c>
      <c r="T63" s="1100" t="n">
        <v>115000</v>
      </c>
      <c r="U63" s="1100" t="n">
        <v>790</v>
      </c>
      <c r="V63" s="1100" t="n">
        <v>15</v>
      </c>
      <c r="W63" s="1100" t="n">
        <v>45</v>
      </c>
      <c r="X63" s="1100" t="n">
        <v>295</v>
      </c>
      <c r="Y63" s="1100" t="n"/>
      <c r="Z63" s="1100" t="n"/>
      <c r="AA63" s="1100" t="n"/>
    </row>
    <row r="64" s="510">
      <c r="B64" s="448" t="n"/>
      <c r="C64" s="448" t="n"/>
      <c r="D64" s="448" t="n"/>
      <c r="E64" s="448" t="n"/>
      <c r="F64" s="448" t="n"/>
      <c r="G64" s="448" t="n"/>
      <c r="H64" s="448" t="n"/>
      <c r="I64" s="448" t="n"/>
      <c r="J64" s="448" t="n"/>
      <c r="K64" s="448" t="n"/>
      <c r="L64" s="448" t="n"/>
      <c r="Q64" s="366" t="inlineStr">
        <is>
          <t>ASTM A182 FXM-27Cb</t>
        </is>
      </c>
      <c r="R64" s="1100" t="n">
        <v>35000</v>
      </c>
      <c r="S64" s="1100" t="n">
        <v>240</v>
      </c>
      <c r="T64" s="1100" t="n">
        <v>60000</v>
      </c>
      <c r="U64" s="1100" t="n">
        <v>415</v>
      </c>
      <c r="V64" s="1100" t="n">
        <v>20</v>
      </c>
      <c r="W64" s="1100" t="n">
        <v>45</v>
      </c>
      <c r="X64" s="1100" t="n">
        <v>190</v>
      </c>
      <c r="Y64" s="1100" t="n"/>
      <c r="Z64" s="1100" t="n"/>
      <c r="AA64" s="1100" t="n"/>
    </row>
    <row r="65" s="510">
      <c r="B65" s="448" t="n"/>
      <c r="C65" s="448" t="n"/>
      <c r="D65" s="448" t="n"/>
      <c r="E65" s="448" t="n"/>
      <c r="F65" s="448" t="n"/>
      <c r="G65" s="448" t="n"/>
      <c r="H65" s="448" t="n"/>
      <c r="I65" s="448" t="n"/>
      <c r="J65" s="448" t="n"/>
      <c r="K65" s="448" t="n"/>
      <c r="L65" s="448" t="n"/>
      <c r="Q65" s="366" t="inlineStr">
        <is>
          <t>ASTM A182 F429</t>
        </is>
      </c>
      <c r="R65" s="1100" t="n">
        <v>35000</v>
      </c>
      <c r="S65" s="1100" t="n">
        <v>240</v>
      </c>
      <c r="T65" s="1100" t="n">
        <v>60000</v>
      </c>
      <c r="U65" s="1100" t="n">
        <v>415</v>
      </c>
      <c r="V65" s="1100" t="n">
        <v>20</v>
      </c>
      <c r="W65" s="1100" t="n">
        <v>45</v>
      </c>
      <c r="X65" s="1100" t="n">
        <v>190</v>
      </c>
      <c r="Y65" s="1100" t="n"/>
      <c r="Z65" s="1100" t="n"/>
      <c r="AA65" s="1100" t="n"/>
    </row>
    <row r="66">
      <c r="B66" s="448" t="n"/>
      <c r="C66" s="448" t="n"/>
      <c r="D66" s="448" t="n"/>
      <c r="E66" s="448" t="n"/>
      <c r="F66" s="448" t="n"/>
      <c r="G66" s="448" t="n"/>
      <c r="H66" s="448" t="n"/>
      <c r="I66" s="448" t="n"/>
      <c r="J66" s="448" t="n"/>
      <c r="K66" s="448" t="n"/>
      <c r="L66" s="448" t="n"/>
      <c r="Q66" s="366" t="inlineStr">
        <is>
          <t>ASTM A182 F430</t>
        </is>
      </c>
      <c r="R66" s="1100" t="n">
        <v>35000</v>
      </c>
      <c r="S66" s="1100" t="n">
        <v>240</v>
      </c>
      <c r="T66" s="1100" t="n">
        <v>60000</v>
      </c>
      <c r="U66" s="1100" t="n">
        <v>415</v>
      </c>
      <c r="V66" s="1100" t="n">
        <v>20</v>
      </c>
      <c r="W66" s="1100" t="n">
        <v>45</v>
      </c>
      <c r="X66" s="1100" t="n">
        <v>190</v>
      </c>
      <c r="Y66" s="1100" t="n"/>
      <c r="Z66" s="1100" t="n"/>
      <c r="AA66" s="1100" t="n"/>
    </row>
    <row r="67">
      <c r="B67" s="448" t="n"/>
      <c r="C67" s="448" t="n"/>
      <c r="D67" s="448" t="n"/>
      <c r="E67" s="448" t="n"/>
      <c r="F67" s="448" t="n"/>
      <c r="G67" s="448" t="n"/>
      <c r="H67" s="448" t="n"/>
      <c r="I67" s="448" t="n"/>
      <c r="J67" s="448" t="n"/>
      <c r="K67" s="448" t="n"/>
      <c r="L67" s="448" t="n"/>
      <c r="Q67" s="366" t="inlineStr">
        <is>
          <t>ASTM A182 F304</t>
        </is>
      </c>
      <c r="R67" s="1100" t="n">
        <v>30000</v>
      </c>
      <c r="S67" s="1100" t="n">
        <v>205</v>
      </c>
      <c r="T67" s="1100" t="n">
        <v>75000</v>
      </c>
      <c r="U67" s="1100" t="n">
        <v>515</v>
      </c>
      <c r="V67" s="1100" t="n">
        <v>30</v>
      </c>
      <c r="W67" s="1100" t="n">
        <v>50</v>
      </c>
      <c r="X67" s="1100" t="n"/>
      <c r="Y67" s="1100" t="n"/>
      <c r="Z67" s="1100" t="n"/>
      <c r="AA67" s="1100" t="n"/>
    </row>
    <row r="68">
      <c r="B68" s="448" t="n"/>
      <c r="C68" s="448" t="n"/>
      <c r="D68" s="448" t="n"/>
      <c r="E68" s="448" t="n"/>
      <c r="F68" s="448" t="n"/>
      <c r="G68" s="448" t="n"/>
      <c r="H68" s="448" t="n"/>
      <c r="I68" s="448" t="n"/>
      <c r="J68" s="448" t="n"/>
      <c r="K68" s="448" t="n"/>
      <c r="L68" s="448" t="n"/>
      <c r="Q68" s="366" t="inlineStr">
        <is>
          <t>ASTM A182 F304H</t>
        </is>
      </c>
      <c r="R68" s="1100" t="n">
        <v>30000</v>
      </c>
      <c r="S68" s="1100" t="n">
        <v>205</v>
      </c>
      <c r="T68" s="1100" t="n">
        <v>75000</v>
      </c>
      <c r="U68" s="1100" t="n">
        <v>515</v>
      </c>
      <c r="V68" s="1100" t="n">
        <v>30</v>
      </c>
      <c r="W68" s="1100" t="n">
        <v>50</v>
      </c>
      <c r="X68" s="1100" t="n"/>
      <c r="Y68" s="1100" t="n"/>
      <c r="Z68" s="1100" t="n"/>
      <c r="AA68" s="1100" t="n"/>
    </row>
    <row r="69">
      <c r="B69" s="448" t="n"/>
      <c r="C69" s="448" t="n"/>
      <c r="D69" s="448" t="n"/>
      <c r="E69" s="448" t="n"/>
      <c r="F69" s="448" t="n"/>
      <c r="G69" s="448" t="n"/>
      <c r="H69" s="448" t="n"/>
      <c r="I69" s="448" t="n"/>
      <c r="J69" s="448" t="n"/>
      <c r="K69" s="448" t="n"/>
      <c r="L69" s="448" t="n"/>
      <c r="Q69" s="366" t="inlineStr">
        <is>
          <t>ASTM A182 F304L</t>
        </is>
      </c>
      <c r="R69" s="1100" t="n">
        <v>25000</v>
      </c>
      <c r="S69" s="1100" t="n">
        <v>170</v>
      </c>
      <c r="T69" s="1100" t="n">
        <v>70000</v>
      </c>
      <c r="U69" s="1100" t="n">
        <v>485</v>
      </c>
      <c r="V69" s="1100" t="n">
        <v>30</v>
      </c>
      <c r="W69" s="1100" t="n">
        <v>50</v>
      </c>
      <c r="X69" s="1100" t="n"/>
      <c r="Y69" s="1100" t="n"/>
      <c r="Z69" s="1100" t="n"/>
      <c r="AA69" s="1100" t="n"/>
    </row>
    <row r="70" ht="17.25" customHeight="1" s="510">
      <c r="B70" s="498" t="n"/>
      <c r="Q70" s="366" t="inlineStr">
        <is>
          <t>ASTM A182 F304N</t>
        </is>
      </c>
      <c r="R70" s="1100" t="n">
        <v>35000</v>
      </c>
      <c r="S70" s="1100" t="n">
        <v>240</v>
      </c>
      <c r="T70" s="1100" t="n">
        <v>80000</v>
      </c>
      <c r="U70" s="1100" t="n">
        <v>550</v>
      </c>
      <c r="V70" s="1100" t="n">
        <v>30</v>
      </c>
      <c r="W70" s="1100" t="n">
        <v>50</v>
      </c>
      <c r="X70" s="1100" t="n"/>
      <c r="Y70" s="1100" t="n"/>
      <c r="Z70" s="1100" t="n"/>
      <c r="AA70" s="1100" t="n"/>
    </row>
    <row r="71" s="510">
      <c r="Q71" s="366" t="inlineStr">
        <is>
          <t>ASTM A182 F304LN</t>
        </is>
      </c>
      <c r="R71" s="1100" t="n">
        <v>30000</v>
      </c>
      <c r="S71" s="1100" t="n">
        <v>205</v>
      </c>
      <c r="T71" s="1100" t="n">
        <v>75000</v>
      </c>
      <c r="U71" s="1100" t="n">
        <v>515</v>
      </c>
      <c r="V71" s="1100" t="n">
        <v>30</v>
      </c>
      <c r="W71" s="1100" t="n">
        <v>50</v>
      </c>
      <c r="X71" s="1100" t="n"/>
      <c r="Y71" s="1100" t="n"/>
      <c r="Z71" s="1100" t="n"/>
      <c r="AA71" s="1100" t="n"/>
    </row>
    <row r="72" s="510">
      <c r="Q72" s="366" t="inlineStr">
        <is>
          <t>ASTM A182 F309H</t>
        </is>
      </c>
      <c r="R72" s="1100" t="n">
        <v>30000</v>
      </c>
      <c r="S72" s="1100" t="n">
        <v>205</v>
      </c>
      <c r="T72" s="1100" t="n">
        <v>75000</v>
      </c>
      <c r="U72" s="1100" t="n">
        <v>515</v>
      </c>
      <c r="V72" s="1100" t="n">
        <v>30</v>
      </c>
      <c r="W72" s="1100" t="n">
        <v>50</v>
      </c>
      <c r="X72" s="1100" t="n"/>
      <c r="Y72" s="1100" t="n"/>
      <c r="Z72" s="1100" t="n"/>
      <c r="AA72" s="1100" t="n"/>
    </row>
    <row r="73" s="510">
      <c r="Q73" s="366" t="inlineStr">
        <is>
          <t>ASTM A182 F310</t>
        </is>
      </c>
      <c r="R73" s="1100" t="n">
        <v>37000</v>
      </c>
      <c r="S73" s="1100" t="n">
        <v>255</v>
      </c>
      <c r="T73" s="1100" t="n">
        <v>75000</v>
      </c>
      <c r="U73" s="1100" t="n">
        <v>515</v>
      </c>
      <c r="V73" s="1100" t="n">
        <v>30</v>
      </c>
      <c r="W73" s="1100" t="n">
        <v>50</v>
      </c>
      <c r="X73" s="1100" t="n"/>
      <c r="Y73" s="1100" t="n"/>
      <c r="Z73" s="1100" t="n"/>
      <c r="AA73" s="1100" t="n"/>
    </row>
    <row r="74" s="510">
      <c r="Q74" s="366" t="inlineStr">
        <is>
          <t>ASTM A182 F310MoLn</t>
        </is>
      </c>
      <c r="R74" s="1100" t="n">
        <v>30000</v>
      </c>
      <c r="S74" s="1100" t="n">
        <v>205</v>
      </c>
      <c r="T74" s="1100" t="n">
        <v>78000</v>
      </c>
      <c r="U74" s="1100" t="n">
        <v>540</v>
      </c>
      <c r="V74" s="1100" t="n">
        <v>25</v>
      </c>
      <c r="W74" s="1100" t="n">
        <v>40</v>
      </c>
      <c r="X74" s="1100" t="n"/>
      <c r="Y74" s="1100" t="n"/>
      <c r="Z74" s="1100" t="n"/>
      <c r="AA74" s="1100" t="n"/>
    </row>
    <row r="75" s="510">
      <c r="Q75" s="366" t="inlineStr">
        <is>
          <t>ASTM A182 F310H</t>
        </is>
      </c>
      <c r="R75" s="1100" t="n">
        <v>30000</v>
      </c>
      <c r="S75" s="1100" t="n">
        <v>205</v>
      </c>
      <c r="T75" s="1100" t="n">
        <v>75000</v>
      </c>
      <c r="U75" s="1100" t="n">
        <v>515</v>
      </c>
      <c r="V75" s="1100" t="n">
        <v>30</v>
      </c>
      <c r="W75" s="1100" t="n">
        <v>50</v>
      </c>
      <c r="X75" s="1100" t="n"/>
      <c r="Y75" s="1100" t="n"/>
      <c r="Z75" s="1100" t="n"/>
      <c r="AA75" s="1100" t="n"/>
    </row>
    <row r="76" s="510">
      <c r="Q76" s="366" t="inlineStr">
        <is>
          <t>ASTM A182 F316</t>
        </is>
      </c>
      <c r="R76" s="1100" t="n">
        <v>30000</v>
      </c>
      <c r="S76" s="1100" t="n">
        <v>205</v>
      </c>
      <c r="T76" s="1100" t="n">
        <v>75000</v>
      </c>
      <c r="U76" s="1100" t="n">
        <v>515</v>
      </c>
      <c r="V76" s="1100" t="n">
        <v>30</v>
      </c>
      <c r="W76" s="1100" t="n">
        <v>50</v>
      </c>
      <c r="X76" s="1100" t="n"/>
      <c r="Y76" s="1100" t="n"/>
      <c r="Z76" s="1100" t="n"/>
      <c r="AA76" s="1100" t="n"/>
    </row>
    <row r="77" s="510">
      <c r="Q77" s="366" t="inlineStr">
        <is>
          <t>ASTM A182 F316H</t>
        </is>
      </c>
      <c r="R77" s="1100" t="n">
        <v>25000</v>
      </c>
      <c r="S77" s="1100" t="n">
        <v>170</v>
      </c>
      <c r="T77" s="1100" t="n">
        <v>75000</v>
      </c>
      <c r="U77" s="1100" t="n">
        <v>515</v>
      </c>
      <c r="V77" s="1100" t="n">
        <v>30</v>
      </c>
      <c r="W77" s="1100" t="n">
        <v>50</v>
      </c>
      <c r="X77" s="1100" t="n"/>
      <c r="Y77" s="1100" t="n"/>
      <c r="Z77" s="1100" t="n"/>
      <c r="AA77" s="1100" t="n"/>
    </row>
    <row r="78" ht="15" customHeight="1" s="510">
      <c r="Q78" s="366" t="inlineStr">
        <is>
          <t>ASTM A182 F316L</t>
        </is>
      </c>
      <c r="R78" s="1100" t="n">
        <v>35000</v>
      </c>
      <c r="S78" s="1100" t="n">
        <v>240</v>
      </c>
      <c r="T78" s="1100" t="n">
        <v>70000</v>
      </c>
      <c r="U78" s="1100" t="n">
        <v>485</v>
      </c>
      <c r="V78" s="1100" t="n">
        <v>30</v>
      </c>
      <c r="W78" s="1100" t="n">
        <v>50</v>
      </c>
      <c r="X78" s="1100" t="n"/>
      <c r="Y78" s="1100" t="n"/>
      <c r="Z78" s="1100" t="n"/>
      <c r="AA78" s="1100" t="n"/>
    </row>
    <row r="79" s="510">
      <c r="Q79" s="366" t="inlineStr">
        <is>
          <t>ASTM A182 F316N</t>
        </is>
      </c>
      <c r="R79" s="1100" t="n">
        <v>30000</v>
      </c>
      <c r="S79" s="1100" t="n">
        <v>205</v>
      </c>
      <c r="T79" s="1100" t="n">
        <v>80000</v>
      </c>
      <c r="U79" s="1100" t="n">
        <v>550</v>
      </c>
      <c r="V79" s="1100" t="n">
        <v>30</v>
      </c>
      <c r="W79" s="1100" t="n">
        <v>50</v>
      </c>
      <c r="X79" s="1100" t="n"/>
      <c r="Y79" s="1100" t="n"/>
      <c r="Z79" s="1100" t="n"/>
      <c r="AA79" s="1100" t="n"/>
    </row>
    <row r="80" s="510">
      <c r="Q80" s="366" t="inlineStr">
        <is>
          <t>ASTM A182 F316LN</t>
        </is>
      </c>
      <c r="R80" s="1100" t="n">
        <v>30000</v>
      </c>
      <c r="S80" s="1100" t="n">
        <v>205</v>
      </c>
      <c r="T80" s="1100" t="n">
        <v>75000</v>
      </c>
      <c r="U80" s="1100" t="n">
        <v>515</v>
      </c>
      <c r="V80" s="1100" t="n">
        <v>30</v>
      </c>
      <c r="W80" s="1100" t="n">
        <v>50</v>
      </c>
      <c r="X80" s="1100" t="n"/>
      <c r="Y80" s="1100" t="n"/>
      <c r="Z80" s="1100" t="n"/>
      <c r="AA80" s="1100" t="n"/>
    </row>
    <row r="81" s="510">
      <c r="Q81" s="366" t="inlineStr">
        <is>
          <t>ASTM A182 F317</t>
        </is>
      </c>
      <c r="R81" s="1100" t="n">
        <v>25000</v>
      </c>
      <c r="S81" s="1100" t="n">
        <v>170</v>
      </c>
      <c r="T81" s="1100" t="n">
        <v>75000</v>
      </c>
      <c r="U81" s="1100" t="n">
        <v>515</v>
      </c>
      <c r="V81" s="1100" t="n">
        <v>30</v>
      </c>
      <c r="W81" s="1100" t="n">
        <v>50</v>
      </c>
      <c r="X81" s="1100" t="n"/>
      <c r="Y81" s="1100" t="n"/>
      <c r="Z81" s="1100" t="n"/>
      <c r="AA81" s="1100" t="n"/>
    </row>
    <row r="82" s="510">
      <c r="Q82" s="366" t="inlineStr">
        <is>
          <t>ASTM A182 F317L</t>
        </is>
      </c>
      <c r="R82" s="1100" t="n">
        <v>30000</v>
      </c>
      <c r="S82" s="1100" t="n">
        <v>205</v>
      </c>
      <c r="T82" s="1100" t="n">
        <v>70000</v>
      </c>
      <c r="U82" s="1100" t="n">
        <v>485</v>
      </c>
      <c r="V82" s="1100" t="n">
        <v>30</v>
      </c>
      <c r="W82" s="1100" t="n">
        <v>50</v>
      </c>
      <c r="X82" s="1100" t="n"/>
      <c r="Y82" s="1100" t="n"/>
      <c r="Z82" s="1100" t="n"/>
      <c r="AA82" s="1100" t="n"/>
    </row>
    <row r="83" s="510">
      <c r="Q83" s="366" t="inlineStr">
        <is>
          <t>ASTM A182 F347</t>
        </is>
      </c>
      <c r="R83" s="1100" t="n">
        <v>30000</v>
      </c>
      <c r="S83" s="1100" t="n">
        <v>205</v>
      </c>
      <c r="T83" s="1100" t="n">
        <v>75000</v>
      </c>
      <c r="U83" s="1100" t="n">
        <v>515</v>
      </c>
      <c r="V83" s="1100" t="n">
        <v>30</v>
      </c>
      <c r="W83" s="1100" t="n">
        <v>50</v>
      </c>
      <c r="X83" s="1100" t="n"/>
      <c r="Y83" s="1100" t="n"/>
      <c r="Z83" s="1100" t="n"/>
      <c r="AA83" s="1100" t="n"/>
    </row>
    <row r="84" s="510">
      <c r="Q84" s="366" t="inlineStr">
        <is>
          <t>ASTM A182 F347H</t>
        </is>
      </c>
      <c r="R84" s="1100" t="n">
        <v>30000</v>
      </c>
      <c r="S84" s="1100" t="n">
        <v>205</v>
      </c>
      <c r="T84" s="1100" t="n">
        <v>75000</v>
      </c>
      <c r="U84" s="1100" t="n">
        <v>515</v>
      </c>
      <c r="V84" s="1100" t="n">
        <v>30</v>
      </c>
      <c r="W84" s="1100" t="n">
        <v>50</v>
      </c>
      <c r="X84" s="1100" t="n"/>
      <c r="Y84" s="1100" t="n"/>
      <c r="Z84" s="1100" t="n"/>
      <c r="AA84" s="1100" t="n"/>
    </row>
    <row r="85" s="510">
      <c r="Q85" s="366" t="inlineStr">
        <is>
          <t>ASTM A182 F348</t>
        </is>
      </c>
      <c r="R85" s="1100" t="n">
        <v>30000</v>
      </c>
      <c r="S85" s="1100" t="n">
        <v>205</v>
      </c>
      <c r="T85" s="1100" t="n">
        <v>75000</v>
      </c>
      <c r="U85" s="1100" t="n">
        <v>515</v>
      </c>
      <c r="V85" s="1100" t="n">
        <v>30</v>
      </c>
      <c r="W85" s="1100" t="n">
        <v>50</v>
      </c>
      <c r="X85" s="1100" t="n"/>
      <c r="Y85" s="1100" t="n"/>
      <c r="Z85" s="1100" t="n"/>
      <c r="AA85" s="1100" t="n"/>
    </row>
    <row r="86" s="510">
      <c r="Q86" s="366" t="inlineStr">
        <is>
          <t>ASTM A182 F348H</t>
        </is>
      </c>
      <c r="R86" s="1100" t="n">
        <v>30000</v>
      </c>
      <c r="S86" s="1100" t="n">
        <v>205</v>
      </c>
      <c r="T86" s="1100" t="n">
        <v>75000</v>
      </c>
      <c r="U86" s="1100" t="n">
        <v>515</v>
      </c>
      <c r="V86" s="1100" t="n">
        <v>30</v>
      </c>
      <c r="W86" s="1100" t="n">
        <v>50</v>
      </c>
      <c r="X86" s="1100" t="n"/>
      <c r="Y86" s="1100" t="n"/>
      <c r="Z86" s="1100" t="n"/>
      <c r="AA86" s="1100" t="n"/>
    </row>
    <row r="87" s="510">
      <c r="Q87" s="366" t="inlineStr">
        <is>
          <t>ASTM A182 F321</t>
        </is>
      </c>
      <c r="R87" s="1100" t="n">
        <v>30000</v>
      </c>
      <c r="S87" s="1100" t="n">
        <v>205</v>
      </c>
      <c r="T87" s="1100" t="n">
        <v>75000</v>
      </c>
      <c r="U87" s="1100" t="n">
        <v>515</v>
      </c>
      <c r="V87" s="1100" t="n">
        <v>30</v>
      </c>
      <c r="W87" s="1100" t="n">
        <v>50</v>
      </c>
      <c r="X87" s="1100" t="n"/>
      <c r="Y87" s="1100" t="n"/>
      <c r="Z87" s="1100" t="n"/>
      <c r="AA87" s="1100" t="n"/>
    </row>
    <row r="88" s="510">
      <c r="Q88" s="366" t="inlineStr">
        <is>
          <t>ASTM A182 F321H</t>
        </is>
      </c>
      <c r="R88" s="1100" t="n">
        <v>30000</v>
      </c>
      <c r="S88" s="1100" t="n">
        <v>205</v>
      </c>
      <c r="T88" s="1100" t="n">
        <v>75000</v>
      </c>
      <c r="U88" s="1100" t="n">
        <v>515</v>
      </c>
      <c r="V88" s="1100" t="n">
        <v>30</v>
      </c>
      <c r="W88" s="1100" t="n">
        <v>50</v>
      </c>
      <c r="X88" s="1100" t="n"/>
      <c r="Y88" s="1100" t="n"/>
      <c r="Z88" s="1100" t="n"/>
      <c r="AA88" s="1100" t="n"/>
    </row>
    <row r="89" s="510">
      <c r="Q89" s="366" t="inlineStr">
        <is>
          <t>ASTM A182 FXM-11</t>
        </is>
      </c>
      <c r="R89" s="1100" t="n">
        <v>50000</v>
      </c>
      <c r="S89" s="1100" t="n">
        <v>345</v>
      </c>
      <c r="T89" s="1100" t="n">
        <v>90000</v>
      </c>
      <c r="U89" s="1100" t="n">
        <v>620</v>
      </c>
      <c r="V89" s="1100" t="n">
        <v>45</v>
      </c>
      <c r="W89" s="1100" t="n">
        <v>60</v>
      </c>
      <c r="X89" s="1100" t="n"/>
      <c r="Y89" s="1100" t="n"/>
      <c r="Z89" s="1100" t="n"/>
      <c r="AA89" s="1100" t="n"/>
    </row>
    <row r="90">
      <c r="Q90" s="366" t="inlineStr">
        <is>
          <t>ASTM A182 FXM-19</t>
        </is>
      </c>
      <c r="R90" s="1100" t="n">
        <v>55000</v>
      </c>
      <c r="S90" s="1100" t="n">
        <v>380</v>
      </c>
      <c r="T90" s="1100" t="n">
        <v>100000</v>
      </c>
      <c r="U90" s="1100" t="n">
        <v>690</v>
      </c>
      <c r="V90" s="1100" t="n">
        <v>35</v>
      </c>
      <c r="W90" s="1100" t="n">
        <v>55</v>
      </c>
      <c r="X90" s="1100" t="n"/>
      <c r="Y90" s="1100" t="n"/>
      <c r="Z90" s="1100" t="n"/>
      <c r="AA90" s="1100" t="n"/>
    </row>
    <row r="91">
      <c r="Q91" s="366" t="inlineStr">
        <is>
          <t>ASTM A182 F10</t>
        </is>
      </c>
      <c r="R91" s="1100" t="n">
        <v>30000</v>
      </c>
      <c r="S91" s="1100" t="n">
        <v>205</v>
      </c>
      <c r="T91" s="1100" t="n">
        <v>80000</v>
      </c>
      <c r="U91" s="1100" t="n">
        <v>550</v>
      </c>
      <c r="V91" s="1100" t="n">
        <v>30</v>
      </c>
      <c r="W91" s="1100" t="n">
        <v>50</v>
      </c>
      <c r="X91" s="1100" t="n"/>
      <c r="Y91" s="1100" t="n"/>
      <c r="Z91" s="1100" t="n"/>
      <c r="AA91" s="1100" t="n"/>
    </row>
    <row r="92" s="510">
      <c r="Q92" s="366" t="inlineStr">
        <is>
          <t>ASTM A182 F20</t>
        </is>
      </c>
      <c r="R92" s="1100" t="n">
        <v>35000</v>
      </c>
      <c r="S92" s="1100" t="n">
        <v>240</v>
      </c>
      <c r="T92" s="1100" t="n">
        <v>80000</v>
      </c>
      <c r="U92" s="1100" t="n">
        <v>550</v>
      </c>
      <c r="V92" s="1100" t="n">
        <v>30</v>
      </c>
      <c r="W92" s="1100" t="n">
        <v>50</v>
      </c>
      <c r="X92" s="1100" t="n"/>
      <c r="Y92" s="1100" t="n"/>
      <c r="Z92" s="1100" t="n"/>
      <c r="AA92" s="1100" t="n"/>
    </row>
    <row r="93">
      <c r="Q93" s="366" t="inlineStr">
        <is>
          <t>ASTM A182 F44</t>
        </is>
      </c>
      <c r="R93" s="1100" t="n">
        <v>44000</v>
      </c>
      <c r="S93" s="1100" t="n">
        <v>300</v>
      </c>
      <c r="T93" s="1100" t="n">
        <v>94000</v>
      </c>
      <c r="U93" s="1100" t="n">
        <v>650</v>
      </c>
      <c r="V93" s="1100" t="n">
        <v>35</v>
      </c>
      <c r="W93" s="1100" t="n">
        <v>50</v>
      </c>
      <c r="X93" s="1100" t="n"/>
      <c r="Y93" s="1100" t="n"/>
      <c r="Z93" s="1100" t="n"/>
      <c r="AA93" s="1100" t="n"/>
    </row>
    <row r="94">
      <c r="Q94" s="72" t="inlineStr">
        <is>
          <t>ASTM A182 F45</t>
        </is>
      </c>
      <c r="R94" s="1100" t="n">
        <v>45000</v>
      </c>
      <c r="S94" s="1100" t="n">
        <v>310</v>
      </c>
      <c r="T94" s="1100" t="n">
        <v>87000</v>
      </c>
      <c r="U94" s="1100" t="n">
        <v>600</v>
      </c>
      <c r="V94" s="1100" t="n">
        <v>40</v>
      </c>
      <c r="W94" s="1100" t="n">
        <v>50</v>
      </c>
      <c r="X94" s="1100" t="n"/>
      <c r="Y94" s="1100" t="n"/>
      <c r="Z94" s="1100" t="n"/>
      <c r="AA94" s="1100" t="n"/>
    </row>
    <row r="95" s="510">
      <c r="Q95" s="366" t="inlineStr">
        <is>
          <t>ASTM A182 F46</t>
        </is>
      </c>
      <c r="R95" s="1100" t="n">
        <v>35000</v>
      </c>
      <c r="S95" s="1100" t="n">
        <v>240</v>
      </c>
      <c r="T95" s="1100" t="n">
        <v>78000</v>
      </c>
      <c r="U95" s="1100" t="n">
        <v>540</v>
      </c>
      <c r="V95" s="1100" t="n">
        <v>40</v>
      </c>
      <c r="W95" s="1100" t="n">
        <v>50</v>
      </c>
      <c r="X95" s="1100" t="n"/>
      <c r="Y95" s="1100" t="n"/>
      <c r="Z95" s="1100" t="n"/>
      <c r="AA95" s="1100" t="n"/>
    </row>
    <row r="96" s="510">
      <c r="Q96" s="366" t="inlineStr">
        <is>
          <t>ASTM A182 F47</t>
        </is>
      </c>
      <c r="R96" s="1100" t="n">
        <v>30000</v>
      </c>
      <c r="S96" s="1100" t="n">
        <v>205</v>
      </c>
      <c r="T96" s="1100" t="n">
        <v>75000</v>
      </c>
      <c r="U96" s="1100" t="n">
        <v>515</v>
      </c>
      <c r="V96" s="1100" t="n">
        <v>40</v>
      </c>
      <c r="W96" s="1100" t="n">
        <v>50</v>
      </c>
      <c r="X96" s="1100" t="n"/>
      <c r="Y96" s="1100" t="n"/>
      <c r="Z96" s="1100" t="n"/>
      <c r="AA96" s="1100" t="n"/>
    </row>
    <row r="97" s="510">
      <c r="Q97" s="366" t="inlineStr">
        <is>
          <t>ASTM A182 F48</t>
        </is>
      </c>
      <c r="R97" s="1100" t="n">
        <v>35000</v>
      </c>
      <c r="S97" s="1100" t="n">
        <v>240</v>
      </c>
      <c r="T97" s="1100" t="n">
        <v>80000</v>
      </c>
      <c r="U97" s="1100" t="n">
        <v>550</v>
      </c>
      <c r="V97" s="1100" t="n">
        <v>40</v>
      </c>
      <c r="W97" s="1100" t="n">
        <v>50</v>
      </c>
      <c r="X97" s="1100" t="n"/>
      <c r="Y97" s="1100" t="n"/>
      <c r="Z97" s="1100" t="n"/>
      <c r="AA97" s="1100" t="n"/>
    </row>
    <row r="98" s="510">
      <c r="Q98" s="366" t="inlineStr">
        <is>
          <t>ASTM A182 F49</t>
        </is>
      </c>
      <c r="R98" s="1100" t="n">
        <v>60000</v>
      </c>
      <c r="S98" s="1100" t="n">
        <v>415</v>
      </c>
      <c r="T98" s="1100" t="n">
        <v>115000</v>
      </c>
      <c r="U98" s="1100" t="n">
        <v>795</v>
      </c>
      <c r="V98" s="1100" t="n">
        <v>35</v>
      </c>
      <c r="W98" s="1100" t="n">
        <v>40</v>
      </c>
      <c r="X98" s="1100" t="n"/>
      <c r="Y98" s="1100" t="n"/>
      <c r="Z98" s="1100" t="n"/>
      <c r="AA98" s="1100" t="n"/>
    </row>
    <row r="99" s="510">
      <c r="Q99" s="366" t="inlineStr">
        <is>
          <t>ASTM A182 F56</t>
        </is>
      </c>
      <c r="R99" s="1100" t="n">
        <v>27000</v>
      </c>
      <c r="S99" s="1100" t="n">
        <v>185</v>
      </c>
      <c r="T99" s="1100" t="n">
        <v>73000</v>
      </c>
      <c r="U99" s="1100" t="n">
        <v>500</v>
      </c>
      <c r="V99" s="1100" t="n">
        <v>30</v>
      </c>
      <c r="W99" s="1100" t="n">
        <v>35</v>
      </c>
      <c r="X99" s="1100" t="n"/>
      <c r="Y99" s="1100" t="n"/>
      <c r="Z99" s="1100" t="n"/>
      <c r="AA99" s="1100" t="n"/>
    </row>
    <row r="100" s="510">
      <c r="Q100" s="366" t="inlineStr">
        <is>
          <t>ASTM A182 F58</t>
        </is>
      </c>
      <c r="R100" s="1100" t="n">
        <v>45000</v>
      </c>
      <c r="S100" s="1100" t="n">
        <v>310</v>
      </c>
      <c r="T100" s="1100" t="n">
        <v>95000</v>
      </c>
      <c r="U100" s="1100" t="n">
        <v>655</v>
      </c>
      <c r="V100" s="1100" t="n">
        <v>30</v>
      </c>
      <c r="W100" s="1100" t="n">
        <v>50</v>
      </c>
      <c r="X100" s="1100" t="n"/>
      <c r="Y100" s="1100" t="n"/>
      <c r="Z100" s="1100" t="n"/>
      <c r="AA100" s="1100" t="n"/>
    </row>
    <row r="101" s="510">
      <c r="Q101" s="366" t="inlineStr">
        <is>
          <t>ASTM A182 F60</t>
        </is>
      </c>
      <c r="R101" s="1100" t="n">
        <v>65000</v>
      </c>
      <c r="S101" s="1100" t="n">
        <v>450</v>
      </c>
      <c r="T101" s="1100" t="inlineStr">
        <is>
          <t>100000-130000</t>
        </is>
      </c>
      <c r="U101" s="1100" t="inlineStr">
        <is>
          <t>690-900</t>
        </is>
      </c>
      <c r="V101" s="1100" t="n">
        <v>25</v>
      </c>
      <c r="W101" s="1100" t="n">
        <v>50</v>
      </c>
      <c r="X101" s="1100" t="n"/>
      <c r="Y101" s="1100" t="n"/>
      <c r="Z101" s="1100" t="n"/>
      <c r="AA101" s="1100" t="n"/>
    </row>
    <row r="102" s="510">
      <c r="Q102" s="366" t="inlineStr">
        <is>
          <t>ASTM A182 F51</t>
        </is>
      </c>
      <c r="R102" s="1100" t="n">
        <v>65000</v>
      </c>
      <c r="S102" s="1100" t="n">
        <v>450</v>
      </c>
      <c r="T102" s="1100" t="n">
        <v>90000</v>
      </c>
      <c r="U102" s="1100" t="n">
        <v>620</v>
      </c>
      <c r="V102" s="1100" t="n">
        <v>25</v>
      </c>
      <c r="W102" s="1100" t="n">
        <v>45</v>
      </c>
      <c r="X102" s="1100" t="n"/>
      <c r="Y102" s="1100" t="n"/>
      <c r="Z102" s="1100" t="n"/>
      <c r="AA102" s="1100" t="n"/>
    </row>
    <row r="103" s="510">
      <c r="Q103" s="366" t="inlineStr">
        <is>
          <t>ASTM A182 F50</t>
        </is>
      </c>
      <c r="R103" s="1100" t="n">
        <v>70000</v>
      </c>
      <c r="S103" s="1100" t="n">
        <v>485</v>
      </c>
      <c r="T103" s="1100" t="n">
        <v>100000</v>
      </c>
      <c r="U103" s="1100" t="n">
        <v>690</v>
      </c>
      <c r="V103" s="1100" t="n">
        <v>15</v>
      </c>
      <c r="W103" s="1100" t="n"/>
      <c r="X103" s="1100" t="n"/>
      <c r="Y103" s="1100" t="n"/>
      <c r="Z103" s="1100" t="n"/>
      <c r="AA103" s="1100" t="n"/>
    </row>
    <row r="104" s="510">
      <c r="Q104" s="366" t="inlineStr">
        <is>
          <t>ASTM A182 F53</t>
        </is>
      </c>
      <c r="R104" s="1100" t="n">
        <v>80000</v>
      </c>
      <c r="S104" s="1100" t="n">
        <v>550</v>
      </c>
      <c r="T104" s="1100" t="n">
        <v>116000</v>
      </c>
      <c r="U104" s="1100" t="n">
        <v>800</v>
      </c>
      <c r="V104" s="1100" t="n">
        <v>15</v>
      </c>
      <c r="W104" s="1100" t="n"/>
      <c r="X104" s="1100" t="n">
        <v>310</v>
      </c>
      <c r="Y104" s="1100" t="n"/>
      <c r="Z104" s="1100" t="n"/>
      <c r="AA104" s="1100" t="n"/>
    </row>
    <row r="105" s="510">
      <c r="Q105" s="366" t="inlineStr">
        <is>
          <t>ASTM A182 F54</t>
        </is>
      </c>
      <c r="R105" s="1100" t="n">
        <v>80000</v>
      </c>
      <c r="S105" s="1100" t="n">
        <v>550</v>
      </c>
      <c r="T105" s="1100" t="n">
        <v>116000</v>
      </c>
      <c r="U105" s="1100" t="n">
        <v>800</v>
      </c>
      <c r="V105" s="1100" t="n">
        <v>15</v>
      </c>
      <c r="W105" s="1100" t="n">
        <v>30</v>
      </c>
      <c r="X105" s="1100" t="n">
        <v>310</v>
      </c>
      <c r="Y105" s="1100" t="n"/>
      <c r="Z105" s="1100" t="n"/>
      <c r="AA105" s="1100" t="n"/>
    </row>
    <row r="106" s="510">
      <c r="Q106" s="366" t="inlineStr">
        <is>
          <t>ASTM A182 F55</t>
        </is>
      </c>
      <c r="R106" s="1100" t="n">
        <v>80000</v>
      </c>
      <c r="S106" s="1100" t="n">
        <v>550</v>
      </c>
      <c r="T106" s="1100" t="inlineStr">
        <is>
          <t>109000-130000</t>
        </is>
      </c>
      <c r="U106" s="1100" t="inlineStr">
        <is>
          <t>750-895</t>
        </is>
      </c>
      <c r="V106" s="1100" t="n">
        <v>25</v>
      </c>
      <c r="W106" s="1100" t="n">
        <v>45</v>
      </c>
      <c r="X106" s="1100" t="n"/>
      <c r="Y106" s="1100" t="n"/>
      <c r="Z106" s="1100" t="n"/>
      <c r="AA106" s="1100" t="n"/>
    </row>
    <row r="107" s="510">
      <c r="Q107" s="366" t="inlineStr">
        <is>
          <t>ASTM A182 F57</t>
        </is>
      </c>
      <c r="R107" s="1100" t="n">
        <v>85000</v>
      </c>
      <c r="S107" s="1100" t="n">
        <v>585</v>
      </c>
      <c r="T107" s="1100" t="n">
        <v>118000</v>
      </c>
      <c r="U107" s="1100" t="n">
        <v>820</v>
      </c>
      <c r="V107" s="1100" t="n">
        <v>25</v>
      </c>
      <c r="W107" s="1100" t="n">
        <v>50</v>
      </c>
      <c r="X107" s="1100" t="n"/>
      <c r="Y107" s="1100" t="n"/>
      <c r="Z107" s="1100" t="n"/>
      <c r="AA107" s="1100" t="n"/>
    </row>
    <row r="108" s="510">
      <c r="Q108" s="366" t="inlineStr">
        <is>
          <t>ASTM A182 F59</t>
        </is>
      </c>
      <c r="R108" s="1100" t="n">
        <v>80000</v>
      </c>
      <c r="S108" s="1100" t="n">
        <v>550</v>
      </c>
      <c r="T108" s="1100" t="n">
        <v>112000</v>
      </c>
      <c r="U108" s="1100" t="n">
        <v>770</v>
      </c>
      <c r="V108" s="1100" t="n">
        <v>25</v>
      </c>
      <c r="W108" s="1100" t="n">
        <v>40</v>
      </c>
      <c r="X108" s="1100" t="n"/>
      <c r="Y108" s="1100" t="n"/>
      <c r="Z108" s="1100" t="n"/>
      <c r="AA108" s="1100" t="n"/>
    </row>
    <row r="109" s="510">
      <c r="Q109" s="366" t="inlineStr">
        <is>
          <t>ASTM A182 F60</t>
        </is>
      </c>
      <c r="R109" s="1100" t="n">
        <v>65000</v>
      </c>
      <c r="S109" s="1100" t="n">
        <v>450</v>
      </c>
      <c r="T109" s="1100" t="n">
        <v>90000</v>
      </c>
      <c r="U109" s="1100" t="n">
        <v>620</v>
      </c>
      <c r="V109" s="1100" t="n">
        <v>25</v>
      </c>
      <c r="W109" s="1100" t="n">
        <v>45</v>
      </c>
      <c r="X109" s="1100" t="n"/>
      <c r="Y109" s="1100" t="n"/>
      <c r="Z109" s="1100" t="n"/>
      <c r="AA109" s="1100" t="n"/>
    </row>
    <row r="110" s="510">
      <c r="Q110" s="366" t="inlineStr">
        <is>
          <t>ASTM A182 F61</t>
        </is>
      </c>
      <c r="R110" s="1100" t="n">
        <v>80000</v>
      </c>
      <c r="S110" s="1100" t="n">
        <v>550</v>
      </c>
      <c r="T110" s="1100" t="n">
        <v>109000</v>
      </c>
      <c r="U110" s="1100" t="n">
        <v>750</v>
      </c>
      <c r="V110" s="1100" t="n">
        <v>25</v>
      </c>
      <c r="W110" s="1100" t="n">
        <v>50</v>
      </c>
      <c r="X110" s="1100" t="n"/>
      <c r="Y110" s="1100" t="n"/>
      <c r="Z110" s="543" t="n"/>
      <c r="AA110" s="543" t="n"/>
    </row>
    <row r="111" s="510"/>
    <row r="112" s="510"/>
    <row r="113" s="510"/>
    <row r="114" s="510">
      <c r="B114" s="132" t="inlineStr">
        <is>
          <t>Recommended service for alloy steel flange material grades ASTM A182:</t>
        </is>
      </c>
    </row>
    <row r="115" ht="15.75" customHeight="1" s="510" thickBot="1">
      <c r="B115" s="448" t="n"/>
    </row>
    <row r="116" ht="36.75" customHeight="1" s="510" thickBot="1">
      <c r="B116" s="138" t="inlineStr">
        <is>
          <t>ASTM A182 ALLOY STEEL FLANGE</t>
        </is>
      </c>
      <c r="C116" s="138" t="inlineStr">
        <is>
          <t>TRADE DESIGNATION</t>
        </is>
      </c>
      <c r="D116" s="138" t="inlineStr">
        <is>
          <t>RECOMMENDED SERVICE</t>
        </is>
      </c>
      <c r="L116" s="497" t="n"/>
      <c r="M116" s="498" t="n"/>
    </row>
    <row r="117" ht="150" customHeight="1" s="510" thickBot="1">
      <c r="B117" s="142" t="inlineStr">
        <is>
          <t>A182 F1</t>
        </is>
      </c>
      <c r="C117" s="142" t="inlineStr">
        <is>
          <t>C-1/2 Mo Low Alloy Steel</t>
        </is>
      </c>
      <c r="D117" s="142" t="inlineStr">
        <is>
          <t>Non-corrosive applications Including water, oil, and gases at temperatures between -29 ~ 593ºC* (Not prolonged use &gt; 470ºC),</t>
        </is>
      </c>
      <c r="L117" s="1121" t="n"/>
    </row>
    <row r="118" ht="127.5" customHeight="1" s="510" thickBot="1">
      <c r="B118" s="134" t="inlineStr">
        <is>
          <t>A182 F2</t>
        </is>
      </c>
      <c r="C118" s="134" t="inlineStr">
        <is>
          <t>0,75% Ni; Mo; 0,75% Cr Low Alloy Steel</t>
        </is>
      </c>
      <c r="D118" s="134" t="inlineStr">
        <is>
          <t>Non-corrosive applications including water, oil, and gases at temperatures F2:-29ºC ~ 538ºC, WC5: -29ºC ~ 575ºC</t>
        </is>
      </c>
    </row>
    <row r="119" ht="127.5" customHeight="1" s="510" thickBot="1">
      <c r="B119" s="142" t="inlineStr">
        <is>
          <t>A182 F11</t>
        </is>
      </c>
      <c r="C119" s="142" t="inlineStr">
        <is>
          <t>1 1/4% Chrome; 1/2% Moly Low Alloy Steel</t>
        </is>
      </c>
      <c r="D119" s="142" t="inlineStr">
        <is>
          <t>Non-corrosive applications including water, oil, and gases at temperatures between -30ºC (-20ºF) and +593ºC (+1100ºF),</t>
        </is>
      </c>
      <c r="L119" s="1121" t="n"/>
    </row>
    <row r="120" ht="127.5" customHeight="1" s="510" thickBot="1">
      <c r="B120" s="134" t="inlineStr">
        <is>
          <t>A182 F22</t>
        </is>
      </c>
      <c r="C120" s="134" t="inlineStr">
        <is>
          <t>2 1/4% Chrome Low Alloy Steel</t>
        </is>
      </c>
      <c r="D120" s="134" t="inlineStr">
        <is>
          <t>Non-corrosive applications including water, oil, and gases at temperatures between -30ºC (-20ºF) and +593ºC (+1100ºF),</t>
        </is>
      </c>
    </row>
    <row r="121" ht="150" customHeight="1" s="510" thickBot="1">
      <c r="B121" s="142" t="inlineStr">
        <is>
          <t>A182 F5/F5a</t>
        </is>
      </c>
      <c r="C121" s="142" t="inlineStr">
        <is>
          <t>5% Chrome; 1/2% Moly, Medium Alloy Steel</t>
        </is>
      </c>
      <c r="D121" s="142" t="inlineStr">
        <is>
          <t>Mild corrosive or erosive applications as well as non-corrosive applications at temperatures between -30ºC (-20ºF) and +650ºC (+1200ºF),</t>
        </is>
      </c>
    </row>
    <row r="122" ht="150" customHeight="1" s="510" thickBot="1">
      <c r="B122" s="134" t="inlineStr">
        <is>
          <t>A182 F9</t>
        </is>
      </c>
      <c r="C122" s="134" t="inlineStr">
        <is>
          <t>9% Chrome; 1% Moly, Medium Alloy Steel</t>
        </is>
      </c>
      <c r="D122" s="134" t="inlineStr">
        <is>
          <t>Mild corrosive or erosive applications as well as non-corrosive applications at temperatures between -30ºC (-20ºF) and +650ºC (+1200ºF),</t>
        </is>
      </c>
    </row>
    <row r="123" ht="150" customHeight="1" s="510" thickBot="1">
      <c r="B123" s="142" t="inlineStr">
        <is>
          <t>A182 F91</t>
        </is>
      </c>
      <c r="C123" s="142" t="inlineStr">
        <is>
          <t>9% Chrome; 1% Moly; V-N, Medium Alloy Steel</t>
        </is>
      </c>
      <c r="D123" s="142" t="inlineStr">
        <is>
          <t>Mild corrosive or erosive applications as well as non-corrosive applications at temperatures between -30ºC (-20ºF) and +650ºC (+1200ºF),</t>
        </is>
      </c>
    </row>
    <row r="124"/>
    <row r="125"/>
    <row r="126" ht="22.5" customHeight="1" s="510">
      <c r="B126" s="128" t="inlineStr">
        <is>
          <t>STAINLESS STEEL FLANGES</t>
        </is>
      </c>
    </row>
    <row r="127" ht="17.25" customHeight="1" s="510">
      <c r="B127" s="498" t="inlineStr">
        <is>
          <t>CHEMICAL COMPOSITION ASTM A182 F304/F316/F321</t>
        </is>
      </c>
    </row>
    <row r="128" ht="15.75" customHeight="1" s="510" thickBot="1">
      <c r="B128" s="448" t="n"/>
    </row>
    <row r="129" ht="15.75" customHeight="1" s="510" thickBot="1">
      <c r="B129" s="1219" t="inlineStr">
        <is>
          <t>ASTM A182 Stainless Steel Flanges Materials Composition, %</t>
        </is>
      </c>
      <c r="C129" s="1220" t="n"/>
      <c r="D129" s="1220" t="n"/>
      <c r="E129" s="1220" t="n"/>
      <c r="F129" s="1220" t="n"/>
      <c r="G129" s="1220" t="n"/>
      <c r="H129" s="1220" t="n"/>
      <c r="I129" s="1220" t="n"/>
      <c r="J129" s="1220" t="n"/>
      <c r="K129" s="1220" t="n"/>
      <c r="L129" s="1220" t="n"/>
      <c r="M129" s="1221" t="n"/>
    </row>
    <row r="130" ht="15.75" customHeight="1" s="510" thickBot="1">
      <c r="B130" s="347" t="inlineStr">
        <is>
          <t>ASTM A182 GRADE</t>
        </is>
      </c>
      <c r="C130" s="336" t="inlineStr">
        <is>
          <t>C</t>
        </is>
      </c>
      <c r="D130" s="336" t="inlineStr">
        <is>
          <t>Mn</t>
        </is>
      </c>
      <c r="E130" s="336" t="inlineStr">
        <is>
          <t>P</t>
        </is>
      </c>
      <c r="F130" s="336" t="inlineStr">
        <is>
          <t>S</t>
        </is>
      </c>
      <c r="G130" s="336" t="inlineStr">
        <is>
          <t>Si</t>
        </is>
      </c>
      <c r="H130" s="336" t="inlineStr">
        <is>
          <t>Ni</t>
        </is>
      </c>
      <c r="I130" s="336" t="inlineStr">
        <is>
          <t>Cr</t>
        </is>
      </c>
      <c r="J130" s="336" t="inlineStr">
        <is>
          <t>Mo</t>
        </is>
      </c>
      <c r="K130" s="336" t="inlineStr">
        <is>
          <t>Nb</t>
        </is>
      </c>
      <c r="L130" s="336" t="inlineStr">
        <is>
          <t>Ti</t>
        </is>
      </c>
      <c r="M130" s="348" t="inlineStr">
        <is>
          <t>Others</t>
        </is>
      </c>
    </row>
    <row r="131" ht="15.75" customHeight="1" s="510" thickBot="1">
      <c r="B131" s="339" t="inlineStr">
        <is>
          <t>ASTM A182 F304(1)</t>
        </is>
      </c>
      <c r="C131" s="137" t="n">
        <v>0.08</v>
      </c>
      <c r="D131" s="137" t="n">
        <v>2</v>
      </c>
      <c r="E131" s="137" t="n">
        <v>0.045</v>
      </c>
      <c r="F131" s="137" t="n">
        <v>0.03</v>
      </c>
      <c r="G131" s="137" t="n">
        <v>1</v>
      </c>
      <c r="H131" s="135" t="inlineStr">
        <is>
          <t>8,0-11,0</t>
        </is>
      </c>
      <c r="I131" s="135" t="inlineStr">
        <is>
          <t>18,0-20,0</t>
        </is>
      </c>
      <c r="J131" s="134" t="n"/>
      <c r="K131" s="134" t="n"/>
      <c r="L131" s="134" t="n"/>
      <c r="M131" s="343" t="n"/>
    </row>
    <row r="132" ht="15.75" customHeight="1" s="510" thickBot="1">
      <c r="B132" s="340" t="inlineStr">
        <is>
          <t>ASTM A182 F304H</t>
        </is>
      </c>
      <c r="C132" s="136" t="inlineStr">
        <is>
          <t>0,04-0,10</t>
        </is>
      </c>
      <c r="D132" s="136" t="n">
        <v>2</v>
      </c>
      <c r="E132" s="136" t="n">
        <v>0.045</v>
      </c>
      <c r="F132" s="136" t="n">
        <v>0.03</v>
      </c>
      <c r="G132" s="136" t="n">
        <v>1</v>
      </c>
      <c r="H132" s="141" t="inlineStr">
        <is>
          <t>8,0-11,0</t>
        </is>
      </c>
      <c r="I132" s="141" t="inlineStr">
        <is>
          <t>18,0-20,0</t>
        </is>
      </c>
      <c r="J132" s="142" t="n"/>
      <c r="K132" s="142" t="n"/>
      <c r="L132" s="142" t="n"/>
      <c r="M132" s="344" t="n"/>
    </row>
    <row r="133" ht="15.75" customHeight="1" s="510" thickBot="1">
      <c r="B133" s="339" t="inlineStr">
        <is>
          <t>ASTM A182 F304L(1)</t>
        </is>
      </c>
      <c r="C133" s="137" t="n">
        <v>0.03</v>
      </c>
      <c r="D133" s="137" t="n">
        <v>2</v>
      </c>
      <c r="E133" s="137" t="n">
        <v>0.045</v>
      </c>
      <c r="F133" s="137" t="n">
        <v>0.03</v>
      </c>
      <c r="G133" s="137" t="n">
        <v>1</v>
      </c>
      <c r="H133" s="135" t="inlineStr">
        <is>
          <t>8,0-13,0</t>
        </is>
      </c>
      <c r="I133" s="135" t="inlineStr">
        <is>
          <t>18,0-20,0</t>
        </is>
      </c>
      <c r="J133" s="134" t="n"/>
      <c r="K133" s="134" t="n"/>
      <c r="L133" s="134" t="n"/>
      <c r="M133" s="343" t="n"/>
    </row>
    <row r="134" ht="15.75" customHeight="1" s="510" thickBot="1">
      <c r="B134" s="340" t="inlineStr">
        <is>
          <t>ASTM A182 F304N(2)</t>
        </is>
      </c>
      <c r="C134" s="136" t="n">
        <v>0.08</v>
      </c>
      <c r="D134" s="136" t="n">
        <v>2</v>
      </c>
      <c r="E134" s="136" t="n">
        <v>0.045</v>
      </c>
      <c r="F134" s="136" t="n">
        <v>0.03</v>
      </c>
      <c r="G134" s="136" t="n">
        <v>1</v>
      </c>
      <c r="H134" s="141" t="inlineStr">
        <is>
          <t>8,0-10,5</t>
        </is>
      </c>
      <c r="I134" s="141" t="inlineStr">
        <is>
          <t>18,0-20,0</t>
        </is>
      </c>
      <c r="J134" s="142" t="n"/>
      <c r="K134" s="142" t="n"/>
      <c r="L134" s="142" t="n"/>
      <c r="M134" s="344" t="n"/>
    </row>
    <row r="135" ht="15.75" customHeight="1" s="510" thickBot="1">
      <c r="B135" s="339" t="inlineStr">
        <is>
          <t>ASTM A182 F304LN(2)</t>
        </is>
      </c>
      <c r="C135" s="137" t="n">
        <v>0.03</v>
      </c>
      <c r="D135" s="137" t="n">
        <v>2</v>
      </c>
      <c r="E135" s="137" t="n">
        <v>0.045</v>
      </c>
      <c r="F135" s="137" t="n">
        <v>0.03</v>
      </c>
      <c r="G135" s="137" t="n">
        <v>1</v>
      </c>
      <c r="H135" s="135" t="inlineStr">
        <is>
          <t>8,0-10,5</t>
        </is>
      </c>
      <c r="I135" s="135" t="inlineStr">
        <is>
          <t>18,0-20,0</t>
        </is>
      </c>
      <c r="J135" s="134" t="n"/>
      <c r="K135" s="134" t="n"/>
      <c r="L135" s="134" t="n"/>
      <c r="M135" s="343" t="n"/>
    </row>
    <row r="136" ht="15.75" customHeight="1" s="510" thickBot="1">
      <c r="B136" s="340" t="inlineStr">
        <is>
          <t>ASTM A182 F309H</t>
        </is>
      </c>
      <c r="C136" s="136" t="inlineStr">
        <is>
          <t>0,04-0,10</t>
        </is>
      </c>
      <c r="D136" s="136" t="n">
        <v>2</v>
      </c>
      <c r="E136" s="136" t="n">
        <v>0.045</v>
      </c>
      <c r="F136" s="136" t="n">
        <v>0.03</v>
      </c>
      <c r="G136" s="136" t="n">
        <v>1</v>
      </c>
      <c r="H136" s="141" t="inlineStr">
        <is>
          <t>12,0-15,0</t>
        </is>
      </c>
      <c r="I136" s="141" t="inlineStr">
        <is>
          <t>22,0-24,0</t>
        </is>
      </c>
      <c r="J136" s="142" t="n"/>
      <c r="K136" s="142" t="n"/>
      <c r="L136" s="142" t="n"/>
      <c r="M136" s="344" t="n"/>
    </row>
    <row r="137" ht="15.75" customHeight="1" s="510" thickBot="1">
      <c r="B137" s="339" t="inlineStr">
        <is>
          <t>ASTM A182 F310</t>
        </is>
      </c>
      <c r="C137" s="137" t="n">
        <v>0.25</v>
      </c>
      <c r="D137" s="137" t="n">
        <v>2</v>
      </c>
      <c r="E137" s="137" t="n">
        <v>0.045</v>
      </c>
      <c r="F137" s="137" t="n">
        <v>0.03</v>
      </c>
      <c r="G137" s="137" t="n">
        <v>1</v>
      </c>
      <c r="H137" s="135" t="inlineStr">
        <is>
          <t>19,0-22,0</t>
        </is>
      </c>
      <c r="I137" s="135" t="inlineStr">
        <is>
          <t>24,0-26,0</t>
        </is>
      </c>
      <c r="J137" s="134" t="n"/>
      <c r="K137" s="134" t="n"/>
      <c r="L137" s="134" t="n"/>
      <c r="M137" s="343" t="n"/>
    </row>
    <row r="138" ht="15.75" customHeight="1" s="510" thickBot="1">
      <c r="B138" s="340" t="inlineStr">
        <is>
          <t>ASTM A182 F310H</t>
        </is>
      </c>
      <c r="C138" s="136" t="inlineStr">
        <is>
          <t>0,04-0,10</t>
        </is>
      </c>
      <c r="D138" s="136" t="n">
        <v>2</v>
      </c>
      <c r="E138" s="136" t="n">
        <v>0.045</v>
      </c>
      <c r="F138" s="136" t="n">
        <v>0.03</v>
      </c>
      <c r="G138" s="136" t="n">
        <v>1</v>
      </c>
      <c r="H138" s="141" t="inlineStr">
        <is>
          <t>19,0-22,0</t>
        </is>
      </c>
      <c r="I138" s="141" t="inlineStr">
        <is>
          <t>24,0-26,0</t>
        </is>
      </c>
      <c r="J138" s="142" t="n"/>
      <c r="K138" s="142" t="n"/>
      <c r="L138" s="142" t="n"/>
      <c r="M138" s="344" t="n"/>
    </row>
    <row r="139" ht="15.75" customHeight="1" s="510" thickBot="1">
      <c r="B139" s="339" t="inlineStr">
        <is>
          <t>ASTM A182 F310MoLN</t>
        </is>
      </c>
      <c r="C139" s="137" t="n">
        <v>0.03</v>
      </c>
      <c r="D139" s="137" t="n">
        <v>2</v>
      </c>
      <c r="E139" s="137" t="n">
        <v>0.03</v>
      </c>
      <c r="F139" s="137" t="n">
        <v>0.015</v>
      </c>
      <c r="G139" s="137" t="n">
        <v>0.4</v>
      </c>
      <c r="H139" s="135" t="inlineStr">
        <is>
          <t>21,0-23,0</t>
        </is>
      </c>
      <c r="I139" s="135" t="inlineStr">
        <is>
          <t>24,0-26,0</t>
        </is>
      </c>
      <c r="J139" s="135" t="inlineStr">
        <is>
          <t>2,0-3,0</t>
        </is>
      </c>
      <c r="K139" s="134" t="n"/>
      <c r="L139" s="134" t="n"/>
      <c r="M139" s="343" t="inlineStr">
        <is>
          <t>N 0,10-0,16</t>
        </is>
      </c>
    </row>
    <row r="140" ht="15.75" customHeight="1" s="510" thickBot="1">
      <c r="B140" s="340" t="inlineStr">
        <is>
          <t>ASTM A182 F316</t>
        </is>
      </c>
      <c r="C140" s="136" t="n">
        <v>0.08</v>
      </c>
      <c r="D140" s="136" t="n">
        <v>2</v>
      </c>
      <c r="E140" s="136" t="n">
        <v>0.045</v>
      </c>
      <c r="F140" s="136" t="n">
        <v>0.03</v>
      </c>
      <c r="G140" s="136" t="n">
        <v>1</v>
      </c>
      <c r="H140" s="141" t="inlineStr">
        <is>
          <t>10,0-14,0</t>
        </is>
      </c>
      <c r="I140" s="141" t="inlineStr">
        <is>
          <t>16,0-18,0</t>
        </is>
      </c>
      <c r="J140" s="141" t="inlineStr">
        <is>
          <t>2,0-3,0</t>
        </is>
      </c>
      <c r="K140" s="142" t="n"/>
      <c r="L140" s="142" t="n"/>
      <c r="M140" s="344" t="n"/>
    </row>
    <row r="141" ht="15.75" customHeight="1" s="510" thickBot="1">
      <c r="B141" s="339" t="inlineStr">
        <is>
          <t>ASTM A182 F316H</t>
        </is>
      </c>
      <c r="C141" s="137" t="inlineStr">
        <is>
          <t>0,04-0,10</t>
        </is>
      </c>
      <c r="D141" s="137" t="n">
        <v>2</v>
      </c>
      <c r="E141" s="137" t="n">
        <v>0.045</v>
      </c>
      <c r="F141" s="137" t="n">
        <v>0.03</v>
      </c>
      <c r="G141" s="137" t="n">
        <v>1</v>
      </c>
      <c r="H141" s="135" t="inlineStr">
        <is>
          <t>10,0-14,0</t>
        </is>
      </c>
      <c r="I141" s="135" t="inlineStr">
        <is>
          <t>16,0-18,0</t>
        </is>
      </c>
      <c r="J141" s="135" t="inlineStr">
        <is>
          <t>2,0-3,0</t>
        </is>
      </c>
      <c r="K141" s="134" t="n"/>
      <c r="L141" s="134" t="n"/>
      <c r="M141" s="343" t="n"/>
    </row>
    <row r="142" ht="15.75" customHeight="1" s="510" thickBot="1">
      <c r="B142" s="340" t="inlineStr">
        <is>
          <t>ASTM A182 F316L(1)</t>
        </is>
      </c>
      <c r="C142" s="136" t="n">
        <v>0.03</v>
      </c>
      <c r="D142" s="136" t="n">
        <v>2</v>
      </c>
      <c r="E142" s="136" t="n">
        <v>0.045</v>
      </c>
      <c r="F142" s="136" t="n">
        <v>0.03</v>
      </c>
      <c r="G142" s="136" t="n">
        <v>1</v>
      </c>
      <c r="H142" s="141" t="inlineStr">
        <is>
          <t>10,0-15,0</t>
        </is>
      </c>
      <c r="I142" s="141" t="inlineStr">
        <is>
          <t>16,0-18,0</t>
        </is>
      </c>
      <c r="J142" s="141" t="inlineStr">
        <is>
          <t>2,0-3,0</t>
        </is>
      </c>
      <c r="K142" s="142" t="n"/>
      <c r="L142" s="142" t="n"/>
      <c r="M142" s="344" t="n"/>
    </row>
    <row r="143" ht="15.75" customHeight="1" s="510" thickBot="1">
      <c r="B143" s="339" t="inlineStr">
        <is>
          <t>ASTM A182 F316N(2)</t>
        </is>
      </c>
      <c r="C143" s="137" t="n">
        <v>0.08</v>
      </c>
      <c r="D143" s="137" t="n">
        <v>2</v>
      </c>
      <c r="E143" s="137" t="n">
        <v>0.045</v>
      </c>
      <c r="F143" s="137" t="n">
        <v>0.03</v>
      </c>
      <c r="G143" s="137" t="n">
        <v>1</v>
      </c>
      <c r="H143" s="135" t="inlineStr">
        <is>
          <t>11,0-14,0</t>
        </is>
      </c>
      <c r="I143" s="135" t="inlineStr">
        <is>
          <t>16,0-18,0</t>
        </is>
      </c>
      <c r="J143" s="135" t="inlineStr">
        <is>
          <t>2,0-3,0</t>
        </is>
      </c>
      <c r="K143" s="134" t="n"/>
      <c r="L143" s="134" t="n"/>
      <c r="M143" s="343" t="n"/>
    </row>
    <row r="144" ht="15.75" customHeight="1" s="510" thickBot="1">
      <c r="B144" s="340" t="inlineStr">
        <is>
          <t>ASTM A182 F316LN(2)</t>
        </is>
      </c>
      <c r="C144" s="136" t="n">
        <v>0.03</v>
      </c>
      <c r="D144" s="136" t="n">
        <v>2</v>
      </c>
      <c r="E144" s="136" t="n">
        <v>0.045</v>
      </c>
      <c r="F144" s="136" t="n">
        <v>0.03</v>
      </c>
      <c r="G144" s="136" t="n">
        <v>1</v>
      </c>
      <c r="H144" s="141" t="inlineStr">
        <is>
          <t>11,0-14,0</t>
        </is>
      </c>
      <c r="I144" s="141" t="inlineStr">
        <is>
          <t>16,0-18,0</t>
        </is>
      </c>
      <c r="J144" s="141" t="inlineStr">
        <is>
          <t>2,0-3,0</t>
        </is>
      </c>
      <c r="K144" s="142" t="n"/>
      <c r="L144" s="142" t="n"/>
      <c r="M144" s="344" t="n"/>
    </row>
    <row r="145" ht="15.75" customHeight="1" s="510" thickBot="1">
      <c r="B145" s="339" t="inlineStr">
        <is>
          <t>ASTM A182 F316Ti</t>
        </is>
      </c>
      <c r="C145" s="137" t="n">
        <v>0.08</v>
      </c>
      <c r="D145" s="137" t="n">
        <v>2</v>
      </c>
      <c r="E145" s="137" t="n">
        <v>0.045</v>
      </c>
      <c r="F145" s="137" t="n">
        <v>0.03</v>
      </c>
      <c r="G145" s="137" t="n">
        <v>1</v>
      </c>
      <c r="H145" s="135" t="inlineStr">
        <is>
          <t>10,0-14,0</t>
        </is>
      </c>
      <c r="I145" s="135" t="inlineStr">
        <is>
          <t>16,0-18,0</t>
        </is>
      </c>
      <c r="J145" s="135" t="inlineStr">
        <is>
          <t>2,0-3,0</t>
        </is>
      </c>
      <c r="K145" s="134" t="n"/>
      <c r="L145" s="137" t="n">
        <v>-3</v>
      </c>
      <c r="M145" s="343" t="inlineStr">
        <is>
          <t>N 0,10 max</t>
        </is>
      </c>
    </row>
    <row r="146" ht="15.75" customHeight="1" s="510" thickBot="1">
      <c r="B146" s="340" t="inlineStr">
        <is>
          <t>ASTM A182 F317</t>
        </is>
      </c>
      <c r="C146" s="136" t="n">
        <v>0.08</v>
      </c>
      <c r="D146" s="136" t="n">
        <v>2</v>
      </c>
      <c r="E146" s="136" t="n">
        <v>0.045</v>
      </c>
      <c r="F146" s="136" t="n">
        <v>0.03</v>
      </c>
      <c r="G146" s="136" t="n">
        <v>1</v>
      </c>
      <c r="H146" s="141" t="inlineStr">
        <is>
          <t>11,0-15,0</t>
        </is>
      </c>
      <c r="I146" s="141" t="inlineStr">
        <is>
          <t>18,0-20,0</t>
        </is>
      </c>
      <c r="J146" s="141" t="inlineStr">
        <is>
          <t>3,0-4,0</t>
        </is>
      </c>
      <c r="K146" s="142" t="n"/>
      <c r="L146" s="142" t="n"/>
      <c r="M146" s="344" t="n"/>
    </row>
    <row r="147" ht="15.75" customHeight="1" s="510" thickBot="1">
      <c r="B147" s="339" t="inlineStr">
        <is>
          <t>ASTM A182 F317L</t>
        </is>
      </c>
      <c r="C147" s="137" t="n">
        <v>0.03</v>
      </c>
      <c r="D147" s="137" t="n">
        <v>2</v>
      </c>
      <c r="E147" s="137" t="n">
        <v>0.045</v>
      </c>
      <c r="F147" s="137" t="n">
        <v>0.03</v>
      </c>
      <c r="G147" s="137" t="n">
        <v>1</v>
      </c>
      <c r="H147" s="135" t="inlineStr">
        <is>
          <t>11,0-15,0</t>
        </is>
      </c>
      <c r="I147" s="135" t="inlineStr">
        <is>
          <t>18,0-20,0</t>
        </is>
      </c>
      <c r="J147" s="135" t="inlineStr">
        <is>
          <t>3,0-4,0</t>
        </is>
      </c>
      <c r="K147" s="134" t="n"/>
      <c r="L147" s="134" t="n"/>
      <c r="M147" s="343" t="n"/>
    </row>
    <row r="148" ht="15.75" customHeight="1" s="510" thickBot="1">
      <c r="B148" s="340" t="inlineStr">
        <is>
          <t>ASTM A182 F321</t>
        </is>
      </c>
      <c r="C148" s="136" t="n">
        <v>0.08</v>
      </c>
      <c r="D148" s="136" t="n">
        <v>2</v>
      </c>
      <c r="E148" s="136" t="n">
        <v>0.045</v>
      </c>
      <c r="F148" s="136" t="n">
        <v>0.03</v>
      </c>
      <c r="G148" s="136" t="n">
        <v>1</v>
      </c>
      <c r="H148" s="141" t="inlineStr">
        <is>
          <t>9,0-12,0</t>
        </is>
      </c>
      <c r="I148" s="141" t="inlineStr">
        <is>
          <t>17,0-19,0</t>
        </is>
      </c>
      <c r="J148" s="142" t="n"/>
      <c r="K148" s="142" t="n"/>
      <c r="L148" s="136" t="n">
        <v>-4</v>
      </c>
      <c r="M148" s="344" t="n"/>
    </row>
    <row r="149" ht="15.75" customHeight="1" s="510" thickBot="1">
      <c r="B149" s="339" t="inlineStr">
        <is>
          <t>ASTM A182 F321H</t>
        </is>
      </c>
      <c r="C149" s="137" t="inlineStr">
        <is>
          <t>0,04-0,10</t>
        </is>
      </c>
      <c r="D149" s="137" t="n">
        <v>2</v>
      </c>
      <c r="E149" s="137" t="n">
        <v>0.045</v>
      </c>
      <c r="F149" s="137" t="n">
        <v>0.03</v>
      </c>
      <c r="G149" s="137" t="n">
        <v>1</v>
      </c>
      <c r="H149" s="135" t="inlineStr">
        <is>
          <t>9,0-12,0</t>
        </is>
      </c>
      <c r="I149" s="135" t="inlineStr">
        <is>
          <t>17,0-19,0</t>
        </is>
      </c>
      <c r="J149" s="134" t="n"/>
      <c r="K149" s="134" t="n"/>
      <c r="L149" s="137" t="n">
        <v>-5</v>
      </c>
      <c r="M149" s="343" t="n"/>
    </row>
    <row r="150" ht="15.75" customHeight="1" s="510" thickBot="1">
      <c r="B150" s="340" t="inlineStr">
        <is>
          <t>ASTM A182 F347</t>
        </is>
      </c>
      <c r="C150" s="136" t="n">
        <v>0.08</v>
      </c>
      <c r="D150" s="136" t="n">
        <v>2</v>
      </c>
      <c r="E150" s="136" t="n">
        <v>0.045</v>
      </c>
      <c r="F150" s="136" t="n">
        <v>0.03</v>
      </c>
      <c r="G150" s="136" t="n">
        <v>1</v>
      </c>
      <c r="H150" s="141" t="inlineStr">
        <is>
          <t>9,0-13,0</t>
        </is>
      </c>
      <c r="I150" s="141" t="inlineStr">
        <is>
          <t>17,0-20,0</t>
        </is>
      </c>
      <c r="J150" s="142" t="n"/>
      <c r="K150" s="136" t="n">
        <v>-6</v>
      </c>
      <c r="L150" s="142" t="n"/>
      <c r="M150" s="344" t="n"/>
    </row>
    <row r="151" ht="15.75" customHeight="1" s="510" thickBot="1">
      <c r="B151" s="339" t="inlineStr">
        <is>
          <t>ASTM A182 F347H</t>
        </is>
      </c>
      <c r="C151" s="137" t="inlineStr">
        <is>
          <t>0,04-0,10</t>
        </is>
      </c>
      <c r="D151" s="137" t="n">
        <v>2</v>
      </c>
      <c r="E151" s="137" t="n">
        <v>0.045</v>
      </c>
      <c r="F151" s="137" t="n">
        <v>0.03</v>
      </c>
      <c r="G151" s="137" t="n">
        <v>1</v>
      </c>
      <c r="H151" s="135" t="inlineStr">
        <is>
          <t>9,0-13,0</t>
        </is>
      </c>
      <c r="I151" s="135" t="inlineStr">
        <is>
          <t>17,0-20,0</t>
        </is>
      </c>
      <c r="J151" s="134" t="n"/>
      <c r="K151" s="137" t="n">
        <v>-7</v>
      </c>
      <c r="L151" s="134" t="n"/>
      <c r="M151" s="343" t="n"/>
    </row>
    <row r="152" ht="24.75" customHeight="1" s="510" thickBot="1">
      <c r="B152" s="341" t="inlineStr">
        <is>
          <t>ASTM A182 F348</t>
        </is>
      </c>
      <c r="C152" s="338" t="n">
        <v>0.08</v>
      </c>
      <c r="D152" s="338" t="n">
        <v>2</v>
      </c>
      <c r="E152" s="338" t="n">
        <v>0.045</v>
      </c>
      <c r="F152" s="338" t="n">
        <v>0.03</v>
      </c>
      <c r="G152" s="338" t="n">
        <v>1</v>
      </c>
      <c r="H152" s="335" t="inlineStr">
        <is>
          <t>9,0-13,0</t>
        </is>
      </c>
      <c r="I152" s="335" t="inlineStr">
        <is>
          <t>17,0-20,0</t>
        </is>
      </c>
      <c r="J152" s="337" t="n"/>
      <c r="K152" s="338" t="n">
        <v>-6</v>
      </c>
      <c r="L152" s="337" t="n"/>
      <c r="M152" s="345" t="inlineStr">
        <is>
          <t>Co 0,20 / Ta 0,10</t>
        </is>
      </c>
    </row>
    <row r="153" ht="24" customHeight="1" s="510">
      <c r="B153" s="342" t="inlineStr">
        <is>
          <t>ASTM A182 F348H</t>
        </is>
      </c>
      <c r="C153" s="333" t="inlineStr">
        <is>
          <t>0,04-0,10</t>
        </is>
      </c>
      <c r="D153" s="333" t="n">
        <v>2</v>
      </c>
      <c r="E153" s="333" t="n">
        <v>0.045</v>
      </c>
      <c r="F153" s="333" t="n">
        <v>0.03</v>
      </c>
      <c r="G153" s="333" t="n">
        <v>1</v>
      </c>
      <c r="H153" s="1130" t="inlineStr">
        <is>
          <t>9,0-13,0</t>
        </is>
      </c>
      <c r="I153" s="1130" t="inlineStr">
        <is>
          <t>17,0-20,0</t>
        </is>
      </c>
      <c r="J153" s="334" t="n"/>
      <c r="K153" s="333" t="n">
        <v>-7</v>
      </c>
      <c r="L153" s="334" t="n"/>
      <c r="M153" s="346" t="inlineStr">
        <is>
          <t>Co 0,20 / Ta 0,10</t>
        </is>
      </c>
    </row>
    <row r="154">
      <c r="B154" s="143" t="inlineStr">
        <is>
          <t>Notes:</t>
        </is>
      </c>
    </row>
    <row r="155">
      <c r="B155" s="144" t="inlineStr">
        <is>
          <t>1, Grades F304, F304L, F316, and F316L shall have a maximum Nitrogen of 0,10%,</t>
        </is>
      </c>
    </row>
    <row r="156">
      <c r="B156" s="144" t="inlineStr">
        <is>
          <t>2, Grades F304N, F316N, F304LN, and F316LN shall have a Nitrogen of 0,10 to 0,16%,</t>
        </is>
      </c>
    </row>
    <row r="157">
      <c r="B157" s="144" t="inlineStr">
        <is>
          <t>3, Grade F316Ti shall have a Titanium content five times above the Carbon plus Nitrogen and not more than 0,70%,</t>
        </is>
      </c>
    </row>
    <row r="158">
      <c r="B158" s="144" t="inlineStr">
        <is>
          <t>4, Grade F321 shall have a Titanium content five times above the Carbon and not more than 0,70%,</t>
        </is>
      </c>
    </row>
    <row r="159">
      <c r="B159" s="144" t="inlineStr">
        <is>
          <t>5, Grade F321H shall have a Titanium content four times above the Carbon and not more than 0,70%,</t>
        </is>
      </c>
    </row>
    <row r="160">
      <c r="B160" s="144" t="inlineStr">
        <is>
          <t>6, Grades F347 and F348 shall have a Niobium content ten times above the Carbon and not more than 1,10%,</t>
        </is>
      </c>
    </row>
    <row r="161">
      <c r="B161" s="144" t="inlineStr">
        <is>
          <t>7, Grades F347H and F348H shall have a Niobium content above than eight times the Carbon and not more than 1,10%,</t>
        </is>
      </c>
    </row>
    <row r="162" ht="17.25" customHeight="1" s="510">
      <c r="B162" s="498" t="inlineStr">
        <is>
          <t>MECHANICAL PROPERTIES A182 F304/F316/F321</t>
        </is>
      </c>
    </row>
    <row r="163">
      <c r="B163" s="448" t="n"/>
    </row>
    <row r="164">
      <c r="B164" t="inlineStr">
        <is>
          <t>ASTM A182 Grade</t>
        </is>
      </c>
      <c r="C164" t="inlineStr">
        <is>
          <t>Minimum Tensile Strength in MPa</t>
        </is>
      </c>
      <c r="D164" t="inlineStr">
        <is>
          <t>Minimum Yield point in Mpa</t>
        </is>
      </c>
      <c r="E164" t="inlineStr">
        <is>
          <t>Minimum Elongation in %</t>
        </is>
      </c>
      <c r="F164" t="inlineStr">
        <is>
          <t>Minimum Reduction of in min, %</t>
        </is>
      </c>
      <c r="G164" t="inlineStr">
        <is>
          <t>MATERIAL GROUP</t>
        </is>
      </c>
      <c r="H164" t="inlineStr">
        <is>
          <t>RECOMMENDED SERVICE</t>
        </is>
      </c>
    </row>
    <row r="165" ht="81" customHeight="1" s="510">
      <c r="B165" t="inlineStr">
        <is>
          <t>ASTM A182 F304</t>
        </is>
      </c>
      <c r="C165" s="514" t="n">
        <v>515</v>
      </c>
      <c r="D165" s="514" t="n">
        <v>205</v>
      </c>
      <c r="E165" s="514" t="n">
        <v>30</v>
      </c>
      <c r="F165" s="514" t="n">
        <v>50</v>
      </c>
      <c r="G165" s="512" t="inlineStr">
        <is>
          <t>18% Cr, 8% Ni Stainless Steel</t>
        </is>
      </c>
      <c r="H165" s="512" t="inlineStr">
        <is>
          <t>Corrosive services and atmospheres from -450°F to 1000°F (-268°C to 537°C)</t>
        </is>
      </c>
    </row>
    <row r="166" ht="81" customHeight="1" s="510">
      <c r="B166" t="inlineStr">
        <is>
          <t>ASTM A182 F304L</t>
        </is>
      </c>
      <c r="C166" s="514" t="n">
        <v>485</v>
      </c>
      <c r="D166" s="514" t="n">
        <v>170</v>
      </c>
      <c r="E166" s="514" t="n">
        <v>30</v>
      </c>
      <c r="F166" s="514" t="n">
        <v>50</v>
      </c>
      <c r="G166" s="512" t="inlineStr">
        <is>
          <t>18% Cr, 8% Ni Stainless Steel</t>
        </is>
      </c>
      <c r="H166" s="512" t="inlineStr">
        <is>
          <t>Corrosive services and atmospheres from -450°F to 1000°F (-268°C to 537°C)</t>
        </is>
      </c>
    </row>
    <row r="167" ht="68.25" customHeight="1" s="510">
      <c r="B167" t="inlineStr">
        <is>
          <t>ASTM A182 F316</t>
        </is>
      </c>
      <c r="C167" s="514" t="n">
        <v>515</v>
      </c>
      <c r="D167" s="514" t="n">
        <v>205</v>
      </c>
      <c r="E167" s="514" t="n">
        <v>30</v>
      </c>
      <c r="F167" s="514" t="n">
        <v>50</v>
      </c>
      <c r="G167" s="512" t="inlineStr">
        <is>
          <t>18% Cr, 8% Ni, 2% Mo Stainless Steel</t>
        </is>
      </c>
      <c r="H167" s="512" t="inlineStr">
        <is>
          <t>High resistance to corrosion from -450°F to 1000°F (-268°C to 537°C),</t>
        </is>
      </c>
    </row>
    <row r="168" ht="38.25" customHeight="1" s="510">
      <c r="B168" t="inlineStr">
        <is>
          <t>ASTM A182 F316L</t>
        </is>
      </c>
      <c r="C168" s="514" t="n">
        <v>485</v>
      </c>
      <c r="D168" s="514" t="n">
        <v>170</v>
      </c>
      <c r="E168" s="514" t="n">
        <v>30</v>
      </c>
      <c r="F168" s="514" t="n">
        <v>50</v>
      </c>
      <c r="G168" s="512" t="inlineStr">
        <is>
          <t>18% Cr, 8% Ni, 2% Mo Stainless Steel</t>
        </is>
      </c>
      <c r="H168" s="512" t="inlineStr">
        <is>
          <t>High resistance to corrosion from -450°F to 1000°F (-268°C to 537°C),</t>
        </is>
      </c>
    </row>
    <row r="169">
      <c r="B169" t="inlineStr">
        <is>
          <t>ASTM A182 F321</t>
        </is>
      </c>
      <c r="C169" s="514" t="n">
        <v>515</v>
      </c>
      <c r="D169" s="514" t="n">
        <v>205</v>
      </c>
      <c r="E169" s="514" t="n">
        <v>30</v>
      </c>
      <c r="F169" s="514" t="n">
        <v>50</v>
      </c>
    </row>
    <row r="170" ht="25.5" customHeight="1" s="510">
      <c r="B170" s="498" t="inlineStr">
        <is>
          <t>ASTM vs, EN STAINLESS STEEL FLANGE MATERIALS</t>
        </is>
      </c>
    </row>
    <row r="171" ht="15.75" customHeight="1" s="510" thickBot="1">
      <c r="B171" s="448" t="n"/>
    </row>
    <row r="172" ht="15.75" customHeight="1" s="510" thickBot="1">
      <c r="B172" s="135" t="inlineStr">
        <is>
          <t>Flanges Material Grades: Comparison European and American Standards</t>
        </is>
      </c>
      <c r="C172" s="1220" t="n"/>
      <c r="D172" s="1221" t="n"/>
    </row>
    <row r="173" ht="15.75" customHeight="1" s="510" thickBot="1">
      <c r="B173" s="141" t="inlineStr">
        <is>
          <t>Material number</t>
        </is>
      </c>
      <c r="C173" s="141" t="inlineStr">
        <is>
          <t>EN</t>
        </is>
      </c>
      <c r="D173" s="141" t="inlineStr">
        <is>
          <t>ASTM</t>
        </is>
      </c>
    </row>
    <row r="174" ht="15.75" customHeight="1" s="510" thickBot="1">
      <c r="B174" s="135" t="inlineStr">
        <is>
          <t>Stainless Steel Flange Materials</t>
        </is>
      </c>
      <c r="C174" s="1220" t="n"/>
      <c r="D174" s="1221" t="n"/>
    </row>
    <row r="175" ht="24.75" customHeight="1" s="510" thickBot="1">
      <c r="B175" s="140" t="inlineStr">
        <is>
          <t>1,4541 X 6 CrNiTi 18 10</t>
        </is>
      </c>
      <c r="C175" s="140" t="inlineStr">
        <is>
          <t>X6CrNiTi18-10</t>
        </is>
      </c>
      <c r="D175" s="140" t="inlineStr">
        <is>
          <t>A 182 Grade F321</t>
        </is>
      </c>
    </row>
    <row r="176" ht="24.75" customHeight="1" s="510" thickBot="1">
      <c r="B176" s="139" t="inlineStr">
        <is>
          <t>1,4571 X 6 CrNiMoTi 17 12 2</t>
        </is>
      </c>
      <c r="C176" s="139" t="inlineStr">
        <is>
          <t>X6CrNiMoTi17-12-2</t>
        </is>
      </c>
      <c r="D176" s="139" t="inlineStr">
        <is>
          <t>A 182 Grade F316Ti</t>
        </is>
      </c>
    </row>
    <row r="177" ht="24.75" customHeight="1" s="510" thickBot="1">
      <c r="B177" s="140" t="inlineStr">
        <is>
          <t>1,4301 X 5 CrNi 18 10</t>
        </is>
      </c>
      <c r="C177" s="140" t="inlineStr">
        <is>
          <t>X5CrNi18-10</t>
        </is>
      </c>
      <c r="D177" s="140" t="inlineStr">
        <is>
          <t>A 182 Grade F304</t>
        </is>
      </c>
    </row>
    <row r="178" ht="24.75" customHeight="1" s="510" thickBot="1">
      <c r="B178" s="139" t="inlineStr">
        <is>
          <t>1,4306 X 2 CrNi 19 11</t>
        </is>
      </c>
      <c r="C178" s="139" t="inlineStr">
        <is>
          <t>–</t>
        </is>
      </c>
      <c r="D178" s="139" t="inlineStr">
        <is>
          <t>A 182 Grade F304L</t>
        </is>
      </c>
    </row>
    <row r="179" ht="24.75" customHeight="1" s="510" thickBot="1">
      <c r="B179" s="140" t="inlineStr">
        <is>
          <t>1,4307 –</t>
        </is>
      </c>
      <c r="C179" s="140" t="inlineStr">
        <is>
          <t>X2CrNi18-9</t>
        </is>
      </c>
      <c r="D179" s="140" t="inlineStr">
        <is>
          <t>A 182 Grade F304L</t>
        </is>
      </c>
    </row>
    <row r="180" ht="24.75" customHeight="1" s="510" thickBot="1">
      <c r="B180" s="139" t="inlineStr">
        <is>
          <t>1,4401 X 5 CrNiMo 17 12 2</t>
        </is>
      </c>
      <c r="C180" s="139" t="inlineStr">
        <is>
          <t>X5CrNiMo17-12-2</t>
        </is>
      </c>
      <c r="D180" s="139" t="inlineStr">
        <is>
          <t>A 182 Grade F316</t>
        </is>
      </c>
    </row>
    <row r="181" ht="24.75" customHeight="1" s="510" thickBot="1">
      <c r="B181" s="140" t="inlineStr">
        <is>
          <t>1,4404 X 2 CrNiMo 17 13 2</t>
        </is>
      </c>
      <c r="C181" s="140" t="inlineStr">
        <is>
          <t>X2CrNiMo17-12-2</t>
        </is>
      </c>
      <c r="D181" s="140" t="inlineStr">
        <is>
          <t>A 182 Grade F316L</t>
        </is>
      </c>
    </row>
    <row r="182" ht="24.75" customHeight="1" s="510" thickBot="1">
      <c r="B182" s="139" t="inlineStr">
        <is>
          <t>1,4462 X 2 CrNiMoN 22 5 3</t>
        </is>
      </c>
      <c r="C182" s="139" t="inlineStr">
        <is>
          <t>X2CrNiMoN22-5-3</t>
        </is>
      </c>
      <c r="D182" s="139" t="inlineStr">
        <is>
          <t>A 182 Grade F51 (Duplex)</t>
        </is>
      </c>
    </row>
    <row r="183" ht="15.75" customHeight="1" s="510" thickBot="1">
      <c r="B183" s="140" t="inlineStr">
        <is>
          <t>1,4529 X 1 NiCrMoCuN 25 20 6</t>
        </is>
      </c>
      <c r="C183" s="140" t="inlineStr">
        <is>
          <t>X1NiCrMoCuN25-20-7</t>
        </is>
      </c>
      <c r="D183" s="140" t="inlineStr">
        <is>
          <t>UNS N 08926</t>
        </is>
      </c>
    </row>
    <row r="184" ht="24.75" customHeight="1" s="510" thickBot="1">
      <c r="B184" s="139" t="inlineStr">
        <is>
          <t>1,4539 X 1 NiCrMoCuN 25 20 5</t>
        </is>
      </c>
      <c r="C184" s="139" t="inlineStr">
        <is>
          <t>X1NiCrMoCu25-20-5</t>
        </is>
      </c>
      <c r="D184" s="139" t="inlineStr">
        <is>
          <t>A 182 Grade F904L</t>
        </is>
      </c>
    </row>
    <row r="185" ht="15.75" customHeight="1" s="510" thickBot="1">
      <c r="B185" s="140" t="inlineStr">
        <is>
          <t>1,4547 –</t>
        </is>
      </c>
      <c r="C185" s="140" t="inlineStr">
        <is>
          <t>X1CrNiMoCuN20-18-7</t>
        </is>
      </c>
      <c r="D185" s="140" t="inlineStr">
        <is>
          <t>UNS S 3125</t>
        </is>
      </c>
    </row>
    <row r="186" ht="22.5" customHeight="1" s="510">
      <c r="B186" s="128" t="inlineStr">
        <is>
          <t>DUPLEX FLANGES</t>
        </is>
      </c>
    </row>
    <row r="187">
      <c r="B187" s="448" t="n"/>
    </row>
    <row r="188">
      <c r="B188" s="132" t="inlineStr">
        <is>
          <t>Duplex steel (ASTM A182 2205) is an extremely corrosion resistant, work hardenable stainless steel, whose microstructure consists of a mixture of austenite and ferrite phases,</t>
        </is>
      </c>
    </row>
    <row r="189">
      <c r="B189" s="147" t="n"/>
    </row>
    <row r="190">
      <c r="B190" s="147" t="n"/>
    </row>
    <row r="191">
      <c r="B191" s="148" t="inlineStr">
        <is>
          <t>Duplex Flange ASTM A182 UNS S31803 UNS S32205</t>
        </is>
      </c>
    </row>
    <row r="192">
      <c r="B192" s="147" t="n"/>
    </row>
    <row r="193">
      <c r="B193" s="147" t="n"/>
    </row>
    <row r="194">
      <c r="B194" s="147" t="n"/>
    </row>
    <row r="195">
      <c r="B195" s="147" t="n"/>
    </row>
    <row r="196">
      <c r="B196" s="147" t="n"/>
    </row>
    <row r="197">
      <c r="B197" s="147" t="n"/>
    </row>
    <row r="198">
      <c r="B198" s="147" t="n"/>
    </row>
    <row r="199">
      <c r="B199" s="147" t="n"/>
    </row>
    <row r="200">
      <c r="B200" s="448" t="n"/>
    </row>
    <row r="201">
      <c r="B201" s="132" t="inlineStr">
        <is>
          <t>Due to this particular chemical and physical composition, duplex stainless steel UNS S31803 features the properties characteristic of both types of stainless steel materials (ferritic and austenitic),</t>
        </is>
      </c>
    </row>
    <row r="202">
      <c r="B202" s="448" t="n"/>
    </row>
    <row r="203">
      <c r="B203" s="132" t="inlineStr">
        <is>
          <t>Generally speaking, duplex stainless steel is way tougher than ferritic stainless steels, has a superior strength than austenitic steels (series 300 and 400) and has superior resistance to corrosion when compared to SS304 and SS316 (high intragranular corrosion, also in chloride and sulfide environments),</t>
        </is>
      </c>
    </row>
    <row r="204">
      <c r="B204" s="448" t="n"/>
    </row>
    <row r="205">
      <c r="B205" s="132" t="inlineStr">
        <is>
          <t>Whilst austenitic stainless steels are non-magnetic, duplex stainless steel shows magnetic properties,</t>
        </is>
      </c>
    </row>
    <row r="206">
      <c r="B206" s="448" t="n"/>
    </row>
    <row r="207">
      <c r="B207" s="129" t="inlineStr">
        <is>
          <t>Duplex and super duplex flanges match with ASTM A790 seamless pipes (or A928 welded duplex pipes),</t>
        </is>
      </c>
    </row>
    <row r="208">
      <c r="B208" s="448" t="n"/>
    </row>
    <row r="209" ht="17.25" customHeight="1" s="510">
      <c r="B209" s="498" t="inlineStr">
        <is>
          <t>CHEMICAL COMPOSITION ASTM A182 DUPLEX AND SUPER DUPLEX</t>
        </is>
      </c>
    </row>
    <row r="210" ht="15.75" customHeight="1" s="510" thickBot="1">
      <c r="B210" s="448" t="n"/>
    </row>
    <row r="211">
      <c r="B211" s="153" t="inlineStr">
        <is>
          <t>%</t>
        </is>
      </c>
      <c r="C211" s="1128" t="inlineStr">
        <is>
          <t>Duplex 2205</t>
        </is>
      </c>
      <c r="D211" s="1128" t="inlineStr">
        <is>
          <t>Super Duplex</t>
        </is>
      </c>
    </row>
    <row r="212" ht="36.75" customHeight="1" s="510" thickBot="1">
      <c r="B212" s="1222" t="n"/>
      <c r="C212" s="1129" t="inlineStr">
        <is>
          <t>(ASTM A182 UNS S31803 – UNS S32205)</t>
        </is>
      </c>
      <c r="D212" s="1129" t="inlineStr">
        <is>
          <t>ASTM A182 UNS S32750 – 32760)</t>
        </is>
      </c>
    </row>
    <row r="213" ht="15.75" customHeight="1" s="510" thickBot="1">
      <c r="B213" s="151" t="inlineStr">
        <is>
          <t>C</t>
        </is>
      </c>
      <c r="C213" s="152" t="inlineStr">
        <is>
          <t>0-0,03</t>
        </is>
      </c>
      <c r="D213" s="152" t="inlineStr">
        <is>
          <t>0,03 max</t>
        </is>
      </c>
    </row>
    <row r="214" ht="15.75" customHeight="1" s="510" thickBot="1">
      <c r="B214" s="153" t="inlineStr">
        <is>
          <t>Mn</t>
        </is>
      </c>
      <c r="C214" s="154" t="n">
        <v>2</v>
      </c>
      <c r="D214" s="155" t="inlineStr">
        <is>
          <t>1,05,2021</t>
        </is>
      </c>
    </row>
    <row r="215" ht="15.75" customHeight="1" s="510" thickBot="1">
      <c r="B215" s="151" t="inlineStr">
        <is>
          <t>Si</t>
        </is>
      </c>
      <c r="C215" s="152" t="n">
        <v>1</v>
      </c>
      <c r="D215" s="152" t="n">
        <v>0.8</v>
      </c>
    </row>
    <row r="216" ht="15.75" customHeight="1" s="510" thickBot="1">
      <c r="B216" s="153" t="inlineStr">
        <is>
          <t>P</t>
        </is>
      </c>
      <c r="C216" s="154" t="inlineStr">
        <is>
          <t>0-0,03</t>
        </is>
      </c>
      <c r="D216" s="154" t="n">
        <v>0.035</v>
      </c>
    </row>
    <row r="217" ht="15.75" customHeight="1" s="510" thickBot="1">
      <c r="B217" s="151" t="inlineStr">
        <is>
          <t>S</t>
        </is>
      </c>
      <c r="C217" s="152" t="inlineStr">
        <is>
          <t>0-0,02</t>
        </is>
      </c>
      <c r="D217" s="152" t="n">
        <v>0.02</v>
      </c>
    </row>
    <row r="218" ht="15.75" customHeight="1" s="510" thickBot="1">
      <c r="B218" s="153" t="inlineStr">
        <is>
          <t>Cr</t>
        </is>
      </c>
      <c r="C218" s="154" t="inlineStr">
        <is>
          <t>21-23</t>
        </is>
      </c>
      <c r="D218" s="154" t="inlineStr">
        <is>
          <t>24-26</t>
        </is>
      </c>
    </row>
    <row r="219" ht="15.75" customHeight="1" s="510" thickBot="1">
      <c r="B219" s="151" t="inlineStr">
        <is>
          <t>Mo</t>
        </is>
      </c>
      <c r="C219" s="152" t="inlineStr">
        <is>
          <t>2,5-3,5</t>
        </is>
      </c>
      <c r="D219" s="152" t="inlineStr">
        <is>
          <t>3,0-5,0</t>
        </is>
      </c>
    </row>
    <row r="220" ht="15.75" customHeight="1" s="510" thickBot="1">
      <c r="B220" s="153" t="inlineStr">
        <is>
          <t>Ni</t>
        </is>
      </c>
      <c r="C220" s="154" t="inlineStr">
        <is>
          <t>4,5-6,5</t>
        </is>
      </c>
      <c r="D220" s="154" t="inlineStr">
        <is>
          <t>5,5-8,0</t>
        </is>
      </c>
    </row>
    <row r="221" ht="15.75" customHeight="1" s="510" thickBot="1">
      <c r="B221" s="151" t="inlineStr">
        <is>
          <t>N</t>
        </is>
      </c>
      <c r="C221" s="152" t="inlineStr">
        <is>
          <t>0,08-0,2</t>
        </is>
      </c>
      <c r="D221" s="152" t="inlineStr">
        <is>
          <t>0,2-0,35</t>
        </is>
      </c>
    </row>
    <row r="222" ht="15.75" customHeight="1" s="510" thickBot="1">
      <c r="B222" s="153" t="inlineStr">
        <is>
          <t>Cu</t>
        </is>
      </c>
      <c r="C222" s="154" t="inlineStr">
        <is>
          <t>–</t>
        </is>
      </c>
      <c r="D222" s="156" t="inlineStr">
        <is>
          <t>0,5-3,0</t>
        </is>
      </c>
    </row>
    <row r="223">
      <c r="B223" s="132" t="inlineStr">
        <is>
          <t>The most widely used grade for Duplex flange is 2205, due to its superior resistance to corrosion and mechanical strength,</t>
        </is>
      </c>
    </row>
    <row r="224">
      <c r="B224" s="448" t="n"/>
    </row>
    <row r="225">
      <c r="B225" s="132" t="inlineStr">
        <is>
          <t>The designation “2205” is related to the chemical composition of this material, which features 22% of chromium and 5% of nickel,</t>
        </is>
      </c>
    </row>
    <row r="226">
      <c r="B226" s="448" t="n"/>
    </row>
    <row r="227">
      <c r="B227" s="132" t="inlineStr">
        <is>
          <t>Super Duplex flange show an even superior strength and a higher corrosion resistance than standard duplex steel (and austenitic grades, of course),</t>
        </is>
      </c>
    </row>
    <row r="228">
      <c r="B228" s="448" t="n"/>
    </row>
    <row r="229">
      <c r="B229" s="132" t="inlineStr">
        <is>
          <t>The main difference between a duplex and a super duplex grade is the addition of copper to the alloy (in addition to increased amounts of Chromium, Moly, and Nickel),</t>
        </is>
      </c>
    </row>
    <row r="230">
      <c r="B230" s="448" t="n"/>
    </row>
    <row r="231">
      <c r="B231" s="132" t="inlineStr">
        <is>
          <t>The addition of copper gives Super Duplex Stainless Steel an improved resistance to hot chlorides and strong reducing acids, like sulphuric acid, compared to a standard Duplex grade,</t>
        </is>
      </c>
    </row>
    <row r="232">
      <c r="B232" s="448" t="n"/>
    </row>
    <row r="233">
      <c r="B233" s="132" t="inlineStr">
        <is>
          <t>Whilst UNS S31803, UNS 32205 (duplex) and UNS S32750, UNS S32760 are standard designations, most manufacturers of superalloys attribute proprietary names to these steels (example UR52N+ is a Usinor/Arcelor Super Duplex steel, Ferralium, Zeron, Sandvik SAF 2205 22Cr, etc),</t>
        </is>
      </c>
    </row>
    <row r="234">
      <c r="B234" s="448" t="n"/>
    </row>
    <row r="235" ht="17.25" customHeight="1" s="510">
      <c r="B235" s="498" t="inlineStr">
        <is>
          <t>MECHANICAL PROPERTIES A182 DUPLEX AND SUPER DUPLEX</t>
        </is>
      </c>
    </row>
    <row r="236" ht="15.75" customHeight="1" s="510" thickBot="1">
      <c r="B236" s="448" t="n"/>
    </row>
    <row r="237">
      <c r="B237" s="153" t="inlineStr">
        <is>
          <t>Mechanical Properties</t>
        </is>
      </c>
      <c r="C237" s="1128" t="inlineStr">
        <is>
          <t>Duplex 2205</t>
        </is>
      </c>
      <c r="D237" s="1128" t="inlineStr">
        <is>
          <t>Super Duplex</t>
        </is>
      </c>
    </row>
    <row r="238" ht="36.75" customHeight="1" s="510" thickBot="1">
      <c r="B238" s="1222" t="n"/>
      <c r="C238" s="1129" t="inlineStr">
        <is>
          <t>(ASTM A182 UNS S31803 – UNS S32205)</t>
        </is>
      </c>
      <c r="D238" s="1129" t="inlineStr">
        <is>
          <t>ASTM A182 UNS S32750 – 32760)</t>
        </is>
      </c>
    </row>
    <row r="239" ht="15.75" customHeight="1" s="510" thickBot="1">
      <c r="B239" s="152" t="inlineStr">
        <is>
          <t>Tensile Strength (in MPa)</t>
        </is>
      </c>
      <c r="C239" s="152" t="n">
        <v>620</v>
      </c>
      <c r="D239" s="152" t="n">
        <v>770</v>
      </c>
    </row>
    <row r="240" ht="15.75" customHeight="1" s="510" thickBot="1">
      <c r="B240" s="154" t="inlineStr">
        <is>
          <t>Proof Stress 0,2% (in MPa)</t>
        </is>
      </c>
      <c r="C240" s="154" t="n">
        <v>450</v>
      </c>
      <c r="D240" s="154" t="n">
        <v>550</v>
      </c>
    </row>
    <row r="241" ht="15.75" customHeight="1" s="510" thickBot="1">
      <c r="B241" s="152" t="inlineStr">
        <is>
          <t>A5 Elongation (in %)</t>
        </is>
      </c>
      <c r="C241" s="152" t="n">
        <v>25</v>
      </c>
      <c r="D241" s="152" t="n">
        <v>25</v>
      </c>
    </row>
    <row r="242" ht="18" customHeight="1" s="510" thickBot="1">
      <c r="B242" s="498" t="n"/>
    </row>
    <row r="243">
      <c r="B243" s="153" t="inlineStr">
        <is>
          <t>Physical Attribute</t>
        </is>
      </c>
      <c r="C243" s="1128" t="inlineStr">
        <is>
          <t>Duplex 2205</t>
        </is>
      </c>
      <c r="D243" s="1128" t="inlineStr">
        <is>
          <t>Super Duplex</t>
        </is>
      </c>
    </row>
    <row r="244" ht="36.75" customHeight="1" s="510" thickBot="1">
      <c r="B244" s="1222" t="n"/>
      <c r="C244" s="1129" t="inlineStr">
        <is>
          <t>(ASTM A182 UNS S31803 – UNS S32205)</t>
        </is>
      </c>
      <c r="D244" s="1129" t="inlineStr">
        <is>
          <t>ASTM A182 UNS S32750 – 32760)</t>
        </is>
      </c>
    </row>
    <row r="245" ht="15.75" customHeight="1" s="510" thickBot="1">
      <c r="B245" s="151" t="inlineStr">
        <is>
          <t>Density (g,cm3)</t>
        </is>
      </c>
      <c r="C245" s="157" t="n">
        <v>7805</v>
      </c>
      <c r="D245" s="157" t="n">
        <v>7810</v>
      </c>
    </row>
    <row r="246" ht="15.75" customHeight="1" s="510" thickBot="1">
      <c r="B246" s="153" t="inlineStr">
        <is>
          <t>Modulus of Elasticity (GPa)</t>
        </is>
      </c>
      <c r="C246" s="154" t="n">
        <v>200</v>
      </c>
      <c r="D246" s="154" t="n">
        <v>205</v>
      </c>
    </row>
    <row r="247" ht="15.75" customHeight="1" s="510" thickBot="1">
      <c r="B247" s="151" t="inlineStr">
        <is>
          <t>Electrical Resistivity (Ω,m)</t>
        </is>
      </c>
      <c r="C247" s="152" t="inlineStr">
        <is>
          <t>0,085×10-6</t>
        </is>
      </c>
      <c r="D247" s="152" t="inlineStr">
        <is>
          <t>0,085×10-6</t>
        </is>
      </c>
    </row>
    <row r="248" ht="15.75" customHeight="1" s="510" thickBot="1">
      <c r="B248" s="153" t="inlineStr">
        <is>
          <t>Thermal Conductivity (W/m,K)</t>
        </is>
      </c>
      <c r="C248" s="154" t="inlineStr">
        <is>
          <t>19 at 100°C</t>
        </is>
      </c>
      <c r="D248" s="154" t="inlineStr">
        <is>
          <t>17 at 100°C</t>
        </is>
      </c>
    </row>
    <row r="249" ht="24.75" customHeight="1" s="510" thickBot="1">
      <c r="B249" s="151" t="inlineStr">
        <is>
          <t>Thermal Expansion (m/m,K)</t>
        </is>
      </c>
      <c r="C249" s="152" t="inlineStr">
        <is>
          <t>13,7×10-6 to 100°C</t>
        </is>
      </c>
      <c r="D249" s="152" t="inlineStr">
        <is>
          <t>13,5×10-6 to 200°C</t>
        </is>
      </c>
    </row>
    <row r="250">
      <c r="B250" s="132" t="inlineStr">
        <is>
          <t>The significant addition of Chromium in Duplex Steel grades, that protects the alloy against corrosion, is a source of steel embrittlement at temperatures over about 300°C, However, at lower temperatures duplex steels show better ductility properties than ferritic and martensitic stainless steels (they can easily be used at a temperature below -50 C°),</t>
        </is>
      </c>
    </row>
    <row r="251">
      <c r="B251" s="448" t="n"/>
    </row>
    <row r="252" ht="22.5" customHeight="1" s="510">
      <c r="B252" s="158" t="inlineStr">
        <is>
          <t>NICKEL ALLOY FLANGES</t>
        </is>
      </c>
    </row>
    <row r="253">
      <c r="B253" s="448" t="n"/>
    </row>
    <row r="254" ht="17.25" customHeight="1" s="510">
      <c r="B254" s="498" t="inlineStr">
        <is>
          <t>ASTM SPECIFICATIONS FOR NICKEL ALLOY FLANGES</t>
        </is>
      </c>
    </row>
    <row r="255" ht="15.75" customHeight="1" s="510" thickBot="1">
      <c r="B255" s="448" t="n"/>
    </row>
    <row r="256" ht="15.75" customHeight="1" s="510" thickBot="1">
      <c r="B256" s="159" t="inlineStr">
        <is>
          <t>ASTM B160</t>
        </is>
      </c>
      <c r="C256" s="134" t="inlineStr">
        <is>
          <t xml:space="preserve"> Nickel 200 Flange</t>
        </is>
      </c>
    </row>
    <row r="257" ht="15.75" customHeight="1" s="510" thickBot="1">
      <c r="B257" s="160" t="inlineStr">
        <is>
          <t>ASTM B166</t>
        </is>
      </c>
      <c r="C257" s="142" t="inlineStr">
        <is>
          <t xml:space="preserve"> Inconel 600 Flange</t>
        </is>
      </c>
    </row>
    <row r="258" ht="15.75" customHeight="1" s="510" thickBot="1">
      <c r="B258" s="159" t="inlineStr">
        <is>
          <t>ASTM B564</t>
        </is>
      </c>
      <c r="C258" s="134" t="inlineStr">
        <is>
          <t xml:space="preserve"> Inconel 625 Flange</t>
        </is>
      </c>
    </row>
    <row r="259" ht="15.75" customHeight="1" s="510" thickBot="1">
      <c r="B259" s="160" t="inlineStr">
        <is>
          <t>ASTM B425</t>
        </is>
      </c>
      <c r="C259" s="142" t="inlineStr">
        <is>
          <t xml:space="preserve"> Incoloy 800 Flange</t>
        </is>
      </c>
    </row>
    <row r="260" ht="15.75" customHeight="1" s="510" thickBot="1">
      <c r="B260" s="134" t="inlineStr">
        <is>
          <t>ASTM B564</t>
        </is>
      </c>
      <c r="C260" s="134" t="inlineStr">
        <is>
          <t xml:space="preserve"> Incoloy 825 Flange</t>
        </is>
      </c>
    </row>
    <row r="261" ht="15.75" customHeight="1" s="510" thickBot="1">
      <c r="B261" s="142" t="inlineStr">
        <is>
          <t>ASTM B564</t>
        </is>
      </c>
      <c r="C261" s="142" t="inlineStr">
        <is>
          <t xml:space="preserve"> Monel K400 Flange</t>
        </is>
      </c>
    </row>
    <row r="262" ht="15.75" customHeight="1" s="510" thickBot="1">
      <c r="B262" s="134" t="inlineStr">
        <is>
          <t>ASTM B564</t>
        </is>
      </c>
      <c r="C262" s="134" t="inlineStr">
        <is>
          <t xml:space="preserve"> Hastelloy C276 Flange</t>
        </is>
      </c>
    </row>
    <row r="263" ht="17.25" customHeight="1" s="510">
      <c r="B263" s="498" t="inlineStr">
        <is>
          <t>CHEMICAL COMPOSITION NICKEL-ALLOY FLANGES</t>
        </is>
      </c>
    </row>
    <row r="264" ht="15.75" customHeight="1" s="510" thickBot="1">
      <c r="B264" s="448" t="n"/>
    </row>
    <row r="265" ht="15.75" customHeight="1" s="510" thickBot="1">
      <c r="B265" s="138" t="inlineStr">
        <is>
          <t>Superalloy Grade</t>
        </is>
      </c>
      <c r="C265" s="138" t="inlineStr">
        <is>
          <t>UNS Equivalent</t>
        </is>
      </c>
      <c r="D265" s="135" t="inlineStr">
        <is>
          <t>Alloy Composition</t>
        </is>
      </c>
      <c r="E265" s="1220" t="n"/>
      <c r="F265" s="1220" t="n"/>
      <c r="G265" s="1220" t="n"/>
      <c r="H265" s="1220" t="n"/>
      <c r="I265" s="1220" t="n"/>
      <c r="J265" s="1220" t="n"/>
      <c r="K265" s="1220" t="n"/>
      <c r="L265" s="1220" t="n"/>
      <c r="M265" s="1221" t="n"/>
    </row>
    <row r="266" ht="15.75" customHeight="1" s="510" thickBot="1">
      <c r="B266" s="142" t="n"/>
      <c r="C266" s="142" t="n"/>
      <c r="D266" s="141" t="inlineStr">
        <is>
          <t>C</t>
        </is>
      </c>
      <c r="E266" s="141" t="inlineStr">
        <is>
          <t>Mn</t>
        </is>
      </c>
      <c r="F266" s="141" t="inlineStr">
        <is>
          <t>S</t>
        </is>
      </c>
      <c r="G266" s="141" t="inlineStr">
        <is>
          <t>Si</t>
        </is>
      </c>
      <c r="H266" s="141" t="inlineStr">
        <is>
          <t>Cr</t>
        </is>
      </c>
      <c r="I266" s="141" t="inlineStr">
        <is>
          <t>Ni</t>
        </is>
      </c>
      <c r="J266" s="141" t="inlineStr">
        <is>
          <t>Mo</t>
        </is>
      </c>
      <c r="K266" s="141" t="inlineStr">
        <is>
          <t>Cu</t>
        </is>
      </c>
      <c r="L266" s="141" t="inlineStr">
        <is>
          <t>Ti</t>
        </is>
      </c>
      <c r="M266" s="141" t="inlineStr">
        <is>
          <t>Fe</t>
        </is>
      </c>
    </row>
    <row r="267" ht="15.75" customHeight="1" s="510" thickBot="1">
      <c r="B267" s="134" t="inlineStr">
        <is>
          <t>Nickel 200</t>
        </is>
      </c>
      <c r="C267" s="134" t="inlineStr">
        <is>
          <t>N02200</t>
        </is>
      </c>
      <c r="D267" s="137" t="n">
        <v>0.08</v>
      </c>
      <c r="E267" s="137" t="n">
        <v>0.18</v>
      </c>
      <c r="F267" s="137" t="n">
        <v>0.005</v>
      </c>
      <c r="G267" s="137" t="n">
        <v>0.18</v>
      </c>
      <c r="H267" s="137" t="inlineStr">
        <is>
          <t>…</t>
        </is>
      </c>
      <c r="I267" s="137" t="inlineStr">
        <is>
          <t>99,5(a)</t>
        </is>
      </c>
      <c r="J267" s="137" t="inlineStr">
        <is>
          <t>…</t>
        </is>
      </c>
      <c r="K267" s="137" t="n">
        <v>0.13</v>
      </c>
      <c r="L267" s="137" t="inlineStr">
        <is>
          <t>…</t>
        </is>
      </c>
      <c r="M267" s="137" t="n">
        <v>0.2</v>
      </c>
    </row>
    <row r="268" ht="15.75" customHeight="1" s="510" thickBot="1">
      <c r="B268" s="142" t="inlineStr">
        <is>
          <t>Nickel 201</t>
        </is>
      </c>
      <c r="C268" s="142" t="inlineStr">
        <is>
          <t>N02201</t>
        </is>
      </c>
      <c r="D268" s="136" t="n">
        <v>0.01</v>
      </c>
      <c r="E268" s="136" t="n">
        <v>0.18</v>
      </c>
      <c r="F268" s="136" t="n">
        <v>0.005</v>
      </c>
      <c r="G268" s="136" t="n">
        <v>0.18</v>
      </c>
      <c r="H268" s="136" t="inlineStr">
        <is>
          <t>…</t>
        </is>
      </c>
      <c r="I268" s="136" t="inlineStr">
        <is>
          <t>99,6(a)</t>
        </is>
      </c>
      <c r="J268" s="136" t="inlineStr">
        <is>
          <t>…</t>
        </is>
      </c>
      <c r="K268" s="136" t="n">
        <v>0.13</v>
      </c>
      <c r="L268" s="136" t="inlineStr">
        <is>
          <t>…</t>
        </is>
      </c>
      <c r="M268" s="136" t="n">
        <v>0.2</v>
      </c>
    </row>
    <row r="269" ht="15.75" customHeight="1" s="510" thickBot="1">
      <c r="B269" s="134" t="inlineStr">
        <is>
          <t>Monel 400</t>
        </is>
      </c>
      <c r="C269" s="134" t="inlineStr">
        <is>
          <t>N04400</t>
        </is>
      </c>
      <c r="D269" s="137" t="n">
        <v>0.15</v>
      </c>
      <c r="E269" s="137" t="n">
        <v>1</v>
      </c>
      <c r="F269" s="137" t="n">
        <v>0.012</v>
      </c>
      <c r="G269" s="137" t="n">
        <v>0.25</v>
      </c>
      <c r="H269" s="137" t="inlineStr">
        <is>
          <t>…</t>
        </is>
      </c>
      <c r="I269" s="137" t="inlineStr">
        <is>
          <t>66,5(a)</t>
        </is>
      </c>
      <c r="J269" s="137" t="inlineStr">
        <is>
          <t>…</t>
        </is>
      </c>
      <c r="K269" s="161" t="inlineStr">
        <is>
          <t>31,05,2021</t>
        </is>
      </c>
      <c r="L269" s="137" t="inlineStr">
        <is>
          <t>…</t>
        </is>
      </c>
      <c r="M269" s="162" t="inlineStr">
        <is>
          <t>1,01,2025</t>
        </is>
      </c>
    </row>
    <row r="270" ht="15.75" customHeight="1" s="510" thickBot="1">
      <c r="B270" s="142" t="inlineStr">
        <is>
          <t>Monel K-500</t>
        </is>
      </c>
      <c r="C270" s="142" t="inlineStr">
        <is>
          <t>N05500</t>
        </is>
      </c>
      <c r="D270" s="136" t="n">
        <v>0.13</v>
      </c>
      <c r="E270" s="136" t="n">
        <v>0.75</v>
      </c>
      <c r="F270" s="136" t="n">
        <v>0.005</v>
      </c>
      <c r="G270" s="136" t="n">
        <v>0.25</v>
      </c>
      <c r="H270" s="136" t="inlineStr">
        <is>
          <t>…</t>
        </is>
      </c>
      <c r="I270" s="136" t="inlineStr">
        <is>
          <t>66,5(a)</t>
        </is>
      </c>
      <c r="J270" s="136" t="inlineStr">
        <is>
          <t>…</t>
        </is>
      </c>
      <c r="K270" s="163" t="inlineStr">
        <is>
          <t>29,05,2021</t>
        </is>
      </c>
      <c r="L270" s="136" t="n">
        <v>0.6</v>
      </c>
      <c r="M270" s="136" t="n">
        <v>1</v>
      </c>
    </row>
    <row r="271" ht="15.75" customHeight="1" s="510" thickBot="1">
      <c r="B271" s="134" t="inlineStr">
        <is>
          <t>Hastelloy B</t>
        </is>
      </c>
      <c r="C271" s="134" t="inlineStr">
        <is>
          <t>N10665</t>
        </is>
      </c>
      <c r="D271" s="137" t="inlineStr">
        <is>
          <t>0,05 max</t>
        </is>
      </c>
      <c r="E271" s="137" t="n">
        <v>1</v>
      </c>
      <c r="F271" s="137" t="inlineStr">
        <is>
          <t>…</t>
        </is>
      </c>
      <c r="G271" s="137" t="n">
        <v>1</v>
      </c>
      <c r="H271" s="137" t="n">
        <v>1</v>
      </c>
      <c r="I271" s="137" t="n">
        <v>61</v>
      </c>
      <c r="J271" s="137" t="n">
        <v>28</v>
      </c>
      <c r="K271" s="137" t="inlineStr">
        <is>
          <t>…</t>
        </is>
      </c>
      <c r="L271" s="137" t="inlineStr">
        <is>
          <t>…</t>
        </is>
      </c>
      <c r="M271" s="137" t="n">
        <v>5</v>
      </c>
    </row>
    <row r="272" ht="15.75" customHeight="1" s="510" thickBot="1">
      <c r="B272" s="142" t="inlineStr">
        <is>
          <t>Hastelloy D</t>
        </is>
      </c>
      <c r="C272" s="142" t="inlineStr">
        <is>
          <t>–</t>
        </is>
      </c>
      <c r="D272" s="136" t="n">
        <v>0.12</v>
      </c>
      <c r="E272" s="136" t="n">
        <v>0.9</v>
      </c>
      <c r="F272" s="136" t="inlineStr">
        <is>
          <t>…</t>
        </is>
      </c>
      <c r="G272" s="164" t="inlineStr">
        <is>
          <t>1,09,2025</t>
        </is>
      </c>
      <c r="H272" s="136" t="n">
        <v>1</v>
      </c>
      <c r="I272" s="136" t="n">
        <v>82</v>
      </c>
      <c r="J272" s="136" t="inlineStr">
        <is>
          <t>…</t>
        </is>
      </c>
      <c r="K272" s="136" t="n">
        <v>3</v>
      </c>
      <c r="L272" s="136" t="inlineStr">
        <is>
          <t>…</t>
        </is>
      </c>
      <c r="M272" s="136" t="n">
        <v>2</v>
      </c>
    </row>
    <row r="273" ht="15.75" customHeight="1" s="510" thickBot="1">
      <c r="B273" s="134" t="inlineStr">
        <is>
          <t>Inconel 600</t>
        </is>
      </c>
      <c r="C273" s="134" t="inlineStr">
        <is>
          <t>N06600</t>
        </is>
      </c>
      <c r="D273" s="137" t="n">
        <v>0.08</v>
      </c>
      <c r="E273" s="137" t="n">
        <v>0.5</v>
      </c>
      <c r="F273" s="137" t="n">
        <v>0.008</v>
      </c>
      <c r="G273" s="137" t="n">
        <v>0.25</v>
      </c>
      <c r="H273" s="161" t="inlineStr">
        <is>
          <t>15,05,2021</t>
        </is>
      </c>
      <c r="I273" s="137" t="inlineStr">
        <is>
          <t>76,0(a)</t>
        </is>
      </c>
      <c r="J273" s="137" t="inlineStr">
        <is>
          <t>…</t>
        </is>
      </c>
      <c r="K273" s="137" t="n">
        <v>0.25</v>
      </c>
      <c r="L273" s="137" t="inlineStr">
        <is>
          <t>…</t>
        </is>
      </c>
      <c r="M273" s="137" t="n">
        <v>8</v>
      </c>
    </row>
    <row r="274" ht="15.75" customHeight="1" s="510" thickBot="1">
      <c r="B274" s="142" t="inlineStr">
        <is>
          <t>Inconel 800</t>
        </is>
      </c>
      <c r="C274" s="142" t="inlineStr">
        <is>
          <t>N08800</t>
        </is>
      </c>
      <c r="D274" s="136" t="n">
        <v>0.05</v>
      </c>
      <c r="E274" s="136" t="n">
        <v>0.75</v>
      </c>
      <c r="F274" s="136" t="n">
        <v>0.008</v>
      </c>
      <c r="G274" s="136" t="n">
        <v>0.5</v>
      </c>
      <c r="H274" s="136" t="n">
        <v>21</v>
      </c>
      <c r="I274" s="136" t="n">
        <v>32.5</v>
      </c>
      <c r="J274" s="136" t="inlineStr">
        <is>
          <t>…</t>
        </is>
      </c>
      <c r="K274" s="136" t="n">
        <v>0.38</v>
      </c>
      <c r="L274" s="136" t="n">
        <v>0.38</v>
      </c>
      <c r="M274" s="136" t="n">
        <v>46</v>
      </c>
    </row>
    <row r="275" ht="15.75" customHeight="1" s="510" thickBot="1">
      <c r="B275" s="134" t="inlineStr">
        <is>
          <t>Hastelloy C-276</t>
        </is>
      </c>
      <c r="C275" s="134" t="inlineStr">
        <is>
          <t>N10276</t>
        </is>
      </c>
      <c r="D275" s="137" t="n">
        <v>0.01</v>
      </c>
      <c r="E275" s="137" t="n">
        <v>0.5</v>
      </c>
      <c r="F275" s="137" t="n">
        <v>0.02</v>
      </c>
      <c r="G275" s="137" t="n">
        <v>0.03</v>
      </c>
      <c r="H275" s="161" t="inlineStr">
        <is>
          <t>15,05,2021</t>
        </is>
      </c>
      <c r="I275" s="137" t="n">
        <v>57</v>
      </c>
      <c r="J275" s="137" t="n">
        <v>16</v>
      </c>
      <c r="K275" s="137" t="inlineStr">
        <is>
          <t>…</t>
        </is>
      </c>
      <c r="L275" s="137" t="inlineStr">
        <is>
          <t>…</t>
        </is>
      </c>
      <c r="M275" s="161" t="inlineStr">
        <is>
          <t>5,05,2021</t>
        </is>
      </c>
    </row>
    <row r="276" ht="15.75" customHeight="1" s="510" thickBot="1">
      <c r="B276" s="142" t="inlineStr">
        <is>
          <t>Inconel 625</t>
        </is>
      </c>
      <c r="C276" s="142" t="inlineStr">
        <is>
          <t>N06025</t>
        </is>
      </c>
      <c r="D276" s="136" t="n">
        <v>0.05</v>
      </c>
      <c r="E276" s="136" t="n">
        <v>0.25</v>
      </c>
      <c r="F276" s="136" t="n">
        <v>0.008</v>
      </c>
      <c r="G276" s="136" t="n">
        <v>0.25</v>
      </c>
      <c r="H276" s="163" t="inlineStr">
        <is>
          <t>21,05,2021</t>
        </is>
      </c>
      <c r="I276" s="136" t="inlineStr">
        <is>
          <t>61,0(a)</t>
        </is>
      </c>
      <c r="J276" s="136" t="n">
        <v>9</v>
      </c>
      <c r="K276" s="136" t="inlineStr">
        <is>
          <t>…</t>
        </is>
      </c>
      <c r="L276" s="136" t="n">
        <v>0.2</v>
      </c>
      <c r="M276" s="163" t="inlineStr">
        <is>
          <t>2,05,2021</t>
        </is>
      </c>
    </row>
    <row r="277" ht="15.75" customHeight="1" s="510" thickBot="1">
      <c r="B277" s="134" t="inlineStr">
        <is>
          <t>Incoloy 825</t>
        </is>
      </c>
      <c r="C277" s="134" t="inlineStr">
        <is>
          <t>N08825</t>
        </is>
      </c>
      <c r="D277" s="137" t="n">
        <v>0.03</v>
      </c>
      <c r="E277" s="137" t="n">
        <v>0.5</v>
      </c>
      <c r="F277" s="137" t="n">
        <v>0.015</v>
      </c>
      <c r="G277" s="137" t="n">
        <v>0.25</v>
      </c>
      <c r="H277" s="161" t="inlineStr">
        <is>
          <t>21,05,2021</t>
        </is>
      </c>
      <c r="I277" s="137" t="n">
        <v>42</v>
      </c>
      <c r="J277" s="137" t="n">
        <v>3</v>
      </c>
      <c r="K277" s="162" t="inlineStr">
        <is>
          <t>1,02,2025</t>
        </is>
      </c>
      <c r="L277" s="137" t="n">
        <v>0.9</v>
      </c>
      <c r="M277" s="137" t="n">
        <v>30</v>
      </c>
    </row>
    <row r="278" ht="15.75" customHeight="1" s="510" thickBot="1">
      <c r="B278" s="142" t="inlineStr">
        <is>
          <t>Hastelloy G</t>
        </is>
      </c>
      <c r="C278" s="142" t="inlineStr">
        <is>
          <t>N06030</t>
        </is>
      </c>
      <c r="D278" s="136" t="n">
        <v>0.03</v>
      </c>
      <c r="E278" s="163" t="inlineStr">
        <is>
          <t>1,05,2021</t>
        </is>
      </c>
      <c r="F278" s="136" t="n">
        <v>0.02</v>
      </c>
      <c r="G278" s="136" t="n">
        <v>0.5</v>
      </c>
      <c r="H278" s="136" t="n">
        <v>22.25</v>
      </c>
      <c r="I278" s="136" t="n">
        <v>44</v>
      </c>
      <c r="J278" s="163" t="inlineStr">
        <is>
          <t>6,05,2021</t>
        </is>
      </c>
      <c r="K278" s="136" t="n">
        <v>2</v>
      </c>
      <c r="L278" s="136" t="inlineStr">
        <is>
          <t>…</t>
        </is>
      </c>
      <c r="M278" s="163" t="inlineStr">
        <is>
          <t>19,05,2021</t>
        </is>
      </c>
    </row>
    <row r="279" ht="15.75" customHeight="1" s="510" thickBot="1">
      <c r="B279" s="134" t="inlineStr">
        <is>
          <t>20Cb-3</t>
        </is>
      </c>
      <c r="C279" s="134" t="inlineStr">
        <is>
          <t>N08020</t>
        </is>
      </c>
      <c r="D279" s="137" t="n">
        <v>0.04</v>
      </c>
      <c r="E279" s="137" t="n">
        <v>1</v>
      </c>
      <c r="F279" s="137" t="n">
        <v>0.02</v>
      </c>
      <c r="G279" s="137" t="n">
        <v>0.5</v>
      </c>
      <c r="H279" s="137" t="n">
        <v>20</v>
      </c>
      <c r="I279" s="137" t="n">
        <v>34</v>
      </c>
      <c r="J279" s="161" t="inlineStr">
        <is>
          <t>2,05,2021</t>
        </is>
      </c>
      <c r="K279" s="161" t="inlineStr">
        <is>
          <t>3,05,2021</t>
        </is>
      </c>
      <c r="L279" s="137" t="inlineStr">
        <is>
          <t>…</t>
        </is>
      </c>
      <c r="M279" s="137" t="inlineStr">
        <is>
          <t>…</t>
        </is>
      </c>
    </row>
    <row r="280" ht="17.25" customHeight="1" s="510">
      <c r="B280" s="498" t="inlineStr">
        <is>
          <t>MECHANICAL PROPERTIES NICKEL-ALLOY FLANGES</t>
        </is>
      </c>
    </row>
    <row r="281" ht="15.75" customHeight="1" s="510" thickBot="1">
      <c r="B281" s="448" t="n"/>
    </row>
    <row r="282" ht="24" customHeight="1" s="510">
      <c r="B282" s="138" t="inlineStr">
        <is>
          <t>Superalloy grade</t>
        </is>
      </c>
      <c r="C282" s="138" t="inlineStr">
        <is>
          <t>UNS Equivalent</t>
        </is>
      </c>
      <c r="D282" s="1130" t="inlineStr">
        <is>
          <t xml:space="preserve">Yield Strength (in </t>
        </is>
      </c>
      <c r="E282" s="135" t="inlineStr">
        <is>
          <t>Tensile Strength (in ksi)</t>
        </is>
      </c>
      <c r="F282" s="135" t="inlineStr">
        <is>
          <t>Elongation %</t>
        </is>
      </c>
      <c r="G282" s="135" t="inlineStr">
        <is>
          <t>Rockwell</t>
        </is>
      </c>
      <c r="H282" s="135" t="inlineStr">
        <is>
          <t>Brinell</t>
        </is>
      </c>
    </row>
    <row r="283" ht="15.75" customHeight="1" s="510" thickBot="1">
      <c r="B283" s="1222" t="n"/>
      <c r="C283" s="1222" t="n"/>
      <c r="D283" s="1131" t="inlineStr">
        <is>
          <t>ksi)</t>
        </is>
      </c>
      <c r="E283" s="1222" t="n"/>
      <c r="F283" s="1222" t="n"/>
      <c r="G283" s="1222" t="n"/>
      <c r="H283" s="1222" t="n"/>
    </row>
    <row r="284" ht="15.75" customHeight="1" s="510" thickBot="1">
      <c r="B284" s="142" t="inlineStr">
        <is>
          <t>Nickel 200</t>
        </is>
      </c>
      <c r="C284" s="142" t="inlineStr">
        <is>
          <t>N02200</t>
        </is>
      </c>
      <c r="D284" s="136" t="n">
        <v>15</v>
      </c>
      <c r="E284" s="136" t="n">
        <v>55</v>
      </c>
      <c r="F284" s="136" t="n">
        <v>35</v>
      </c>
      <c r="G284" s="136" t="inlineStr">
        <is>
          <t>–</t>
        </is>
      </c>
      <c r="H284" s="136" t="inlineStr">
        <is>
          <t>90-120</t>
        </is>
      </c>
    </row>
    <row r="285" ht="15.75" customHeight="1" s="510" thickBot="1">
      <c r="B285" s="134" t="inlineStr">
        <is>
          <t>Nickel 201</t>
        </is>
      </c>
      <c r="C285" s="134" t="inlineStr">
        <is>
          <t>N02201</t>
        </is>
      </c>
      <c r="D285" s="137" t="n">
        <v>12</v>
      </c>
      <c r="E285" s="137" t="n">
        <v>50</v>
      </c>
      <c r="F285" s="137" t="n">
        <v>35</v>
      </c>
      <c r="G285" s="137" t="inlineStr">
        <is>
          <t>–</t>
        </is>
      </c>
      <c r="H285" s="137" t="inlineStr">
        <is>
          <t>90-120</t>
        </is>
      </c>
    </row>
    <row r="286" ht="15.75" customHeight="1" s="510" thickBot="1">
      <c r="B286" s="142" t="inlineStr">
        <is>
          <t>Monel 400</t>
        </is>
      </c>
      <c r="C286" s="142" t="inlineStr">
        <is>
          <t>N04400</t>
        </is>
      </c>
      <c r="D286" s="136" t="n">
        <v>25</v>
      </c>
      <c r="E286" s="136" t="n">
        <v>70</v>
      </c>
      <c r="F286" s="136" t="n">
        <v>35</v>
      </c>
      <c r="G286" s="136" t="inlineStr">
        <is>
          <t>–</t>
        </is>
      </c>
      <c r="H286" s="136" t="inlineStr">
        <is>
          <t>110-149</t>
        </is>
      </c>
    </row>
    <row r="287" ht="15.75" customHeight="1" s="510" thickBot="1">
      <c r="B287" s="134" t="inlineStr">
        <is>
          <t>Monel K-500</t>
        </is>
      </c>
      <c r="C287" s="134" t="inlineStr">
        <is>
          <t>N05500</t>
        </is>
      </c>
      <c r="D287" s="137" t="n">
        <v>100</v>
      </c>
      <c r="E287" s="137" t="n">
        <v>140</v>
      </c>
      <c r="F287" s="137" t="n">
        <v>17</v>
      </c>
      <c r="G287" s="137" t="inlineStr">
        <is>
          <t>–</t>
        </is>
      </c>
      <c r="H287" s="137" t="inlineStr">
        <is>
          <t>265-346</t>
        </is>
      </c>
    </row>
    <row r="288" ht="15.75" customHeight="1" s="510" thickBot="1">
      <c r="B288" s="142" t="inlineStr">
        <is>
          <t>Hastelloy B-2</t>
        </is>
      </c>
      <c r="C288" s="142" t="inlineStr">
        <is>
          <t>N10665</t>
        </is>
      </c>
      <c r="D288" s="136" t="n">
        <v>51</v>
      </c>
      <c r="E288" s="136" t="n">
        <v>110</v>
      </c>
      <c r="F288" s="136" t="n">
        <v>40</v>
      </c>
      <c r="G288" s="136" t="inlineStr">
        <is>
          <t>C22</t>
        </is>
      </c>
      <c r="H288" s="136" t="inlineStr">
        <is>
          <t>–</t>
        </is>
      </c>
    </row>
    <row r="289" ht="15.75" customHeight="1" s="510" thickBot="1">
      <c r="B289" s="134" t="inlineStr">
        <is>
          <t>Hastelloy D-205</t>
        </is>
      </c>
      <c r="C289" s="134" t="inlineStr">
        <is>
          <t>–</t>
        </is>
      </c>
      <c r="D289" s="137" t="n">
        <v>49</v>
      </c>
      <c r="E289" s="137" t="n">
        <v>114</v>
      </c>
      <c r="F289" s="137" t="n">
        <v>57</v>
      </c>
      <c r="G289" s="137" t="inlineStr">
        <is>
          <t>C30-39</t>
        </is>
      </c>
      <c r="H289" s="137" t="inlineStr">
        <is>
          <t>–</t>
        </is>
      </c>
    </row>
    <row r="290" ht="15.75" customHeight="1" s="510" thickBot="1">
      <c r="B290" s="142" t="inlineStr">
        <is>
          <t>Inconel 600</t>
        </is>
      </c>
      <c r="C290" s="142" t="inlineStr">
        <is>
          <t>N06600</t>
        </is>
      </c>
      <c r="D290" s="136" t="n">
        <v>30</v>
      </c>
      <c r="E290" s="136" t="n">
        <v>80</v>
      </c>
      <c r="F290" s="136" t="n">
        <v>35</v>
      </c>
      <c r="G290" s="136" t="inlineStr">
        <is>
          <t>–</t>
        </is>
      </c>
      <c r="H290" s="136" t="inlineStr">
        <is>
          <t>120-170</t>
        </is>
      </c>
    </row>
    <row r="291" ht="15.75" customHeight="1" s="510" thickBot="1">
      <c r="B291" s="134" t="inlineStr">
        <is>
          <t>Inconel 800</t>
        </is>
      </c>
      <c r="C291" s="134" t="inlineStr">
        <is>
          <t>N08800</t>
        </is>
      </c>
      <c r="D291" s="137" t="n">
        <v>30</v>
      </c>
      <c r="E291" s="137" t="n">
        <v>75</v>
      </c>
      <c r="F291" s="137" t="n">
        <v>30</v>
      </c>
      <c r="G291" s="137" t="inlineStr">
        <is>
          <t>–</t>
        </is>
      </c>
      <c r="H291" s="137" t="inlineStr">
        <is>
          <t>120-184</t>
        </is>
      </c>
    </row>
    <row r="292" ht="15.75" customHeight="1" s="510" thickBot="1">
      <c r="B292" s="142" t="inlineStr">
        <is>
          <t>Hastelloy C-276</t>
        </is>
      </c>
      <c r="C292" s="142" t="inlineStr">
        <is>
          <t>N10276</t>
        </is>
      </c>
      <c r="D292" s="136" t="n">
        <v>60</v>
      </c>
      <c r="E292" s="136" t="n">
        <v>115</v>
      </c>
      <c r="F292" s="136" t="n">
        <v>50</v>
      </c>
      <c r="G292" s="136" t="n">
        <v>184</v>
      </c>
      <c r="H292" s="136" t="n"/>
    </row>
    <row r="293" ht="15.75" customHeight="1" s="510" thickBot="1">
      <c r="B293" s="165" t="inlineStr">
        <is>
          <t>Inconel 625</t>
        </is>
      </c>
      <c r="C293" s="165" t="inlineStr">
        <is>
          <t>N06025</t>
        </is>
      </c>
      <c r="D293" s="166" t="n">
        <v>39</v>
      </c>
      <c r="E293" s="166" t="n">
        <v>98</v>
      </c>
      <c r="F293" s="166" t="n">
        <v>30</v>
      </c>
      <c r="G293" s="166" t="inlineStr">
        <is>
          <t>–</t>
        </is>
      </c>
      <c r="H293" s="166" t="n">
        <v>180</v>
      </c>
    </row>
    <row r="294" ht="15.75" customHeight="1" s="510" thickBot="1">
      <c r="B294" s="142" t="inlineStr">
        <is>
          <t>Incoloy 825</t>
        </is>
      </c>
      <c r="C294" s="142" t="inlineStr">
        <is>
          <t>N08825</t>
        </is>
      </c>
      <c r="D294" s="136" t="n">
        <v>35</v>
      </c>
      <c r="E294" s="136" t="n">
        <v>85</v>
      </c>
      <c r="F294" s="136" t="n">
        <v>30</v>
      </c>
      <c r="G294" s="136" t="inlineStr">
        <is>
          <t>–</t>
        </is>
      </c>
      <c r="H294" s="136" t="inlineStr">
        <is>
          <t>120-180</t>
        </is>
      </c>
    </row>
    <row r="295" ht="15.75" customHeight="1" s="510" thickBot="1">
      <c r="B295" s="134" t="inlineStr">
        <is>
          <t>Hastelloy G-30</t>
        </is>
      </c>
      <c r="C295" s="134" t="inlineStr">
        <is>
          <t>N06030</t>
        </is>
      </c>
      <c r="D295" s="137" t="n">
        <v>51</v>
      </c>
      <c r="E295" s="137" t="n">
        <v>100</v>
      </c>
      <c r="F295" s="137" t="n">
        <v>56</v>
      </c>
      <c r="G295" s="137" t="inlineStr">
        <is>
          <t>–</t>
        </is>
      </c>
      <c r="H295" s="137" t="inlineStr">
        <is>
          <t>–</t>
        </is>
      </c>
    </row>
    <row r="296" ht="15.75" customHeight="1" s="510" thickBot="1">
      <c r="B296" s="142" t="inlineStr">
        <is>
          <t>20Cb-3</t>
        </is>
      </c>
      <c r="C296" s="142" t="inlineStr">
        <is>
          <t>N08020</t>
        </is>
      </c>
      <c r="D296" s="136" t="n">
        <v>35</v>
      </c>
      <c r="E296" s="136" t="n">
        <v>80</v>
      </c>
      <c r="F296" s="136" t="n">
        <v>30</v>
      </c>
      <c r="G296" s="136" t="inlineStr">
        <is>
          <t>B84-90</t>
        </is>
      </c>
      <c r="H296" s="136" t="n">
        <v>160</v>
      </c>
    </row>
  </sheetData>
  <mergeCells count="15">
    <mergeCell ref="L119:L120"/>
    <mergeCell ref="B211:B212"/>
    <mergeCell ref="B243:B244"/>
    <mergeCell ref="D265:M265"/>
    <mergeCell ref="B237:B238"/>
    <mergeCell ref="L117:L118"/>
    <mergeCell ref="G282:G283"/>
    <mergeCell ref="B172:D172"/>
    <mergeCell ref="H282:H283"/>
    <mergeCell ref="B282:B283"/>
    <mergeCell ref="E282:E283"/>
    <mergeCell ref="C282:C283"/>
    <mergeCell ref="F282:F283"/>
    <mergeCell ref="B129:M129"/>
    <mergeCell ref="B174:D174"/>
  </mergeCells>
  <hyperlinks>
    <hyperlink xmlns:r="http://schemas.openxmlformats.org/officeDocument/2006/relationships" ref="B1" location="elementor-toc__heading-anchor-18" display="https://blog.projectmaterials.com/flanges/flange-materials-carbon-alloy-stainless-duplex/ - elementor-toc__heading-anchor-18" r:id="rId1"/>
    <hyperlink xmlns:r="http://schemas.openxmlformats.org/officeDocument/2006/relationships" ref="B2" location="reply-title" display="https://blog.projectmaterials.com/flanges/flange-materials-carbon-alloy-stainless-duplex/ - reply-title" r:id="rId2"/>
    <hyperlink xmlns:r="http://schemas.openxmlformats.org/officeDocument/2006/relationships" ref="B7" display="https://blog.projectmaterials.com/flanges/flange-meaning/" r:id="rId3"/>
    <hyperlink xmlns:r="http://schemas.openxmlformats.org/officeDocument/2006/relationships" ref="B9" display="https://www.astm.org/Standards/A105.htm" r:id="rId4"/>
    <hyperlink xmlns:r="http://schemas.openxmlformats.org/officeDocument/2006/relationships" ref="B10" display="https://www.astm.org/Standards/A350.htm" r:id="rId5"/>
    <hyperlink xmlns:r="http://schemas.openxmlformats.org/officeDocument/2006/relationships" ref="B207" display="https://blog.projectmaterials.com/pipes/stainless-pipes-a312-a790/" r:id="rId6"/>
    <hyperlink xmlns:r="http://schemas.openxmlformats.org/officeDocument/2006/relationships" ref="B256" display="https://www.astm.org/Standards/B160.htm" r:id="rId7"/>
    <hyperlink xmlns:r="http://schemas.openxmlformats.org/officeDocument/2006/relationships" ref="B257" display="https://www.astm.org/Standards/B166.htm" r:id="rId8"/>
    <hyperlink xmlns:r="http://schemas.openxmlformats.org/officeDocument/2006/relationships" ref="B258" display="https://www.astm.org/Standards/B564.htm" r:id="rId9"/>
    <hyperlink xmlns:r="http://schemas.openxmlformats.org/officeDocument/2006/relationships" ref="B259" display="https://www.astm.org/Standards/B425.htm" r:id="rId10"/>
  </hyperlinks>
  <pageMargins left="0.7" right="0.7" top="0.75" bottom="0.75" header="0.3" footer="0.3"/>
  <tableParts count="4">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xl/worksheets/sheet11.xml><?xml version="1.0" encoding="utf-8"?>
<worksheet xmlns="http://schemas.openxmlformats.org/spreadsheetml/2006/main">
  <sheetPr codeName="Sayfa11" published="0">
    <outlinePr summaryBelow="1" summaryRight="1"/>
    <pageSetUpPr/>
  </sheetPr>
  <dimension ref="A1:AK59"/>
  <sheetViews>
    <sheetView zoomScaleNormal="100" workbookViewId="0">
      <selection activeCell="S39" sqref="S39"/>
    </sheetView>
  </sheetViews>
  <sheetFormatPr baseColWidth="8" defaultRowHeight="15"/>
  <cols>
    <col width="40.48828125" customWidth="1" style="510" min="1" max="1"/>
    <col width="12.375" customWidth="1" style="510" min="2" max="2"/>
    <col width="12.9140625" customWidth="1" style="510" min="3" max="3"/>
    <col width="12.375" customWidth="1" style="510" min="5" max="5"/>
    <col width="11.56640625" customWidth="1" style="510" min="7" max="7"/>
    <col width="13.046875" customWidth="1" style="510" min="8" max="8"/>
    <col width="14.390625" bestFit="1" customWidth="1" style="510" min="9" max="9"/>
    <col width="11.97265625" customWidth="1" style="510" min="10" max="10"/>
    <col width="11.1640625" customWidth="1" style="510" min="11" max="11"/>
    <col width="13.31640625" customWidth="1" style="510" min="12" max="12"/>
    <col width="18.6953125" customWidth="1" style="510" min="13" max="13"/>
    <col width="30.53515625" customWidth="1" style="510" min="14" max="14"/>
    <col width="24.48046875" customWidth="1" style="510" min="16" max="16"/>
    <col width="18.16015625" customWidth="1" style="510" min="17" max="17"/>
    <col width="26.90234375" customWidth="1" style="510" min="18" max="18"/>
    <col width="25.01953125" customWidth="1" style="510" min="19" max="19"/>
    <col width="28.921875" customWidth="1" style="510" min="20" max="20"/>
    <col width="26.36328125" customWidth="1" style="510" min="21" max="21"/>
    <col width="22.46484375" customWidth="1" style="510" min="22" max="22"/>
    <col width="25.828125" customWidth="1" style="510" min="23" max="23"/>
    <col width="14.52734375" customWidth="1" style="510" min="24" max="24"/>
    <col width="10.89453125" customWidth="1" style="510" min="25" max="25"/>
    <col width="13.98828125" customWidth="1" style="510" min="26" max="26"/>
  </cols>
  <sheetData>
    <row r="1" ht="15.75" customHeight="1" s="510" thickBot="1">
      <c r="A1" s="90" t="n"/>
      <c r="B1" s="90" t="n"/>
      <c r="C1" s="90" t="n"/>
      <c r="D1" s="90" t="n"/>
      <c r="E1" s="90" t="n"/>
      <c r="F1" s="90" t="n"/>
      <c r="G1" s="90" t="n"/>
      <c r="H1" s="90" t="n"/>
      <c r="I1" s="90" t="n"/>
      <c r="J1" s="90" t="n"/>
      <c r="K1" s="90" t="n"/>
      <c r="L1" s="90" t="n"/>
      <c r="M1" s="90" t="n"/>
      <c r="N1" s="90" t="n"/>
      <c r="O1" s="90" t="n"/>
      <c r="P1" s="90" t="n"/>
      <c r="Q1" s="90" t="n"/>
      <c r="S1" s="526" t="n"/>
      <c r="T1" s="526" t="n"/>
      <c r="U1" s="526" t="n"/>
      <c r="V1" s="526" t="n"/>
      <c r="W1" s="526" t="n"/>
      <c r="X1" s="526" t="n"/>
      <c r="Y1" s="526" t="n"/>
      <c r="Z1" s="526" t="n"/>
      <c r="AA1" s="526" t="n"/>
      <c r="AB1" s="526" t="n"/>
      <c r="AC1" s="526" t="n"/>
      <c r="AD1" s="526" t="n"/>
      <c r="AE1" s="526" t="n"/>
    </row>
    <row r="2" ht="36.75" customHeight="1" s="510">
      <c r="A2" s="90" t="n"/>
      <c r="B2" s="90" t="n"/>
      <c r="C2" s="90" t="n"/>
      <c r="D2" s="90" t="n"/>
      <c r="E2" s="90" t="n"/>
      <c r="F2" s="90" t="n"/>
      <c r="G2" s="90" t="n"/>
      <c r="H2" s="90" t="n"/>
      <c r="I2" s="90" t="n"/>
      <c r="J2" s="90" t="n"/>
      <c r="K2" s="90" t="n"/>
      <c r="L2" s="90" t="n"/>
      <c r="M2" s="90" t="n"/>
      <c r="N2" s="90" t="n"/>
      <c r="O2" s="90" t="n"/>
      <c r="P2" s="90" t="n"/>
      <c r="Q2" s="90" t="n"/>
      <c r="S2" s="433" t="inlineStr">
        <is>
          <t>ASTM A 234</t>
        </is>
      </c>
      <c r="T2" s="1223" t="inlineStr">
        <is>
          <t>Yield Strength, min.</t>
        </is>
      </c>
      <c r="U2" s="1160" t="n"/>
      <c r="V2" s="526" t="n"/>
      <c r="W2" s="526" t="n"/>
      <c r="X2" s="526" t="n"/>
      <c r="Y2" s="92" t="n"/>
      <c r="Z2" s="526" t="n"/>
      <c r="AA2" s="526" t="n"/>
      <c r="AB2" s="526" t="n"/>
      <c r="AC2" s="526" t="n"/>
      <c r="AD2" s="526" t="n"/>
      <c r="AE2" s="526" t="n"/>
    </row>
    <row r="3">
      <c r="A3" s="90" t="n"/>
      <c r="B3" s="90" t="n"/>
      <c r="C3" s="90" t="n"/>
      <c r="D3" s="90" t="n"/>
      <c r="E3" s="90" t="n"/>
      <c r="F3" s="90" t="n"/>
      <c r="G3" s="90" t="n"/>
      <c r="H3" s="90" t="n"/>
      <c r="I3" s="90" t="n"/>
      <c r="J3" s="90" t="n"/>
      <c r="K3" s="90" t="n"/>
      <c r="L3" s="90" t="n"/>
      <c r="M3" s="90" t="n"/>
      <c r="N3" s="90" t="n"/>
      <c r="O3" s="90" t="n"/>
      <c r="P3" s="90" t="n"/>
      <c r="Q3" s="90" t="n"/>
      <c r="S3" s="429" t="inlineStr">
        <is>
          <t>ASTM A 234 Grade</t>
        </is>
      </c>
      <c r="T3" s="93" t="inlineStr">
        <is>
          <t>Yield Strength, min. (psi)</t>
        </is>
      </c>
      <c r="U3" s="431" t="inlineStr">
        <is>
          <t>Yield Strength, min. (Mpa)</t>
        </is>
      </c>
      <c r="V3" s="526" t="n"/>
      <c r="W3" s="526" t="n"/>
      <c r="X3" s="526" t="n"/>
      <c r="Y3" s="92" t="n"/>
      <c r="Z3" s="526" t="n"/>
      <c r="AA3" s="526" t="n"/>
      <c r="AB3" s="526" t="n"/>
      <c r="AC3" s="526" t="n"/>
      <c r="AD3" s="526" t="n"/>
      <c r="AE3" s="526" t="n"/>
    </row>
    <row r="4">
      <c r="A4" s="90" t="n"/>
      <c r="B4" s="90" t="n"/>
      <c r="C4" s="90" t="n"/>
      <c r="D4" s="90" t="n"/>
      <c r="E4" s="90" t="n"/>
      <c r="F4" s="90" t="n"/>
      <c r="G4" s="90" t="n"/>
      <c r="H4" s="90" t="n"/>
      <c r="I4" s="90" t="n"/>
      <c r="J4" s="90" t="n"/>
      <c r="K4" s="90" t="n"/>
      <c r="L4" s="90" t="n"/>
      <c r="M4" s="90" t="n"/>
      <c r="N4" s="90" t="n"/>
      <c r="O4" s="90" t="n"/>
      <c r="P4" s="90" t="n"/>
      <c r="Q4" s="90" t="n"/>
      <c r="S4" s="529" t="inlineStr">
        <is>
          <t>WPB</t>
        </is>
      </c>
      <c r="T4" s="517" t="n">
        <v>35000</v>
      </c>
      <c r="U4" s="530">
        <f>T4/145.0377</f>
        <v/>
      </c>
      <c r="V4" s="526" t="n"/>
      <c r="W4" s="526" t="n"/>
      <c r="X4" s="526" t="n"/>
      <c r="Y4" s="92" t="n"/>
      <c r="Z4" s="526" t="n"/>
      <c r="AA4" s="526" t="n"/>
      <c r="AB4" s="526" t="n"/>
      <c r="AC4" s="526" t="n"/>
      <c r="AD4" s="526" t="n"/>
      <c r="AE4" s="526" t="n"/>
    </row>
    <row r="5">
      <c r="A5" s="90" t="n"/>
      <c r="B5" s="90" t="n"/>
      <c r="C5" s="90" t="n"/>
      <c r="D5" s="90" t="n"/>
      <c r="E5" s="90" t="n"/>
      <c r="F5" s="90" t="n"/>
      <c r="G5" s="90" t="n"/>
      <c r="H5" s="90" t="n"/>
      <c r="I5" s="90" t="n"/>
      <c r="J5" s="90" t="n"/>
      <c r="K5" s="90" t="n"/>
      <c r="L5" s="90" t="n"/>
      <c r="M5" s="90" t="n"/>
      <c r="N5" s="90" t="n"/>
      <c r="O5" s="90" t="n"/>
      <c r="P5" s="90" t="n"/>
      <c r="Q5" s="90" t="n"/>
      <c r="S5" s="529" t="inlineStr">
        <is>
          <t>WPC</t>
        </is>
      </c>
      <c r="T5" s="517" t="n">
        <v>40000</v>
      </c>
      <c r="U5" s="530">
        <f>T5/145.0377</f>
        <v/>
      </c>
      <c r="V5" s="526" t="n"/>
      <c r="W5" s="526" t="n"/>
      <c r="X5" s="526" t="n"/>
      <c r="Y5" s="92" t="n"/>
      <c r="Z5" s="526" t="n"/>
      <c r="AA5" s="526" t="n"/>
      <c r="AB5" s="526" t="n"/>
      <c r="AC5" s="526" t="n"/>
      <c r="AD5" s="526" t="n"/>
      <c r="AE5" s="526" t="n"/>
    </row>
    <row r="6">
      <c r="A6" s="90" t="n"/>
      <c r="B6" s="90" t="n"/>
      <c r="C6" s="90" t="n"/>
      <c r="D6" s="90" t="n"/>
      <c r="E6" s="90" t="n"/>
      <c r="F6" s="90" t="n"/>
      <c r="G6" s="90" t="n"/>
      <c r="H6" s="90" t="n"/>
      <c r="I6" s="90" t="n"/>
      <c r="J6" s="90" t="n"/>
      <c r="K6" s="90" t="n"/>
      <c r="L6" s="90" t="n"/>
      <c r="M6" s="90" t="n"/>
      <c r="N6" s="90" t="n"/>
      <c r="O6" s="90" t="n"/>
      <c r="P6" s="90" t="n"/>
      <c r="Q6" s="90" t="n"/>
      <c r="S6" s="529" t="inlineStr">
        <is>
          <t>WP1</t>
        </is>
      </c>
      <c r="T6" s="517" t="n">
        <v>30000</v>
      </c>
      <c r="U6" s="530">
        <f>T6/145.0377</f>
        <v/>
      </c>
      <c r="V6" s="526" t="n"/>
      <c r="W6" s="526" t="n"/>
      <c r="X6" s="526" t="n"/>
      <c r="Y6" s="92" t="n"/>
      <c r="Z6" s="526" t="n"/>
      <c r="AA6" s="526" t="n"/>
      <c r="AB6" s="526" t="n"/>
      <c r="AC6" s="526" t="n"/>
      <c r="AD6" s="526" t="n"/>
      <c r="AE6" s="526" t="n"/>
    </row>
    <row r="7">
      <c r="A7" s="90" t="n"/>
      <c r="B7" s="90" t="n"/>
      <c r="C7" s="90" t="n"/>
      <c r="D7" s="90" t="n"/>
      <c r="E7" s="90" t="n"/>
      <c r="F7" s="90" t="n"/>
      <c r="G7" s="90" t="n"/>
      <c r="H7" s="90" t="n"/>
      <c r="I7" s="90" t="n"/>
      <c r="J7" s="90" t="n"/>
      <c r="K7" s="90" t="n"/>
      <c r="L7" s="90" t="n"/>
      <c r="M7" s="90" t="n"/>
      <c r="N7" s="90" t="n"/>
      <c r="O7" s="90" t="n"/>
      <c r="P7" s="90" t="n"/>
      <c r="Q7" s="90" t="n"/>
      <c r="S7" s="529" t="inlineStr">
        <is>
          <t>WP11 CL1</t>
        </is>
      </c>
      <c r="T7" s="517" t="n">
        <v>30000</v>
      </c>
      <c r="U7" s="530">
        <f>T7/145.0377</f>
        <v/>
      </c>
      <c r="V7" s="526" t="n"/>
      <c r="W7" s="526" t="n"/>
      <c r="X7" s="526" t="n"/>
      <c r="Y7" s="92" t="n"/>
      <c r="Z7" s="526" t="n"/>
      <c r="AA7" s="526" t="n"/>
      <c r="AB7" s="526" t="n"/>
      <c r="AC7" s="526" t="n"/>
      <c r="AD7" s="526" t="n"/>
      <c r="AE7" s="526" t="n"/>
    </row>
    <row r="8">
      <c r="A8" s="90" t="n"/>
      <c r="B8" s="90" t="n"/>
      <c r="C8" s="90" t="n"/>
      <c r="D8" s="90" t="n"/>
      <c r="E8" s="90" t="n"/>
      <c r="F8" s="90" t="n"/>
      <c r="G8" s="90" t="n"/>
      <c r="H8" s="90" t="n"/>
      <c r="I8" s="90" t="n"/>
      <c r="J8" s="90" t="n"/>
      <c r="K8" s="90" t="n"/>
      <c r="L8" s="90" t="n"/>
      <c r="M8" s="90" t="n"/>
      <c r="N8" s="90" t="n"/>
      <c r="O8" s="90" t="n"/>
      <c r="P8" s="90" t="n"/>
      <c r="Q8" s="90" t="n"/>
      <c r="S8" s="529" t="inlineStr">
        <is>
          <t>WP11 CL2</t>
        </is>
      </c>
      <c r="T8" s="517" t="n">
        <v>40000</v>
      </c>
      <c r="U8" s="530" t="n">
        <v>275.7903634710148</v>
      </c>
      <c r="V8" s="526" t="n"/>
      <c r="W8" s="526" t="n"/>
      <c r="X8" s="526" t="n"/>
      <c r="Y8" s="92" t="n"/>
      <c r="Z8" s="526" t="n"/>
      <c r="AA8" s="526" t="n"/>
      <c r="AB8" s="526" t="n"/>
      <c r="AC8" s="526" t="n"/>
      <c r="AD8" s="526" t="n"/>
      <c r="AE8" s="526" t="n"/>
    </row>
    <row r="9">
      <c r="A9" s="90" t="n"/>
      <c r="B9" s="90" t="n"/>
      <c r="C9" s="90" t="n"/>
      <c r="D9" s="90" t="n"/>
      <c r="E9" s="90" t="n"/>
      <c r="F9" s="90" t="n"/>
      <c r="G9" s="90" t="n"/>
      <c r="H9" s="90" t="n"/>
      <c r="I9" s="90" t="n"/>
      <c r="J9" s="90" t="n"/>
      <c r="K9" s="90" t="n"/>
      <c r="L9" s="90" t="n"/>
      <c r="M9" s="90" t="n"/>
      <c r="N9" s="90" t="n"/>
      <c r="O9" s="90" t="n"/>
      <c r="P9" s="90" t="n"/>
      <c r="Q9" s="90" t="n"/>
      <c r="S9" s="529" t="inlineStr">
        <is>
          <t>WP22 CL1</t>
        </is>
      </c>
      <c r="T9" s="517" t="n">
        <v>30000</v>
      </c>
      <c r="U9" s="530">
        <f>T9/145.0377</f>
        <v/>
      </c>
      <c r="V9" s="526" t="n"/>
      <c r="W9" s="526" t="n"/>
      <c r="X9" s="526" t="n"/>
      <c r="Y9" s="92" t="n"/>
      <c r="Z9" s="526" t="n"/>
      <c r="AA9" s="526" t="n"/>
      <c r="AB9" s="526" t="n"/>
      <c r="AC9" s="526" t="n"/>
      <c r="AD9" s="526" t="n"/>
      <c r="AE9" s="526" t="n"/>
    </row>
    <row r="10">
      <c r="A10" s="90" t="n"/>
      <c r="B10" s="90" t="n"/>
      <c r="C10" s="90" t="n"/>
      <c r="D10" s="90" t="n"/>
      <c r="E10" s="90" t="n"/>
      <c r="F10" s="90" t="n"/>
      <c r="G10" s="90" t="n"/>
      <c r="H10" s="90" t="n"/>
      <c r="I10" s="90" t="n"/>
      <c r="J10" s="90" t="n"/>
      <c r="K10" s="90" t="n"/>
      <c r="L10" s="90" t="n"/>
      <c r="M10" s="90" t="n"/>
      <c r="N10" s="90" t="n"/>
      <c r="O10" s="90" t="n"/>
      <c r="P10" s="90" t="n"/>
      <c r="Q10" s="90" t="n"/>
      <c r="S10" s="529" t="inlineStr">
        <is>
          <t>WP5</t>
        </is>
      </c>
      <c r="T10" s="517" t="n">
        <v>30000</v>
      </c>
      <c r="U10" s="530">
        <f>T10/145.0377</f>
        <v/>
      </c>
      <c r="V10" s="526" t="n"/>
      <c r="W10" s="526" t="n"/>
      <c r="X10" s="526" t="n"/>
      <c r="Y10" s="92" t="n"/>
      <c r="Z10" s="526" t="n"/>
      <c r="AA10" s="526" t="n"/>
      <c r="AB10" s="526" t="n"/>
      <c r="AC10" s="526" t="n"/>
      <c r="AD10" s="526" t="n"/>
      <c r="AE10" s="526" t="n"/>
    </row>
    <row r="11">
      <c r="A11" s="90" t="n"/>
      <c r="B11" s="90" t="n"/>
      <c r="C11" s="90" t="n"/>
      <c r="D11" s="90" t="n"/>
      <c r="E11" s="90" t="n"/>
      <c r="F11" s="90" t="n"/>
      <c r="G11" s="90" t="n"/>
      <c r="H11" s="90" t="n"/>
      <c r="I11" s="90" t="n"/>
      <c r="J11" s="90" t="n"/>
      <c r="K11" s="90" t="n"/>
      <c r="L11" s="90" t="n"/>
      <c r="M11" s="90" t="n"/>
      <c r="N11" s="90" t="n"/>
      <c r="O11" s="90" t="n"/>
      <c r="P11" s="90" t="n"/>
      <c r="Q11" s="90" t="n"/>
      <c r="S11" s="529" t="inlineStr">
        <is>
          <t>WP9</t>
        </is>
      </c>
      <c r="T11" s="517" t="n">
        <v>30000</v>
      </c>
      <c r="U11" s="530">
        <f>T11/145.0377</f>
        <v/>
      </c>
      <c r="V11" s="526" t="n"/>
      <c r="W11" s="526" t="n"/>
      <c r="X11" s="526" t="n"/>
      <c r="Y11" s="92" t="n"/>
      <c r="Z11" s="526" t="n"/>
      <c r="AA11" s="526" t="n"/>
      <c r="AB11" s="526" t="n"/>
      <c r="AC11" s="526" t="n"/>
      <c r="AD11" s="526" t="n"/>
      <c r="AE11" s="526" t="n"/>
    </row>
    <row r="12">
      <c r="A12" s="90" t="n"/>
      <c r="B12" s="90" t="n"/>
      <c r="C12" s="90" t="n"/>
      <c r="D12" s="90" t="n"/>
      <c r="E12" s="90" t="n"/>
      <c r="F12" s="90" t="n"/>
      <c r="G12" s="90" t="n"/>
      <c r="H12" s="90" t="n"/>
      <c r="I12" s="90" t="n"/>
      <c r="J12" s="90" t="n"/>
      <c r="K12" s="90" t="n"/>
      <c r="L12" s="90" t="n"/>
      <c r="M12" s="90" t="n"/>
      <c r="N12" s="90" t="n"/>
      <c r="O12" s="90" t="n"/>
      <c r="P12" s="90" t="n"/>
      <c r="Q12" s="90" t="n"/>
      <c r="S12" s="529" t="inlineStr">
        <is>
          <t>WP11 CL2</t>
        </is>
      </c>
      <c r="T12" s="517" t="n">
        <v>40000</v>
      </c>
      <c r="U12" s="530">
        <f>T12/145.0377</f>
        <v/>
      </c>
      <c r="V12" s="526" t="n"/>
      <c r="W12" s="526" t="n"/>
      <c r="X12" s="526" t="n"/>
      <c r="Y12" s="92" t="n"/>
      <c r="Z12" s="526" t="n"/>
      <c r="AA12" s="526" t="n"/>
      <c r="AB12" s="526" t="n"/>
      <c r="AC12" s="526" t="n"/>
      <c r="AD12" s="526" t="n"/>
      <c r="AE12" s="526" t="n"/>
    </row>
    <row r="13">
      <c r="A13" s="90" t="n"/>
      <c r="B13" s="90" t="n"/>
      <c r="C13" s="90" t="n"/>
      <c r="D13" s="90" t="n"/>
      <c r="E13" s="90" t="n"/>
      <c r="F13" s="90" t="n"/>
      <c r="G13" s="90" t="n"/>
      <c r="H13" s="90" t="n"/>
      <c r="I13" s="90" t="n"/>
      <c r="J13" s="90" t="n"/>
      <c r="K13" s="90" t="n"/>
      <c r="L13" s="90" t="n"/>
      <c r="M13" s="90" t="n"/>
      <c r="N13" s="90" t="n"/>
      <c r="O13" s="90" t="n"/>
      <c r="P13" s="90" t="n"/>
      <c r="Q13" s="90" t="n"/>
      <c r="S13" s="529" t="inlineStr">
        <is>
          <t>WP22 CL2</t>
        </is>
      </c>
      <c r="T13" s="517" t="n">
        <v>40000</v>
      </c>
      <c r="U13" s="530">
        <f>T13/145.0377</f>
        <v/>
      </c>
      <c r="V13" s="526" t="n"/>
      <c r="W13" s="526" t="n"/>
      <c r="X13" s="526" t="n"/>
      <c r="Y13" s="92" t="n"/>
      <c r="Z13" s="526" t="n"/>
      <c r="AA13" s="526" t="n"/>
      <c r="AB13" s="526" t="n"/>
      <c r="AC13" s="526" t="n"/>
      <c r="AD13" s="526" t="n"/>
      <c r="AE13" s="526" t="n"/>
    </row>
    <row r="14">
      <c r="A14" s="90" t="n"/>
      <c r="B14" s="90" t="n"/>
      <c r="C14" s="90" t="n"/>
      <c r="D14" s="90" t="n"/>
      <c r="E14" s="90" t="n"/>
      <c r="F14" s="90" t="n"/>
      <c r="G14" s="90" t="n"/>
      <c r="H14" s="90" t="n"/>
      <c r="I14" s="90" t="n"/>
      <c r="J14" s="90" t="n"/>
      <c r="K14" s="90" t="n"/>
      <c r="L14" s="90" t="n"/>
      <c r="M14" s="90" t="n"/>
      <c r="N14" s="90" t="n"/>
      <c r="O14" s="90" t="n"/>
      <c r="P14" s="90" t="n"/>
      <c r="Q14" s="90" t="n"/>
      <c r="S14" s="529" t="inlineStr">
        <is>
          <t>WPR</t>
        </is>
      </c>
      <c r="T14" s="517" t="n">
        <v>46000</v>
      </c>
      <c r="U14" s="530">
        <f>T14/145.0377</f>
        <v/>
      </c>
      <c r="V14" s="526" t="n"/>
      <c r="W14" s="526" t="n"/>
      <c r="X14" s="526" t="n"/>
      <c r="Y14" s="92" t="n"/>
      <c r="Z14" s="526" t="n"/>
      <c r="AA14" s="526" t="n"/>
      <c r="AB14" s="526" t="n"/>
      <c r="AC14" s="526" t="n"/>
      <c r="AD14" s="526" t="n"/>
      <c r="AE14" s="526" t="n"/>
    </row>
    <row r="15">
      <c r="A15" s="90" t="n"/>
      <c r="B15" s="90" t="n"/>
      <c r="C15" s="90" t="n"/>
      <c r="D15" s="90" t="n"/>
      <c r="E15" s="90" t="n"/>
      <c r="F15" s="90" t="n"/>
      <c r="G15" s="90" t="n"/>
      <c r="H15" s="90" t="n"/>
      <c r="I15" s="90" t="n"/>
      <c r="J15" s="90" t="n"/>
      <c r="K15" s="90" t="n"/>
      <c r="L15" s="90" t="n"/>
      <c r="M15" s="90" t="n"/>
      <c r="N15" s="90" t="n"/>
      <c r="O15" s="90" t="n"/>
      <c r="P15" s="90" t="n"/>
      <c r="Q15" s="90" t="n"/>
      <c r="S15" s="529" t="inlineStr">
        <is>
          <t>WP11 CL3</t>
        </is>
      </c>
      <c r="T15" s="517" t="n">
        <v>45000</v>
      </c>
      <c r="U15" s="530">
        <f>T15/145.0377</f>
        <v/>
      </c>
      <c r="V15" s="526" t="n"/>
      <c r="W15" s="526" t="n"/>
      <c r="X15" s="526" t="n"/>
      <c r="Y15" s="92" t="n"/>
      <c r="Z15" s="526" t="n"/>
      <c r="AA15" s="526" t="n"/>
      <c r="AB15" s="526" t="n"/>
      <c r="AC15" s="526" t="n"/>
      <c r="AD15" s="526" t="n"/>
      <c r="AE15" s="526" t="n"/>
    </row>
    <row r="16">
      <c r="A16" s="90" t="n"/>
      <c r="B16" s="90" t="n"/>
      <c r="C16" s="90" t="n"/>
      <c r="D16" s="90" t="n"/>
      <c r="E16" s="90" t="n"/>
      <c r="F16" s="90" t="n"/>
      <c r="G16" s="90" t="n"/>
      <c r="H16" s="90" t="n"/>
      <c r="I16" s="90" t="n"/>
      <c r="J16" s="90" t="n"/>
      <c r="K16" s="90" t="n"/>
      <c r="L16" s="90" t="n"/>
      <c r="M16" s="90" t="n"/>
      <c r="N16" s="90" t="n"/>
      <c r="O16" s="90" t="n"/>
      <c r="P16" s="90" t="n"/>
      <c r="Q16" s="90" t="n"/>
      <c r="S16" s="529" t="inlineStr">
        <is>
          <t>WP22 CL3</t>
        </is>
      </c>
      <c r="T16" s="517" t="n">
        <v>45000</v>
      </c>
      <c r="U16" s="530">
        <f>T16/145.0377</f>
        <v/>
      </c>
      <c r="V16" s="526" t="n"/>
      <c r="W16" s="526" t="n"/>
      <c r="X16" s="526" t="n"/>
      <c r="Y16" s="92" t="n"/>
      <c r="Z16" s="526" t="n"/>
      <c r="AA16" s="526" t="n"/>
      <c r="AB16" s="526" t="n"/>
      <c r="AC16" s="526" t="n"/>
      <c r="AD16" s="526" t="n"/>
      <c r="AE16" s="526" t="n"/>
    </row>
    <row r="17">
      <c r="A17" s="90" t="n"/>
      <c r="B17" s="90" t="n"/>
      <c r="C17" s="90" t="n"/>
      <c r="D17" s="90" t="n"/>
      <c r="E17" s="90" t="n"/>
      <c r="F17" s="90" t="n"/>
      <c r="G17" s="90" t="n"/>
      <c r="H17" s="90" t="n"/>
      <c r="I17" s="90" t="n"/>
      <c r="J17" s="90" t="n"/>
      <c r="K17" s="90" t="n"/>
      <c r="L17" s="90" t="n"/>
      <c r="M17" s="90" t="n"/>
      <c r="N17" s="90" t="n"/>
      <c r="O17" s="90" t="n"/>
      <c r="P17" s="90" t="n"/>
      <c r="Q17" s="90" t="n"/>
      <c r="S17" s="529" t="inlineStr">
        <is>
          <t>WP91</t>
        </is>
      </c>
      <c r="T17" s="517" t="n">
        <v>60000</v>
      </c>
      <c r="U17" s="530">
        <f>T17/145.0377</f>
        <v/>
      </c>
      <c r="V17" s="526" t="n"/>
      <c r="W17" s="526" t="n"/>
      <c r="X17" s="526" t="n"/>
      <c r="Y17" s="92" t="n"/>
      <c r="Z17" s="526" t="n"/>
      <c r="AA17" s="526" t="n"/>
      <c r="AB17" s="526" t="n"/>
      <c r="AC17" s="526" t="n"/>
      <c r="AD17" s="526" t="n"/>
      <c r="AE17" s="526" t="n"/>
    </row>
    <row r="18">
      <c r="A18" s="90" t="n"/>
      <c r="B18" s="90" t="n"/>
      <c r="C18" s="90" t="n"/>
      <c r="D18" s="90" t="n"/>
      <c r="E18" s="90" t="n"/>
      <c r="F18" s="90" t="n"/>
      <c r="G18" s="90" t="n"/>
      <c r="H18" s="90" t="n"/>
      <c r="I18" s="90" t="n"/>
      <c r="J18" s="90" t="n"/>
      <c r="K18" s="90" t="n"/>
      <c r="L18" s="90" t="n"/>
      <c r="M18" s="90" t="n"/>
      <c r="N18" s="90" t="n"/>
      <c r="O18" s="90" t="n"/>
      <c r="P18" s="90" t="n"/>
      <c r="Q18" s="94" t="n"/>
      <c r="R18" s="512" t="n"/>
      <c r="S18" s="531" t="inlineStr">
        <is>
          <t>WP911</t>
        </is>
      </c>
      <c r="T18" s="532" t="n">
        <v>64000</v>
      </c>
      <c r="U18" s="533">
        <f>T18/145.0377</f>
        <v/>
      </c>
      <c r="V18" s="92" t="n"/>
      <c r="W18" s="92" t="n"/>
      <c r="X18" s="92" t="n"/>
      <c r="Y18" s="92" t="n"/>
      <c r="Z18" s="526" t="n"/>
      <c r="AA18" s="526" t="n"/>
      <c r="AB18" s="526" t="n"/>
      <c r="AC18" s="526" t="n"/>
      <c r="AD18" s="526" t="n"/>
      <c r="AE18" s="526" t="n"/>
    </row>
    <row r="19" ht="15.75" customHeight="1" s="510" thickBot="1">
      <c r="A19" s="94" t="n"/>
      <c r="B19" s="94" t="n"/>
      <c r="C19" s="94" t="n"/>
      <c r="D19" s="94" t="n"/>
      <c r="E19" s="94" t="n"/>
      <c r="F19" s="94" t="n"/>
      <c r="G19" s="94" t="n"/>
      <c r="H19" s="94" t="n"/>
      <c r="I19" s="94" t="n"/>
      <c r="J19" s="94" t="n"/>
      <c r="K19" s="94" t="n"/>
      <c r="L19" s="90" t="n"/>
      <c r="M19" s="90" t="n"/>
      <c r="N19" s="90" t="n"/>
      <c r="O19" s="90" t="n"/>
      <c r="P19" s="90" t="n"/>
      <c r="Q19" s="94" t="n"/>
      <c r="R19" s="512" t="n"/>
      <c r="S19" s="531" t="inlineStr">
        <is>
          <t>WP12 CL1</t>
        </is>
      </c>
      <c r="T19" s="532" t="n">
        <v>32000</v>
      </c>
      <c r="U19" s="533">
        <f>T19/145.0377</f>
        <v/>
      </c>
      <c r="V19" s="92" t="n"/>
      <c r="W19" s="92" t="n"/>
      <c r="X19" s="92" t="n"/>
      <c r="Y19" s="92" t="n"/>
      <c r="Z19" s="526" t="n"/>
      <c r="AA19" s="526" t="n"/>
      <c r="AB19" s="526" t="n"/>
      <c r="AC19" s="526" t="n"/>
      <c r="AD19" s="526" t="n"/>
      <c r="AE19" s="526" t="n"/>
    </row>
    <row r="20" ht="22.5" customHeight="1" s="510">
      <c r="A20" s="425" t="inlineStr">
        <is>
          <t>ASTM A860/ 860M</t>
        </is>
      </c>
      <c r="B20" s="426" t="inlineStr">
        <is>
          <t>Yield Strength, min.</t>
        </is>
      </c>
      <c r="C20" s="1224" t="n"/>
      <c r="D20" s="426" t="inlineStr">
        <is>
          <t>Tensile Strength</t>
        </is>
      </c>
      <c r="E20" s="1224" t="n"/>
      <c r="F20" s="426" t="inlineStr">
        <is>
          <t>Elongation, min.</t>
        </is>
      </c>
      <c r="G20" s="426" t="inlineStr">
        <is>
          <t>Cv, avg./min.</t>
        </is>
      </c>
      <c r="H20" s="1224" t="n"/>
      <c r="I20" s="94" t="n"/>
      <c r="J20" s="90" t="n"/>
      <c r="K20" s="90" t="n"/>
      <c r="L20" s="90" t="n"/>
      <c r="M20" s="90" t="n"/>
      <c r="N20" s="90" t="n"/>
      <c r="O20" s="90" t="n"/>
      <c r="P20" s="90" t="n"/>
      <c r="Q20" s="94" t="n"/>
      <c r="R20" s="512" t="n"/>
      <c r="S20" s="526" t="n"/>
      <c r="T20" s="526" t="n"/>
      <c r="U20" s="526" t="n"/>
      <c r="V20" s="92" t="n"/>
      <c r="W20" s="92" t="n"/>
      <c r="X20" s="92" t="n"/>
      <c r="Y20" s="92" t="n"/>
      <c r="Z20" s="526" t="n"/>
      <c r="AA20" s="526" t="n"/>
      <c r="AB20" s="526" t="n"/>
      <c r="AC20" s="526" t="n"/>
      <c r="AD20" s="526" t="n"/>
      <c r="AE20" s="526" t="n"/>
    </row>
    <row r="21" ht="33" customHeight="1" s="510" thickBot="1">
      <c r="A21" s="422" t="inlineStr">
        <is>
          <t>Grade</t>
        </is>
      </c>
      <c r="B21" s="518" t="inlineStr">
        <is>
          <t>Yield Strength, min. (psi)</t>
        </is>
      </c>
      <c r="C21" s="518" t="inlineStr">
        <is>
          <t>Yield Strength, min. (Mpa)</t>
        </is>
      </c>
      <c r="D21" s="518" t="inlineStr">
        <is>
          <t>Tensile Strength (ksi)</t>
        </is>
      </c>
      <c r="E21" s="518" t="inlineStr">
        <is>
          <t>Tensile Strength (Mpa)</t>
        </is>
      </c>
      <c r="F21" s="518" t="inlineStr">
        <is>
          <t>Elongation, min. %</t>
        </is>
      </c>
      <c r="G21" s="518" t="inlineStr">
        <is>
          <t>Cv, avg./min. (ft*lbs)</t>
        </is>
      </c>
      <c r="H21" s="424" t="inlineStr">
        <is>
          <t>Cv, avg./min. (J)</t>
        </is>
      </c>
      <c r="I21" s="518" t="inlineStr">
        <is>
          <t>Cv Temp ©</t>
        </is>
      </c>
      <c r="J21" s="90" t="n"/>
      <c r="K21" s="90" t="n"/>
      <c r="L21" s="90" t="n"/>
      <c r="M21" s="90" t="n"/>
      <c r="N21" s="90" t="n"/>
      <c r="O21" s="90" t="n"/>
      <c r="P21" s="90" t="n"/>
      <c r="Q21" s="94" t="n"/>
      <c r="R21" s="512" t="n"/>
      <c r="S21" s="526" t="n"/>
      <c r="T21" s="526" t="n"/>
      <c r="U21" s="526" t="n"/>
      <c r="V21" s="92" t="n"/>
      <c r="W21" s="92" t="n"/>
      <c r="X21" s="92" t="n"/>
      <c r="Y21" s="92" t="n"/>
      <c r="Z21" s="526" t="n"/>
      <c r="AA21" s="526" t="n"/>
      <c r="AB21" s="526" t="n"/>
      <c r="AC21" s="526" t="n"/>
      <c r="AD21" s="526" t="n"/>
      <c r="AE21" s="526" t="n"/>
    </row>
    <row r="22" ht="15.75" customHeight="1" s="510" thickBot="1">
      <c r="A22" s="423" t="inlineStr">
        <is>
          <t>WPHY 42</t>
        </is>
      </c>
      <c r="B22" s="96" t="n">
        <v>42000</v>
      </c>
      <c r="C22" s="96" t="n">
        <v>290</v>
      </c>
      <c r="D22" s="96" t="inlineStr">
        <is>
          <t>60-85</t>
        </is>
      </c>
      <c r="E22" s="96" t="inlineStr">
        <is>
          <t>415-585</t>
        </is>
      </c>
      <c r="F22" s="96" t="n">
        <v>32</v>
      </c>
      <c r="G22" s="96" t="inlineStr">
        <is>
          <t>30/25</t>
        </is>
      </c>
      <c r="H22" s="418" t="inlineStr">
        <is>
          <t>40/34</t>
        </is>
      </c>
      <c r="I22" s="547" t="n">
        <v>-46</v>
      </c>
      <c r="J22" s="90" t="n"/>
      <c r="K22" s="90" t="n"/>
      <c r="L22" s="90" t="n"/>
      <c r="M22" s="90" t="n"/>
      <c r="N22" s="90" t="n"/>
      <c r="O22" s="90" t="n"/>
      <c r="P22" s="90" t="n"/>
      <c r="Q22" s="94" t="n"/>
      <c r="R22" s="512" t="n"/>
      <c r="S22" s="526" t="n"/>
      <c r="T22" s="526" t="n"/>
      <c r="U22" s="526" t="n"/>
      <c r="V22" s="92" t="n"/>
      <c r="W22" s="92" t="n"/>
      <c r="X22" s="92" t="n"/>
      <c r="Y22" s="92" t="n"/>
      <c r="Z22" s="526" t="n"/>
      <c r="AA22" s="526" t="n"/>
      <c r="AB22" s="526" t="n"/>
      <c r="AC22" s="526" t="n"/>
      <c r="AD22" s="526" t="n"/>
      <c r="AE22" s="526" t="n"/>
    </row>
    <row r="23" ht="15.75" customHeight="1" s="510" thickBot="1">
      <c r="A23" s="423" t="inlineStr">
        <is>
          <t>WPHY 46</t>
        </is>
      </c>
      <c r="B23" s="96" t="n">
        <v>46000</v>
      </c>
      <c r="C23" s="96" t="n">
        <v>315</v>
      </c>
      <c r="D23" s="96" t="inlineStr">
        <is>
          <t>63-88</t>
        </is>
      </c>
      <c r="E23" s="96" t="inlineStr">
        <is>
          <t>435-605</t>
        </is>
      </c>
      <c r="F23" s="96" t="n">
        <v>32</v>
      </c>
      <c r="G23" s="96" t="inlineStr">
        <is>
          <t>30/25</t>
        </is>
      </c>
      <c r="H23" s="418" t="inlineStr">
        <is>
          <t>40/34</t>
        </is>
      </c>
      <c r="I23" s="547" t="n">
        <v>-46</v>
      </c>
      <c r="J23" s="90" t="n"/>
      <c r="K23" s="90" t="n"/>
      <c r="L23" s="90" t="n"/>
      <c r="M23" s="90" t="n"/>
      <c r="N23" s="90" t="n"/>
      <c r="O23" s="90" t="n"/>
      <c r="P23" s="90" t="n"/>
      <c r="Q23" s="94" t="n"/>
      <c r="R23" s="512" t="n"/>
      <c r="S23" s="526" t="n"/>
      <c r="T23" s="526" t="n"/>
      <c r="U23" s="526" t="n"/>
      <c r="V23" s="92" t="n"/>
      <c r="W23" s="92" t="n"/>
      <c r="X23" s="92" t="n"/>
      <c r="Y23" s="92" t="n"/>
      <c r="Z23" s="526" t="n"/>
      <c r="AA23" s="526" t="n"/>
      <c r="AB23" s="526" t="n"/>
      <c r="AC23" s="526" t="n"/>
      <c r="AD23" s="526" t="n"/>
      <c r="AE23" s="526" t="n"/>
    </row>
    <row r="24" ht="15.75" customHeight="1" s="510" thickBot="1">
      <c r="A24" s="423" t="inlineStr">
        <is>
          <t>WPHY 52</t>
        </is>
      </c>
      <c r="B24" s="96" t="n">
        <v>52000</v>
      </c>
      <c r="C24" s="96" t="n">
        <v>360</v>
      </c>
      <c r="D24" s="96" t="inlineStr">
        <is>
          <t>66-91</t>
        </is>
      </c>
      <c r="E24" s="96" t="inlineStr">
        <is>
          <t>455-625</t>
        </is>
      </c>
      <c r="F24" s="96" t="n">
        <v>32</v>
      </c>
      <c r="G24" s="96" t="inlineStr">
        <is>
          <t>30/25</t>
        </is>
      </c>
      <c r="H24" s="418" t="inlineStr">
        <is>
          <t>40/34</t>
        </is>
      </c>
      <c r="I24" s="547" t="n">
        <v>-46</v>
      </c>
      <c r="J24" s="90" t="n"/>
      <c r="K24" s="90" t="n"/>
      <c r="L24" s="90" t="n"/>
      <c r="M24" s="90" t="n"/>
      <c r="N24" s="90" t="n"/>
      <c r="O24" s="90" t="n"/>
      <c r="P24" s="90" t="n"/>
      <c r="Q24" s="94" t="n"/>
      <c r="R24" s="512" t="n"/>
      <c r="S24" s="526" t="n"/>
      <c r="T24" s="526" t="n"/>
      <c r="U24" s="526" t="n"/>
      <c r="V24" s="92" t="n"/>
      <c r="W24" s="92" t="n"/>
      <c r="X24" s="92" t="n"/>
      <c r="Y24" s="92" t="n"/>
      <c r="Z24" s="526" t="n"/>
      <c r="AA24" s="526" t="n"/>
      <c r="AB24" s="526" t="n"/>
      <c r="AC24" s="526" t="n"/>
      <c r="AD24" s="526" t="n"/>
      <c r="AE24" s="526" t="n"/>
    </row>
    <row r="25" ht="15.75" customHeight="1" s="510" thickBot="1">
      <c r="A25" s="423" t="inlineStr">
        <is>
          <t>WPHY60</t>
        </is>
      </c>
      <c r="B25" s="96" t="n">
        <v>60000</v>
      </c>
      <c r="C25" s="96" t="n">
        <v>415</v>
      </c>
      <c r="D25" s="96" t="inlineStr">
        <is>
          <t>75-100</t>
        </is>
      </c>
      <c r="E25" s="96" t="inlineStr">
        <is>
          <t>515-690</t>
        </is>
      </c>
      <c r="F25" s="96" t="n">
        <v>28</v>
      </c>
      <c r="G25" s="96" t="inlineStr">
        <is>
          <t>30/25</t>
        </is>
      </c>
      <c r="H25" s="418" t="inlineStr">
        <is>
          <t>40/34</t>
        </is>
      </c>
      <c r="I25" s="547" t="n">
        <v>-46</v>
      </c>
      <c r="J25" s="90" t="n"/>
      <c r="K25" s="90" t="n"/>
      <c r="L25" s="90" t="n"/>
      <c r="M25" s="90" t="n"/>
      <c r="N25" s="90" t="n"/>
      <c r="O25" s="90" t="n"/>
      <c r="P25" s="90" t="n"/>
      <c r="Q25" s="94" t="n"/>
      <c r="R25" s="512" t="n"/>
      <c r="S25" s="526" t="n"/>
      <c r="T25" s="526" t="n"/>
      <c r="U25" s="526" t="n"/>
      <c r="V25" s="92" t="n"/>
      <c r="W25" s="92" t="n"/>
      <c r="X25" s="92" t="n"/>
      <c r="Y25" s="92" t="n"/>
      <c r="Z25" s="526" t="n"/>
      <c r="AA25" s="526" t="n"/>
      <c r="AB25" s="526" t="n"/>
      <c r="AC25" s="526" t="n"/>
      <c r="AD25" s="526" t="n"/>
      <c r="AE25" s="526" t="n"/>
    </row>
    <row r="26" ht="15.75" customHeight="1" s="510" thickBot="1">
      <c r="A26" s="423" t="inlineStr">
        <is>
          <t>WPHY 65</t>
        </is>
      </c>
      <c r="B26" s="96" t="n">
        <v>65000</v>
      </c>
      <c r="C26" s="96" t="n">
        <v>450</v>
      </c>
      <c r="D26" s="96" t="inlineStr">
        <is>
          <t>77-102</t>
        </is>
      </c>
      <c r="E26" s="96" t="inlineStr">
        <is>
          <t>530-705</t>
        </is>
      </c>
      <c r="F26" s="96" t="n">
        <v>28</v>
      </c>
      <c r="G26" s="96" t="inlineStr">
        <is>
          <t>30/25</t>
        </is>
      </c>
      <c r="H26" s="418" t="inlineStr">
        <is>
          <t>40/34</t>
        </is>
      </c>
      <c r="I26" s="547" t="n">
        <v>-46</v>
      </c>
      <c r="J26" s="90" t="n"/>
      <c r="K26" s="90" t="n"/>
      <c r="L26" s="90" t="n"/>
      <c r="M26" s="90" t="n"/>
      <c r="N26" s="90" t="n"/>
      <c r="O26" s="90" t="n"/>
      <c r="P26" s="90" t="n"/>
      <c r="Q26" s="94" t="n"/>
      <c r="R26" s="512" t="n"/>
      <c r="S26" s="526" t="n"/>
      <c r="T26" s="526" t="n"/>
      <c r="U26" s="526" t="n"/>
      <c r="V26" s="92" t="n"/>
      <c r="W26" s="92" t="n"/>
      <c r="X26" s="92" t="n"/>
      <c r="Y26" s="92" t="n"/>
      <c r="Z26" s="526" t="n"/>
      <c r="AA26" s="526" t="n"/>
      <c r="AB26" s="526" t="n"/>
      <c r="AC26" s="526" t="n"/>
      <c r="AD26" s="526" t="n"/>
      <c r="AE26" s="526" t="n"/>
    </row>
    <row r="27">
      <c r="A27" s="427" t="inlineStr">
        <is>
          <t>WPHY 70</t>
        </is>
      </c>
      <c r="B27" s="428" t="n">
        <v>70000</v>
      </c>
      <c r="C27" s="428" t="n">
        <v>485</v>
      </c>
      <c r="D27" s="428" t="inlineStr">
        <is>
          <t>80-105</t>
        </is>
      </c>
      <c r="E27" s="428" t="inlineStr">
        <is>
          <t>550-725</t>
        </is>
      </c>
      <c r="F27" s="428" t="n">
        <v>28</v>
      </c>
      <c r="G27" s="428" t="inlineStr">
        <is>
          <t>30/25</t>
        </is>
      </c>
      <c r="H27" s="421" t="inlineStr">
        <is>
          <t>40/34</t>
        </is>
      </c>
      <c r="I27" s="547" t="n">
        <v>-46</v>
      </c>
      <c r="J27" s="90" t="n"/>
      <c r="K27" s="90" t="n"/>
      <c r="L27" s="90" t="n"/>
      <c r="M27" s="90" t="n"/>
      <c r="N27" s="90" t="n"/>
      <c r="O27" s="90" t="n"/>
      <c r="P27" s="90" t="n"/>
      <c r="Q27" s="94" t="n"/>
      <c r="R27" s="512" t="n"/>
      <c r="S27" s="526" t="n"/>
      <c r="T27" s="526" t="n"/>
      <c r="U27" s="526" t="n"/>
      <c r="V27" s="92" t="n"/>
      <c r="W27" s="92" t="n"/>
      <c r="X27" s="92" t="n"/>
      <c r="Y27" s="92" t="n"/>
      <c r="Z27" s="526" t="n"/>
      <c r="AA27" s="526" t="n"/>
      <c r="AB27" s="526" t="n"/>
      <c r="AC27" s="526" t="n"/>
      <c r="AD27" s="526" t="n"/>
      <c r="AE27" s="526" t="n"/>
    </row>
    <row r="28" ht="15.75" customHeight="1" s="510" thickBot="1">
      <c r="A28" s="94" t="n"/>
      <c r="B28" s="94" t="n"/>
      <c r="C28" s="94" t="n"/>
      <c r="D28" s="94" t="n"/>
      <c r="E28" s="94" t="n"/>
      <c r="F28" s="94" t="n"/>
      <c r="G28" s="94" t="n"/>
      <c r="H28" s="94" t="n"/>
      <c r="I28" s="94" t="n"/>
      <c r="J28" s="90" t="n"/>
      <c r="K28" s="90" t="n"/>
      <c r="L28" s="90" t="n"/>
      <c r="M28" s="90" t="n"/>
      <c r="N28" s="90" t="n"/>
      <c r="O28" s="90" t="n"/>
      <c r="P28" s="90" t="n"/>
      <c r="Q28" s="94" t="n"/>
      <c r="R28" s="512" t="n"/>
      <c r="S28" s="526" t="n"/>
      <c r="T28" s="526" t="n"/>
      <c r="U28" s="526" t="n"/>
      <c r="V28" s="92" t="n"/>
      <c r="W28" s="92" t="n"/>
      <c r="X28" s="92" t="n"/>
      <c r="Y28" s="92" t="n"/>
      <c r="Z28" s="526" t="n"/>
      <c r="AA28" s="526" t="n"/>
      <c r="AB28" s="526" t="n"/>
      <c r="AC28" s="526" t="n"/>
      <c r="AD28" s="526" t="n"/>
      <c r="AE28" s="526" t="n"/>
    </row>
    <row r="29" ht="48" customHeight="1" s="510" thickBot="1">
      <c r="A29" s="1225" t="inlineStr">
        <is>
          <t>The Chemical Composition of ASTM A860, %</t>
        </is>
      </c>
      <c r="B29" s="1226" t="n"/>
      <c r="C29" s="94" t="n"/>
      <c r="D29" s="94" t="n"/>
      <c r="E29" s="94" t="n"/>
      <c r="F29" s="94" t="n"/>
      <c r="G29" s="94" t="n"/>
      <c r="H29" s="94" t="n"/>
      <c r="I29" s="94" t="n"/>
      <c r="J29" s="90" t="n"/>
      <c r="K29" s="90" t="n"/>
      <c r="L29" s="90" t="n"/>
      <c r="M29" s="90" t="n"/>
      <c r="N29" s="90" t="n"/>
      <c r="O29" s="90" t="n"/>
      <c r="P29" s="90" t="n"/>
      <c r="Q29" s="94" t="n"/>
      <c r="R29" s="512" t="n"/>
      <c r="S29" s="526" t="n"/>
      <c r="T29" s="526" t="n"/>
      <c r="U29" s="526" t="n"/>
      <c r="V29" s="92" t="n"/>
      <c r="W29" s="92" t="n"/>
      <c r="X29" s="92" t="n"/>
      <c r="Y29" s="92" t="n"/>
      <c r="Z29" s="526" t="n"/>
      <c r="AA29" s="526" t="n"/>
      <c r="AB29" s="526" t="n"/>
      <c r="AC29" s="526" t="n"/>
      <c r="AD29" s="526" t="n"/>
      <c r="AE29" s="526" t="n"/>
    </row>
    <row r="30" ht="15.75" customHeight="1" s="510" thickBot="1">
      <c r="A30" s="417" t="inlineStr">
        <is>
          <t>Carbon</t>
        </is>
      </c>
      <c r="B30" s="97" t="inlineStr">
        <is>
          <t>Manganese</t>
        </is>
      </c>
      <c r="C30" s="97" t="inlineStr">
        <is>
          <t>Silicon</t>
        </is>
      </c>
      <c r="D30" s="97" t="inlineStr">
        <is>
          <t>Sulfur</t>
        </is>
      </c>
      <c r="E30" s="97" t="inlineStr">
        <is>
          <t>Phosphorus</t>
        </is>
      </c>
      <c r="F30" s="97" t="inlineStr">
        <is>
          <t>Chromium</t>
        </is>
      </c>
      <c r="G30" s="97" t="inlineStr">
        <is>
          <t>Nickel</t>
        </is>
      </c>
      <c r="H30" s="97" t="inlineStr">
        <is>
          <t>Molybdenum</t>
        </is>
      </c>
      <c r="I30" s="97" t="inlineStr">
        <is>
          <t>Vanadium</t>
        </is>
      </c>
      <c r="J30" s="97" t="inlineStr">
        <is>
          <t>Copper</t>
        </is>
      </c>
      <c r="K30" s="97" t="inlineStr">
        <is>
          <t>Titanium</t>
        </is>
      </c>
      <c r="L30" s="97" t="inlineStr">
        <is>
          <t>Columbium</t>
        </is>
      </c>
      <c r="M30" s="97" t="inlineStr">
        <is>
          <t>Vanadium plus Columnium</t>
        </is>
      </c>
      <c r="N30" s="418" t="inlineStr">
        <is>
          <t>Aluminum</t>
        </is>
      </c>
      <c r="O30" s="90" t="n"/>
      <c r="P30" s="90" t="n"/>
      <c r="Q30" s="94" t="n"/>
      <c r="R30" s="512" t="n"/>
      <c r="S30" s="526" t="n"/>
      <c r="T30" s="526" t="n"/>
      <c r="U30" s="526" t="n"/>
      <c r="V30" s="92" t="n"/>
      <c r="W30" s="92" t="n"/>
      <c r="X30" s="92" t="n"/>
      <c r="Y30" s="92" t="n"/>
      <c r="Z30" s="526" t="n"/>
      <c r="AA30" s="526" t="n"/>
      <c r="AB30" s="526" t="n"/>
      <c r="AC30" s="526" t="n"/>
      <c r="AD30" s="526" t="n"/>
      <c r="AE30" s="526" t="n"/>
    </row>
    <row r="31">
      <c r="A31" s="419" t="inlineStr">
        <is>
          <t>≤0.20*A</t>
        </is>
      </c>
      <c r="B31" s="420" t="inlineStr">
        <is>
          <t>1.00-1.45</t>
        </is>
      </c>
      <c r="C31" s="420" t="inlineStr">
        <is>
          <t>0.15-0.40*B</t>
        </is>
      </c>
      <c r="D31" s="420" t="inlineStr">
        <is>
          <t>≤0.010</t>
        </is>
      </c>
      <c r="E31" s="420" t="inlineStr">
        <is>
          <t>≤0.030</t>
        </is>
      </c>
      <c r="F31" s="420" t="inlineStr">
        <is>
          <t>≤0.30*C</t>
        </is>
      </c>
      <c r="G31" s="420" t="inlineStr">
        <is>
          <t>≤0.50*C</t>
        </is>
      </c>
      <c r="H31" s="420" t="inlineStr">
        <is>
          <t>≤0.25*C</t>
        </is>
      </c>
      <c r="I31" s="420" t="inlineStr">
        <is>
          <t>≤0.10</t>
        </is>
      </c>
      <c r="J31" s="420" t="inlineStr">
        <is>
          <t>≤0.35*C</t>
        </is>
      </c>
      <c r="K31" s="420" t="inlineStr">
        <is>
          <t>≤0.05</t>
        </is>
      </c>
      <c r="L31" s="420" t="inlineStr">
        <is>
          <t>≤0.04</t>
        </is>
      </c>
      <c r="M31" s="420" t="inlineStr">
        <is>
          <t>≤0.12</t>
        </is>
      </c>
      <c r="N31" s="421" t="inlineStr">
        <is>
          <t>≤0.06</t>
        </is>
      </c>
      <c r="O31" s="90" t="n"/>
      <c r="P31" s="90" t="n"/>
      <c r="Q31" s="94" t="n"/>
      <c r="R31" s="512" t="n"/>
      <c r="S31" s="92" t="n"/>
      <c r="T31" s="92" t="n"/>
      <c r="U31" s="92" t="n"/>
      <c r="V31" s="92" t="n"/>
      <c r="W31" s="92" t="n"/>
      <c r="X31" s="92" t="n"/>
      <c r="Y31" s="92" t="n"/>
      <c r="Z31" s="526" t="n"/>
      <c r="AA31" s="526" t="n"/>
      <c r="AB31" s="526" t="n"/>
      <c r="AC31" s="526" t="n"/>
      <c r="AD31" s="526" t="n"/>
      <c r="AE31" s="526" t="n"/>
    </row>
    <row r="32">
      <c r="A32" s="94" t="n"/>
      <c r="B32" s="94" t="n"/>
      <c r="C32" s="94" t="n"/>
      <c r="D32" s="94" t="n"/>
      <c r="E32" s="94" t="n"/>
      <c r="F32" s="94" t="n"/>
      <c r="G32" s="94" t="n"/>
      <c r="H32" s="94" t="n"/>
      <c r="I32" s="94" t="n"/>
      <c r="J32" s="94" t="n"/>
      <c r="K32" s="94" t="n"/>
      <c r="L32" s="94" t="n"/>
      <c r="M32" s="90" t="n"/>
      <c r="N32" s="90" t="n"/>
      <c r="O32" s="90" t="n"/>
      <c r="P32" s="90" t="n"/>
      <c r="Q32" s="94" t="n"/>
      <c r="R32" s="512" t="n"/>
      <c r="S32" s="92" t="n"/>
      <c r="T32" s="92" t="n"/>
      <c r="U32" s="92" t="n"/>
      <c r="V32" s="92" t="n"/>
      <c r="W32" s="92" t="n"/>
      <c r="X32" s="92" t="n"/>
      <c r="Y32" s="92" t="n"/>
      <c r="Z32" s="526" t="n"/>
      <c r="AA32" s="526" t="n"/>
      <c r="AB32" s="526" t="n"/>
      <c r="AC32" s="526" t="n"/>
      <c r="AD32" s="526" t="n"/>
      <c r="AE32" s="526" t="n"/>
    </row>
    <row r="33">
      <c r="A33" s="94" t="n"/>
      <c r="B33" s="94" t="n"/>
      <c r="C33" s="94" t="n"/>
      <c r="D33" s="94" t="n"/>
      <c r="E33" s="94" t="n"/>
      <c r="F33" s="94" t="n"/>
      <c r="G33" s="94" t="n"/>
      <c r="H33" s="94" t="n"/>
      <c r="I33" s="94" t="n"/>
      <c r="J33" s="94" t="n"/>
      <c r="K33" s="94" t="n"/>
      <c r="L33" s="94" t="n"/>
      <c r="M33" s="90" t="n"/>
      <c r="N33" s="90" t="n"/>
      <c r="O33" s="90" t="n"/>
      <c r="P33" s="90" t="n"/>
      <c r="Q33" s="94" t="n"/>
      <c r="R33" s="512" t="n"/>
      <c r="S33" s="92" t="n"/>
      <c r="T33" s="92" t="n"/>
      <c r="U33" s="92" t="n"/>
      <c r="V33" s="92" t="n"/>
      <c r="W33" s="92" t="n"/>
      <c r="X33" s="92" t="n"/>
      <c r="Y33" s="92" t="n"/>
      <c r="Z33" s="526" t="n"/>
      <c r="AA33" s="526" t="n"/>
      <c r="AB33" s="526" t="n"/>
      <c r="AC33" s="526" t="n"/>
      <c r="AD33" s="526" t="n"/>
      <c r="AE33" s="526" t="n"/>
    </row>
    <row r="34">
      <c r="A34" s="94" t="n"/>
      <c r="B34" s="94" t="n"/>
      <c r="C34" s="94" t="n"/>
      <c r="D34" s="94" t="n"/>
      <c r="E34" s="94" t="n"/>
      <c r="F34" s="94" t="n"/>
      <c r="G34" s="94" t="n"/>
      <c r="H34" s="94" t="n"/>
      <c r="I34" s="94" t="n"/>
      <c r="J34" s="94" t="n"/>
      <c r="K34" s="94" t="n"/>
      <c r="L34" s="94" t="n"/>
      <c r="M34" s="90" t="n"/>
      <c r="N34" s="90" t="n"/>
      <c r="O34" s="90" t="n"/>
      <c r="P34" s="90" t="n"/>
      <c r="Q34" s="94" t="n"/>
      <c r="R34" s="512" t="n"/>
      <c r="S34" s="512" t="n"/>
      <c r="T34" s="512" t="n"/>
      <c r="U34" s="512" t="n"/>
      <c r="V34" s="512" t="n"/>
      <c r="W34" s="512" t="n"/>
      <c r="X34" s="512" t="n"/>
      <c r="Y34" s="512" t="n"/>
    </row>
    <row r="35">
      <c r="I35" s="94" t="n"/>
      <c r="J35" s="94" t="n"/>
      <c r="K35" s="94" t="n"/>
      <c r="L35" s="94" t="n"/>
      <c r="N35" s="512" t="n"/>
      <c r="O35" s="512" t="n"/>
      <c r="P35" s="512" t="n"/>
      <c r="Q35" s="512" t="n"/>
      <c r="R35" s="512" t="n"/>
      <c r="S35" s="512" t="n"/>
      <c r="T35" s="512" t="n"/>
      <c r="U35" s="512" t="n"/>
      <c r="V35" s="512" t="n"/>
      <c r="W35" s="512" t="n"/>
      <c r="X35" s="512" t="n"/>
      <c r="Y35" s="512" t="n"/>
    </row>
    <row r="37" ht="28.5" customHeight="1" s="510" thickBot="1">
      <c r="A37" s="561" t="inlineStr">
        <is>
          <t>CHEMICAL COMPOSITION ASTM A234-A860</t>
        </is>
      </c>
      <c r="B37" s="560" t="inlineStr">
        <is>
          <t>C%</t>
        </is>
      </c>
      <c r="C37" s="560" t="inlineStr">
        <is>
          <t>Mn%</t>
        </is>
      </c>
      <c r="D37" s="560" t="inlineStr">
        <is>
          <t>Si%</t>
        </is>
      </c>
      <c r="E37" s="560" t="inlineStr">
        <is>
          <t>S%</t>
        </is>
      </c>
      <c r="F37" s="560" t="inlineStr">
        <is>
          <t>P%</t>
        </is>
      </c>
      <c r="G37" s="560" t="inlineStr">
        <is>
          <t>Cr%</t>
        </is>
      </c>
      <c r="H37" s="560" t="inlineStr">
        <is>
          <t>Ni%</t>
        </is>
      </c>
      <c r="I37" s="560" t="inlineStr">
        <is>
          <t>Mo%</t>
        </is>
      </c>
      <c r="J37" s="560" t="inlineStr">
        <is>
          <t>V%</t>
        </is>
      </c>
      <c r="K37" s="560" t="inlineStr">
        <is>
          <t>Cu%</t>
        </is>
      </c>
      <c r="L37" s="560" t="inlineStr">
        <is>
          <t>Columbium %</t>
        </is>
      </c>
      <c r="M37" s="560" t="inlineStr">
        <is>
          <t>Al %</t>
        </is>
      </c>
      <c r="N37" s="562" t="inlineStr">
        <is>
          <t>Other</t>
        </is>
      </c>
      <c r="O37" s="564" t="n"/>
      <c r="P37" s="564" t="inlineStr">
        <is>
          <t>MECHANICAL PROPERTIES ASTM A234-A860</t>
        </is>
      </c>
      <c r="Q37" s="564" t="inlineStr">
        <is>
          <t>Yield Strength Min, psi</t>
        </is>
      </c>
      <c r="R37" s="564" t="inlineStr">
        <is>
          <t>Yield Strength Min, N/mm²</t>
        </is>
      </c>
      <c r="S37" s="564" t="inlineStr">
        <is>
          <t>Tensile Strength Min, psi</t>
        </is>
      </c>
      <c r="T37" s="564" t="inlineStr">
        <is>
          <t>Tensile Strength Min, N/mm²</t>
        </is>
      </c>
      <c r="U37" s="564" t="inlineStr">
        <is>
          <t>Elongation (%)</t>
        </is>
      </c>
      <c r="V37" s="564" t="inlineStr">
        <is>
          <t>Reduction of Area (%)</t>
        </is>
      </c>
      <c r="W37" s="564" t="inlineStr">
        <is>
          <t>Hardness, maximum HBW</t>
        </is>
      </c>
      <c r="X37" s="564" t="inlineStr">
        <is>
          <t>CVN Avarage</t>
        </is>
      </c>
      <c r="Y37" s="544" t="inlineStr">
        <is>
          <t>CVN Min</t>
        </is>
      </c>
      <c r="Z37" s="544" t="inlineStr">
        <is>
          <t>CVN Temp C</t>
        </is>
      </c>
    </row>
    <row r="38">
      <c r="A38" t="inlineStr">
        <is>
          <t>ASTM A234 WPB</t>
        </is>
      </c>
      <c r="B38" s="564" t="n">
        <v>0.3</v>
      </c>
      <c r="C38" s="564" t="inlineStr">
        <is>
          <t>0,29-1,06</t>
        </is>
      </c>
      <c r="D38" s="564" t="inlineStr">
        <is>
          <t>0,10 min</t>
        </is>
      </c>
      <c r="E38" s="564" t="n">
        <v>0.058</v>
      </c>
      <c r="F38" s="564" t="n">
        <v>0.05</v>
      </c>
      <c r="G38" s="564" t="n">
        <v>0.4</v>
      </c>
      <c r="H38" s="564" t="n">
        <v>0.4</v>
      </c>
      <c r="I38" s="564" t="n">
        <v>0.15</v>
      </c>
      <c r="J38" s="564" t="n">
        <v>0.08</v>
      </c>
      <c r="K38" s="564" t="n">
        <v>0.4</v>
      </c>
      <c r="L38" s="564" t="n">
        <v>0.02</v>
      </c>
      <c r="M38" s="564" t="n"/>
      <c r="N38" s="564" t="n"/>
      <c r="P38" s="514" t="inlineStr">
        <is>
          <t>ASTM A234 WPB</t>
        </is>
      </c>
      <c r="Q38" s="514" t="n">
        <v>35000</v>
      </c>
      <c r="R38" s="514" t="n">
        <v>240</v>
      </c>
      <c r="S38" s="514" t="n">
        <v>60000</v>
      </c>
      <c r="T38" s="514" t="n">
        <v>415</v>
      </c>
      <c r="U38" s="514" t="inlineStr">
        <is>
          <t>22-30</t>
        </is>
      </c>
      <c r="V38" s="514" t="n"/>
      <c r="W38" s="514" t="n">
        <v>197</v>
      </c>
      <c r="X38" s="514" t="inlineStr">
        <is>
          <t>Değer Yok</t>
        </is>
      </c>
      <c r="Y38" s="514" t="inlineStr">
        <is>
          <t>Değer Yok</t>
        </is>
      </c>
      <c r="Z38" s="514" t="inlineStr">
        <is>
          <t>Değer Yok</t>
        </is>
      </c>
    </row>
    <row r="39">
      <c r="A39" t="inlineStr">
        <is>
          <t>ASTM A234 WPC</t>
        </is>
      </c>
      <c r="B39" s="564" t="n">
        <v>0.35</v>
      </c>
      <c r="C39" s="564" t="inlineStr">
        <is>
          <t>0,29-1,07</t>
        </is>
      </c>
      <c r="D39" s="564" t="inlineStr">
        <is>
          <t>0,10 min</t>
        </is>
      </c>
      <c r="E39" s="564" t="n">
        <v>0.058</v>
      </c>
      <c r="F39" s="564" t="n">
        <v>0.05</v>
      </c>
      <c r="G39" s="564" t="n">
        <v>0.4</v>
      </c>
      <c r="H39" s="564" t="n">
        <v>0.4</v>
      </c>
      <c r="I39" s="564" t="n">
        <v>0.15</v>
      </c>
      <c r="J39" s="564" t="n">
        <v>0.08</v>
      </c>
      <c r="K39" s="564" t="n">
        <v>0.4</v>
      </c>
      <c r="L39" s="564" t="n">
        <v>0.02</v>
      </c>
      <c r="M39" s="564" t="n"/>
      <c r="N39" s="564" t="n"/>
      <c r="P39" s="514" t="inlineStr">
        <is>
          <t>ASTM A234 WPC</t>
        </is>
      </c>
      <c r="Q39" s="514" t="n">
        <v>40000</v>
      </c>
      <c r="R39" s="514" t="n">
        <v>275</v>
      </c>
      <c r="S39" s="514" t="n">
        <v>70000</v>
      </c>
      <c r="T39" s="514" t="n">
        <v>485</v>
      </c>
      <c r="U39" s="514" t="n">
        <v>30</v>
      </c>
      <c r="V39" s="514" t="n"/>
      <c r="W39" s="514" t="n">
        <v>197</v>
      </c>
      <c r="X39" s="514" t="inlineStr">
        <is>
          <t>Değer Yok</t>
        </is>
      </c>
      <c r="Y39" s="514" t="inlineStr">
        <is>
          <t>Değer Yok</t>
        </is>
      </c>
      <c r="Z39" s="514" t="inlineStr">
        <is>
          <t>Değer Yok</t>
        </is>
      </c>
    </row>
    <row r="40">
      <c r="A40" t="inlineStr">
        <is>
          <t>ASTM A234 WP1</t>
        </is>
      </c>
      <c r="B40" s="564" t="n">
        <v>0.28</v>
      </c>
      <c r="C40" s="564" t="inlineStr">
        <is>
          <t>0,30-0,90</t>
        </is>
      </c>
      <c r="D40" s="564" t="inlineStr">
        <is>
          <t>0,10-0,50</t>
        </is>
      </c>
      <c r="E40" s="564" t="n">
        <v>0.45</v>
      </c>
      <c r="F40" s="564" t="n">
        <v>0.045</v>
      </c>
      <c r="G40" s="564" t="n"/>
      <c r="H40" s="564" t="n"/>
      <c r="I40" s="564" t="inlineStr">
        <is>
          <t>0,44-0,65</t>
        </is>
      </c>
      <c r="J40" s="564" t="n"/>
      <c r="K40" s="564" t="n"/>
      <c r="L40" s="564" t="n"/>
      <c r="M40" s="564" t="n"/>
      <c r="N40" s="564" t="n"/>
      <c r="P40" s="514" t="inlineStr">
        <is>
          <t>ASTM A234 WP1</t>
        </is>
      </c>
      <c r="Q40" s="514" t="n">
        <v>30000</v>
      </c>
      <c r="R40" s="514" t="n">
        <v>205</v>
      </c>
      <c r="S40" s="514" t="inlineStr">
        <is>
          <t>55000-80000</t>
        </is>
      </c>
      <c r="T40" s="514" t="inlineStr">
        <is>
          <t>380-550</t>
        </is>
      </c>
      <c r="U40" s="514" t="n">
        <v>30</v>
      </c>
      <c r="V40" s="514" t="n"/>
      <c r="W40" s="514" t="n">
        <v>197</v>
      </c>
      <c r="X40" s="514" t="inlineStr">
        <is>
          <t>Değer Yok</t>
        </is>
      </c>
      <c r="Y40" s="514" t="inlineStr">
        <is>
          <t>Değer Yok</t>
        </is>
      </c>
      <c r="Z40" s="514" t="inlineStr">
        <is>
          <t>Değer Yok</t>
        </is>
      </c>
    </row>
    <row r="41">
      <c r="A41" t="inlineStr">
        <is>
          <t>ASTM A234 WP11 CL1</t>
        </is>
      </c>
      <c r="B41" s="564" t="inlineStr">
        <is>
          <t>0,05-0,15</t>
        </is>
      </c>
      <c r="C41" s="564" t="inlineStr">
        <is>
          <t>0,30-0,60</t>
        </is>
      </c>
      <c r="D41" s="564" t="inlineStr">
        <is>
          <t>0,50-1,00</t>
        </is>
      </c>
      <c r="E41" s="564" t="n">
        <v>0.03</v>
      </c>
      <c r="F41" s="564" t="n">
        <v>0.03</v>
      </c>
      <c r="G41" s="564" t="inlineStr">
        <is>
          <t>1,00-1,50</t>
        </is>
      </c>
      <c r="H41" s="564" t="n"/>
      <c r="I41" s="564" t="inlineStr">
        <is>
          <t>0,44-0,65</t>
        </is>
      </c>
      <c r="J41" s="564" t="n"/>
      <c r="K41" s="564" t="n"/>
      <c r="L41" s="564" t="n"/>
      <c r="M41" s="564" t="n"/>
      <c r="N41" s="564" t="n"/>
      <c r="P41" s="514" t="inlineStr">
        <is>
          <t>ASTM A234 WP11 CL1</t>
        </is>
      </c>
      <c r="Q41" s="514" t="n">
        <v>30000</v>
      </c>
      <c r="R41" s="514" t="n">
        <v>205</v>
      </c>
      <c r="S41" s="514" t="n">
        <v>60000</v>
      </c>
      <c r="T41" s="514" t="n">
        <v>415</v>
      </c>
      <c r="U41" s="514" t="n">
        <v>30</v>
      </c>
      <c r="V41" s="514" t="n"/>
      <c r="W41" s="514" t="n">
        <v>197</v>
      </c>
      <c r="X41" s="514" t="inlineStr">
        <is>
          <t>Değer Yok</t>
        </is>
      </c>
      <c r="Y41" s="514" t="inlineStr">
        <is>
          <t>Değer Yok</t>
        </is>
      </c>
      <c r="Z41" s="514" t="inlineStr">
        <is>
          <t>Değer Yok</t>
        </is>
      </c>
    </row>
    <row r="42">
      <c r="A42" t="inlineStr">
        <is>
          <t>ASTM A234 WP11 CL2</t>
        </is>
      </c>
      <c r="B42" s="564" t="inlineStr">
        <is>
          <t>0,05-0,20</t>
        </is>
      </c>
      <c r="C42" s="564" t="inlineStr">
        <is>
          <t>0,30-0,80</t>
        </is>
      </c>
      <c r="D42" s="564" t="inlineStr">
        <is>
          <t>0,50-1,00</t>
        </is>
      </c>
      <c r="E42" s="564" t="n">
        <v>0.04</v>
      </c>
      <c r="F42" s="564" t="n">
        <v>0.04</v>
      </c>
      <c r="G42" s="564" t="inlineStr">
        <is>
          <t>1,00-1,50</t>
        </is>
      </c>
      <c r="H42" s="564" t="n"/>
      <c r="I42" s="564" t="inlineStr">
        <is>
          <t>0,44-0,65</t>
        </is>
      </c>
      <c r="J42" s="564" t="n"/>
      <c r="K42" s="564" t="n"/>
      <c r="L42" s="564" t="n"/>
      <c r="M42" s="564" t="n"/>
      <c r="N42" s="564" t="n"/>
      <c r="P42" s="514" t="inlineStr">
        <is>
          <t>ASTM A234 WP11 CL2</t>
        </is>
      </c>
      <c r="Q42" s="514" t="n">
        <v>40000</v>
      </c>
      <c r="R42" s="514" t="n">
        <v>275</v>
      </c>
      <c r="S42" s="514" t="n">
        <v>70000</v>
      </c>
      <c r="T42" s="514" t="n">
        <v>485</v>
      </c>
      <c r="U42" s="514" t="n">
        <v>30</v>
      </c>
      <c r="V42" s="514" t="n"/>
      <c r="W42" s="514" t="n">
        <v>197</v>
      </c>
      <c r="X42" s="514" t="inlineStr">
        <is>
          <t>Değer Yok</t>
        </is>
      </c>
      <c r="Y42" s="514" t="inlineStr">
        <is>
          <t>Değer Yok</t>
        </is>
      </c>
      <c r="Z42" s="514" t="inlineStr">
        <is>
          <t>Değer Yok</t>
        </is>
      </c>
    </row>
    <row r="43">
      <c r="A43" t="inlineStr">
        <is>
          <t>ASTM  A234 WP22 CL1</t>
        </is>
      </c>
      <c r="B43" s="564" t="inlineStr">
        <is>
          <t>0,05-0,15</t>
        </is>
      </c>
      <c r="C43" s="564" t="inlineStr">
        <is>
          <t>0,30-0,60</t>
        </is>
      </c>
      <c r="D43" s="564" t="n">
        <v>0.5</v>
      </c>
      <c r="E43" s="564" t="n">
        <v>0.04</v>
      </c>
      <c r="F43" s="564" t="n">
        <v>0.04</v>
      </c>
      <c r="G43" s="564" t="inlineStr">
        <is>
          <t>1,90-2,60</t>
        </is>
      </c>
      <c r="H43" s="564" t="n"/>
      <c r="I43" s="564" t="inlineStr">
        <is>
          <t>0,87-1,13</t>
        </is>
      </c>
      <c r="J43" s="564" t="n"/>
      <c r="K43" s="564" t="n"/>
      <c r="L43" s="564" t="n"/>
      <c r="M43" s="564" t="n"/>
      <c r="N43" s="564" t="n"/>
      <c r="P43" s="514" t="inlineStr">
        <is>
          <t>ASTM  A234 WP22 CL1</t>
        </is>
      </c>
      <c r="Q43" s="514" t="n">
        <v>30000</v>
      </c>
      <c r="R43" s="514" t="n">
        <v>205</v>
      </c>
      <c r="S43" s="514" t="n">
        <v>60000</v>
      </c>
      <c r="T43" s="514" t="n">
        <v>415</v>
      </c>
      <c r="U43" s="514" t="n">
        <v>30</v>
      </c>
      <c r="V43" s="514" t="n"/>
      <c r="W43" s="514" t="n">
        <v>197</v>
      </c>
      <c r="X43" s="514" t="inlineStr">
        <is>
          <t>Değer Yok</t>
        </is>
      </c>
      <c r="Y43" s="514" t="inlineStr">
        <is>
          <t>Değer Yok</t>
        </is>
      </c>
      <c r="Z43" s="514" t="inlineStr">
        <is>
          <t>Değer Yok</t>
        </is>
      </c>
    </row>
    <row r="44">
      <c r="A44" t="inlineStr">
        <is>
          <t>ASTM A234 WP5 CL1</t>
        </is>
      </c>
      <c r="B44" s="564" t="n">
        <v>0.15</v>
      </c>
      <c r="C44" s="564" t="inlineStr">
        <is>
          <t>0,30-0,60</t>
        </is>
      </c>
      <c r="D44" s="564" t="n">
        <v>0.5</v>
      </c>
      <c r="E44" s="564" t="n">
        <v>0.03</v>
      </c>
      <c r="F44" s="564" t="n">
        <v>0.04</v>
      </c>
      <c r="G44" s="564" t="inlineStr">
        <is>
          <t>4,00-6,00</t>
        </is>
      </c>
      <c r="H44" s="564" t="n"/>
      <c r="I44" s="564" t="inlineStr">
        <is>
          <t>0,44-0,65</t>
        </is>
      </c>
      <c r="J44" s="564" t="n"/>
      <c r="K44" s="564" t="n"/>
      <c r="L44" s="564" t="n"/>
      <c r="M44" s="564" t="n"/>
      <c r="N44" s="564" t="n"/>
      <c r="P44" s="514" t="inlineStr">
        <is>
          <t>ASTM A234 WP5 CL1</t>
        </is>
      </c>
      <c r="Q44" s="514" t="n">
        <v>30000</v>
      </c>
      <c r="R44" s="514" t="n">
        <v>205</v>
      </c>
      <c r="S44" s="514" t="n">
        <v>60000</v>
      </c>
      <c r="T44" s="514" t="n">
        <v>415</v>
      </c>
      <c r="U44" s="514" t="n">
        <v>30</v>
      </c>
      <c r="V44" s="514" t="n"/>
      <c r="W44" s="514" t="n">
        <v>217</v>
      </c>
      <c r="X44" s="514" t="inlineStr">
        <is>
          <t>Değer Yok</t>
        </is>
      </c>
      <c r="Y44" s="514" t="inlineStr">
        <is>
          <t>Değer Yok</t>
        </is>
      </c>
      <c r="Z44" s="514" t="inlineStr">
        <is>
          <t>Değer Yok</t>
        </is>
      </c>
    </row>
    <row r="45">
      <c r="A45" t="inlineStr">
        <is>
          <t>ASTM A234 WP9 CL1</t>
        </is>
      </c>
      <c r="B45" s="564" t="n">
        <v>0.15</v>
      </c>
      <c r="C45" s="564" t="inlineStr">
        <is>
          <t>0,30-0,60</t>
        </is>
      </c>
      <c r="D45" s="564" t="inlineStr">
        <is>
          <t>0,25-1,00</t>
        </is>
      </c>
      <c r="E45" s="564" t="n">
        <v>0.03</v>
      </c>
      <c r="F45" s="564" t="n">
        <v>0.03</v>
      </c>
      <c r="G45" s="564" t="inlineStr">
        <is>
          <t>8,00-10,00</t>
        </is>
      </c>
      <c r="H45" s="564" t="n"/>
      <c r="I45" s="564" t="inlineStr">
        <is>
          <t>0,90-1,10</t>
        </is>
      </c>
      <c r="J45" s="564" t="n"/>
      <c r="K45" s="564" t="n"/>
      <c r="L45" s="564" t="n"/>
      <c r="M45" s="564" t="n"/>
      <c r="N45" s="564" t="n"/>
      <c r="P45" s="514" t="inlineStr">
        <is>
          <t>ASTM A234 WP9 CL1</t>
        </is>
      </c>
      <c r="Q45" s="514" t="n">
        <v>30000</v>
      </c>
      <c r="R45" s="514" t="n">
        <v>205</v>
      </c>
      <c r="S45" s="514" t="n">
        <v>60000</v>
      </c>
      <c r="T45" s="514" t="n">
        <v>415</v>
      </c>
      <c r="U45" s="514" t="n">
        <v>30</v>
      </c>
      <c r="V45" s="514" t="n"/>
      <c r="W45" s="514" t="n">
        <v>217</v>
      </c>
      <c r="X45" s="514" t="inlineStr">
        <is>
          <t>Değer Yok</t>
        </is>
      </c>
      <c r="Y45" s="514" t="inlineStr">
        <is>
          <t>Değer Yok</t>
        </is>
      </c>
      <c r="Z45" s="514" t="inlineStr">
        <is>
          <t>Değer Yok</t>
        </is>
      </c>
    </row>
    <row r="46">
      <c r="A46" t="inlineStr">
        <is>
          <t>ASTM A234 WP12 CL2</t>
        </is>
      </c>
      <c r="B46" s="564" t="inlineStr">
        <is>
          <t>0,05-0,20</t>
        </is>
      </c>
      <c r="C46" s="564" t="inlineStr">
        <is>
          <t>0,30-0,80</t>
        </is>
      </c>
      <c r="D46" s="564" t="n">
        <v>0.6</v>
      </c>
      <c r="E46" s="564" t="n">
        <v>0.45</v>
      </c>
      <c r="F46" s="564" t="n">
        <v>0.45</v>
      </c>
      <c r="G46" s="564" t="inlineStr">
        <is>
          <t>0,80-1,25</t>
        </is>
      </c>
      <c r="H46" s="564" t="n"/>
      <c r="I46" s="564" t="inlineStr">
        <is>
          <t>0,44-0,65</t>
        </is>
      </c>
      <c r="J46" s="564" t="n"/>
      <c r="K46" s="564" t="n"/>
      <c r="L46" s="564" t="n"/>
      <c r="M46" s="564" t="n"/>
      <c r="N46" s="564" t="n"/>
      <c r="P46" s="514" t="inlineStr">
        <is>
          <t>ASTM A234 WP12 CL2</t>
        </is>
      </c>
      <c r="Q46" s="514" t="n">
        <v>40000</v>
      </c>
      <c r="R46" s="514" t="n">
        <v>275</v>
      </c>
      <c r="S46" s="514" t="n">
        <v>70000</v>
      </c>
      <c r="T46" s="514" t="n">
        <v>485</v>
      </c>
      <c r="U46" s="514" t="n">
        <v>30</v>
      </c>
      <c r="V46" s="514" t="n"/>
      <c r="W46" s="514" t="n">
        <v>197</v>
      </c>
      <c r="X46" s="514" t="inlineStr">
        <is>
          <t>Değer Yok</t>
        </is>
      </c>
      <c r="Y46" s="514" t="inlineStr">
        <is>
          <t>Değer Yok</t>
        </is>
      </c>
      <c r="Z46" s="514" t="inlineStr">
        <is>
          <t>Değer Yok</t>
        </is>
      </c>
    </row>
    <row r="47">
      <c r="A47" t="inlineStr">
        <is>
          <t>ASTM A234 WPR</t>
        </is>
      </c>
      <c r="B47" s="564" t="n">
        <v>0.2</v>
      </c>
      <c r="C47" s="564" t="inlineStr">
        <is>
          <t>0,40-1,06</t>
        </is>
      </c>
      <c r="D47" s="564" t="n"/>
      <c r="E47" s="564" t="n">
        <v>0.5</v>
      </c>
      <c r="F47" s="564" t="n">
        <v>0.045</v>
      </c>
      <c r="G47" s="564" t="n"/>
      <c r="H47" s="564" t="inlineStr">
        <is>
          <t>1,60-2,24</t>
        </is>
      </c>
      <c r="I47" s="564" t="n"/>
      <c r="J47" s="564" t="n"/>
      <c r="K47" s="564" t="inlineStr">
        <is>
          <t>0,75-1,25</t>
        </is>
      </c>
      <c r="L47" s="564" t="n"/>
      <c r="M47" s="564" t="n"/>
      <c r="N47" s="564" t="n"/>
      <c r="P47" s="514" t="inlineStr">
        <is>
          <t>ASTM A234 WPR</t>
        </is>
      </c>
      <c r="Q47" s="514" t="n">
        <v>46000</v>
      </c>
      <c r="R47" s="514" t="n">
        <v>310</v>
      </c>
      <c r="S47" s="514" t="inlineStr">
        <is>
          <t>63000-88000</t>
        </is>
      </c>
      <c r="T47" s="514" t="inlineStr">
        <is>
          <t>435-605</t>
        </is>
      </c>
      <c r="U47" s="514" t="n">
        <v>28</v>
      </c>
      <c r="V47" s="514" t="n"/>
      <c r="W47" s="514" t="n">
        <v>217</v>
      </c>
      <c r="X47" s="514" t="inlineStr">
        <is>
          <t>Değer Yok</t>
        </is>
      </c>
      <c r="Y47" s="514" t="inlineStr">
        <is>
          <t>Değer Yok</t>
        </is>
      </c>
      <c r="Z47" s="514" t="inlineStr">
        <is>
          <t>Değer Yok</t>
        </is>
      </c>
    </row>
    <row r="48">
      <c r="A48" t="inlineStr">
        <is>
          <t>ASTM A234 WP11 CL3</t>
        </is>
      </c>
      <c r="B48" s="564" t="inlineStr">
        <is>
          <t>0,05-0,20</t>
        </is>
      </c>
      <c r="C48" s="564" t="inlineStr">
        <is>
          <t>0,30-0,80</t>
        </is>
      </c>
      <c r="D48" s="564" t="inlineStr">
        <is>
          <t>0,50-1,00</t>
        </is>
      </c>
      <c r="E48" s="564" t="n">
        <v>0.04</v>
      </c>
      <c r="F48" s="564" t="n">
        <v>0.04</v>
      </c>
      <c r="G48" s="564" t="inlineStr">
        <is>
          <t>1,00-1,50</t>
        </is>
      </c>
      <c r="H48" s="564" t="n"/>
      <c r="I48" s="564" t="inlineStr">
        <is>
          <t>0,44-0,65</t>
        </is>
      </c>
      <c r="J48" s="564" t="n"/>
      <c r="K48" s="564" t="n"/>
      <c r="L48" s="564" t="n"/>
      <c r="M48" s="564" t="n"/>
      <c r="N48" s="564" t="n"/>
      <c r="P48" s="514" t="inlineStr">
        <is>
          <t>ASTM A234 WP11 CL3</t>
        </is>
      </c>
      <c r="Q48" s="514" t="n">
        <v>45000</v>
      </c>
      <c r="R48" s="514" t="n">
        <v>310</v>
      </c>
      <c r="S48" s="514" t="n">
        <v>75000</v>
      </c>
      <c r="T48" s="514" t="n">
        <v>520</v>
      </c>
      <c r="U48" s="514" t="n">
        <v>30</v>
      </c>
      <c r="V48" s="514" t="n"/>
      <c r="W48" s="514" t="n">
        <v>197</v>
      </c>
      <c r="X48" s="514" t="inlineStr">
        <is>
          <t>Değer Yok</t>
        </is>
      </c>
      <c r="Y48" s="514" t="inlineStr">
        <is>
          <t>Değer Yok</t>
        </is>
      </c>
      <c r="Z48" s="514" t="inlineStr">
        <is>
          <t>Değer Yok</t>
        </is>
      </c>
    </row>
    <row r="49">
      <c r="A49" t="inlineStr">
        <is>
          <t>ASTM A234 WP22 CL3</t>
        </is>
      </c>
      <c r="B49" s="564" t="inlineStr">
        <is>
          <t>0,05-0,15</t>
        </is>
      </c>
      <c r="C49" s="564" t="inlineStr">
        <is>
          <t>0,30-0,60</t>
        </is>
      </c>
      <c r="D49" s="564" t="n">
        <v>0.5</v>
      </c>
      <c r="E49" s="564" t="n">
        <v>0.04</v>
      </c>
      <c r="F49" s="564" t="n">
        <v>0.04</v>
      </c>
      <c r="G49" s="564" t="inlineStr">
        <is>
          <t>1,90-2,60</t>
        </is>
      </c>
      <c r="H49" s="564" t="n"/>
      <c r="I49" s="564" t="inlineStr">
        <is>
          <t>0,87-1,13</t>
        </is>
      </c>
      <c r="J49" s="564" t="n"/>
      <c r="K49" s="564" t="n"/>
      <c r="L49" s="564" t="n"/>
      <c r="M49" s="564" t="n"/>
      <c r="N49" s="564" t="n"/>
      <c r="P49" s="514" t="inlineStr">
        <is>
          <t>ASTM A234 WP22 CL3</t>
        </is>
      </c>
      <c r="Q49" s="514" t="n">
        <v>45000</v>
      </c>
      <c r="R49" s="514" t="n">
        <v>310</v>
      </c>
      <c r="S49" s="514" t="n">
        <v>75000</v>
      </c>
      <c r="T49" s="514" t="n">
        <v>520</v>
      </c>
      <c r="U49" s="514" t="n">
        <v>30</v>
      </c>
      <c r="V49" s="514" t="n"/>
      <c r="W49" s="514" t="n">
        <v>197</v>
      </c>
      <c r="X49" s="514" t="inlineStr">
        <is>
          <t>Değer Yok</t>
        </is>
      </c>
      <c r="Y49" s="514" t="inlineStr">
        <is>
          <t>Değer Yok</t>
        </is>
      </c>
      <c r="Z49" s="514" t="inlineStr">
        <is>
          <t>Değer Yok</t>
        </is>
      </c>
    </row>
    <row r="50">
      <c r="A50" t="inlineStr">
        <is>
          <t>ASTM A234 WP91 Type1</t>
        </is>
      </c>
      <c r="B50" s="564" t="inlineStr">
        <is>
          <t>0,08-0,12</t>
        </is>
      </c>
      <c r="C50" s="564" t="inlineStr">
        <is>
          <t>0,30-0,60</t>
        </is>
      </c>
      <c r="D50" s="564" t="inlineStr">
        <is>
          <t>0,20-0,50</t>
        </is>
      </c>
      <c r="E50" s="564" t="n">
        <v>0.01</v>
      </c>
      <c r="F50" s="564" t="n">
        <v>0.02</v>
      </c>
      <c r="G50" s="564" t="inlineStr">
        <is>
          <t>8,0-9,5</t>
        </is>
      </c>
      <c r="H50" s="564" t="n">
        <v>0.4</v>
      </c>
      <c r="I50" s="564" t="inlineStr">
        <is>
          <t>0,85-1,05</t>
        </is>
      </c>
      <c r="J50" s="564" t="inlineStr">
        <is>
          <t>0,18-0,25</t>
        </is>
      </c>
      <c r="K50" s="564" t="n"/>
      <c r="L50" s="564" t="inlineStr">
        <is>
          <t>0,06-0,10</t>
        </is>
      </c>
      <c r="M50" s="564" t="n">
        <v>0.04</v>
      </c>
      <c r="N50" s="564" t="inlineStr">
        <is>
          <t>0,03-0,07 N%</t>
        </is>
      </c>
      <c r="P50" s="514" t="inlineStr">
        <is>
          <t>ASTM A234 WP91 Type1</t>
        </is>
      </c>
      <c r="Q50" s="514" t="n">
        <v>60000</v>
      </c>
      <c r="R50" s="514" t="n">
        <v>415</v>
      </c>
      <c r="S50" s="514" t="n">
        <v>90000</v>
      </c>
      <c r="T50" s="514" t="n">
        <v>620</v>
      </c>
      <c r="U50" s="514" t="n">
        <v>20</v>
      </c>
      <c r="V50" s="514" t="n"/>
      <c r="W50" s="514" t="n">
        <v>190</v>
      </c>
      <c r="X50" s="514" t="inlineStr">
        <is>
          <t>Değer Yok</t>
        </is>
      </c>
      <c r="Y50" s="514" t="inlineStr">
        <is>
          <t>Değer Yok</t>
        </is>
      </c>
      <c r="Z50" s="514" t="inlineStr">
        <is>
          <t>Değer Yok</t>
        </is>
      </c>
    </row>
    <row r="51">
      <c r="A51" t="inlineStr">
        <is>
          <t>ASTM A234 WP91 Type2</t>
        </is>
      </c>
      <c r="B51" s="564" t="n"/>
      <c r="C51" s="564" t="n"/>
      <c r="D51" s="564" t="n"/>
      <c r="E51" s="564" t="n"/>
      <c r="F51" s="564" t="n"/>
      <c r="G51" s="564" t="n"/>
      <c r="H51" s="564" t="n"/>
      <c r="I51" s="564" t="n"/>
      <c r="J51" s="564" t="n"/>
      <c r="K51" s="564" t="n"/>
      <c r="L51" s="564" t="n"/>
      <c r="M51" s="564" t="n"/>
      <c r="N51" s="564" t="n"/>
      <c r="P51" s="514" t="inlineStr">
        <is>
          <t>ASTM A234 WP91 Type2</t>
        </is>
      </c>
      <c r="Q51" s="514" t="n">
        <v>60000</v>
      </c>
      <c r="R51" s="514" t="n">
        <v>415</v>
      </c>
      <c r="S51" s="514" t="n">
        <v>90000</v>
      </c>
      <c r="T51" s="514" t="n">
        <v>620</v>
      </c>
      <c r="U51" s="514" t="n">
        <v>20</v>
      </c>
      <c r="V51" s="514" t="n"/>
      <c r="W51" s="514" t="n">
        <v>190</v>
      </c>
      <c r="X51" s="514" t="inlineStr">
        <is>
          <t>Değer Yok</t>
        </is>
      </c>
      <c r="Y51" s="514" t="inlineStr">
        <is>
          <t>Değer Yok</t>
        </is>
      </c>
      <c r="Z51" s="514" t="inlineStr">
        <is>
          <t>Değer Yok</t>
        </is>
      </c>
    </row>
    <row r="52" ht="27.75" customHeight="1" s="510">
      <c r="A52" t="inlineStr">
        <is>
          <t>ASTM A234 WP911</t>
        </is>
      </c>
      <c r="B52" s="564" t="inlineStr">
        <is>
          <t>0,09-0,13</t>
        </is>
      </c>
      <c r="C52" s="564" t="inlineStr">
        <is>
          <t>0,30-0,60</t>
        </is>
      </c>
      <c r="D52" s="564" t="inlineStr">
        <is>
          <t>0,10-0,50</t>
        </is>
      </c>
      <c r="E52" s="564" t="n">
        <v>0.01</v>
      </c>
      <c r="F52" s="564" t="n">
        <v>0.02</v>
      </c>
      <c r="G52" s="564" t="inlineStr">
        <is>
          <t>8,5-10,5</t>
        </is>
      </c>
      <c r="H52" s="564" t="n">
        <v>0.4</v>
      </c>
      <c r="I52" s="564" t="inlineStr">
        <is>
          <t>0,90-1,10</t>
        </is>
      </c>
      <c r="J52" s="564" t="inlineStr">
        <is>
          <t>0,18-0,25</t>
        </is>
      </c>
      <c r="K52" s="564" t="n"/>
      <c r="L52" s="564" t="inlineStr">
        <is>
          <t>0,06-0,10</t>
        </is>
      </c>
      <c r="M52" s="564" t="n">
        <v>0.04</v>
      </c>
      <c r="N52" s="564" t="inlineStr">
        <is>
          <t>0,04-0,09 N% / 0,0003-0,006 Boron% / 0,90-1,10 Tungsten%</t>
        </is>
      </c>
      <c r="P52" s="514" t="inlineStr">
        <is>
          <t>ASTM A234 WP911</t>
        </is>
      </c>
      <c r="Q52" s="514" t="n">
        <v>64000</v>
      </c>
      <c r="R52" s="514" t="n">
        <v>440</v>
      </c>
      <c r="S52" s="514" t="inlineStr">
        <is>
          <t>90000-120000</t>
        </is>
      </c>
      <c r="T52" s="514" t="inlineStr">
        <is>
          <t>620-840</t>
        </is>
      </c>
      <c r="U52" s="514" t="n">
        <v>20</v>
      </c>
      <c r="V52" s="514" t="n"/>
      <c r="W52" s="514" t="n">
        <v>248</v>
      </c>
      <c r="X52" s="514" t="inlineStr">
        <is>
          <t>Değer Yok</t>
        </is>
      </c>
      <c r="Y52" s="514" t="inlineStr">
        <is>
          <t>Değer Yok</t>
        </is>
      </c>
      <c r="Z52" s="514" t="inlineStr">
        <is>
          <t>Değer Yok</t>
        </is>
      </c>
    </row>
    <row r="53">
      <c r="A53" t="inlineStr">
        <is>
          <t>ASTM A234 WP12 CL1</t>
        </is>
      </c>
      <c r="B53" s="564" t="inlineStr">
        <is>
          <t>0,05-0,20</t>
        </is>
      </c>
      <c r="C53" s="564" t="inlineStr">
        <is>
          <t>0,30-0,80</t>
        </is>
      </c>
      <c r="D53" s="564" t="n">
        <v>0.6</v>
      </c>
      <c r="E53" s="564" t="n">
        <v>0.45</v>
      </c>
      <c r="F53" s="564" t="n">
        <v>0.45</v>
      </c>
      <c r="G53" s="564" t="inlineStr">
        <is>
          <t>0,80-1,25</t>
        </is>
      </c>
      <c r="H53" s="564" t="n"/>
      <c r="I53" s="564" t="inlineStr">
        <is>
          <t>0,44-0,65</t>
        </is>
      </c>
      <c r="J53" s="564" t="n"/>
      <c r="K53" s="564" t="n"/>
      <c r="L53" s="564" t="n"/>
      <c r="M53" s="564" t="n"/>
      <c r="N53" s="564" t="n"/>
      <c r="P53" s="514" t="inlineStr">
        <is>
          <t>ASTM A234 WP12 CL1</t>
        </is>
      </c>
      <c r="Q53" s="514" t="n">
        <v>32000</v>
      </c>
      <c r="R53" s="514" t="n">
        <v>220</v>
      </c>
      <c r="S53" s="514" t="n">
        <v>60000</v>
      </c>
      <c r="T53" s="514" t="n">
        <v>415</v>
      </c>
      <c r="U53" s="514" t="n">
        <v>30</v>
      </c>
      <c r="V53" s="514" t="n"/>
      <c r="W53" s="514" t="n">
        <v>197</v>
      </c>
      <c r="X53" s="514" t="inlineStr">
        <is>
          <t>Değer Yok</t>
        </is>
      </c>
      <c r="Y53" s="514" t="inlineStr">
        <is>
          <t>Değer Yok</t>
        </is>
      </c>
      <c r="Z53" s="514" t="inlineStr">
        <is>
          <t>Değer Yok</t>
        </is>
      </c>
    </row>
    <row r="54" ht="27.75" customHeight="1" s="510">
      <c r="A54" t="inlineStr">
        <is>
          <t>ASTM A860 WPHY42</t>
        </is>
      </c>
      <c r="B54" s="564" t="inlineStr">
        <is>
          <t>≤0.20*A</t>
        </is>
      </c>
      <c r="C54" s="564" t="inlineStr">
        <is>
          <t>1.00-1.45</t>
        </is>
      </c>
      <c r="D54" s="564" t="inlineStr">
        <is>
          <t>0.15-0.40*B</t>
        </is>
      </c>
      <c r="E54" s="564" t="inlineStr">
        <is>
          <t>≤0.010</t>
        </is>
      </c>
      <c r="F54" s="564" t="inlineStr">
        <is>
          <t>≤0.030</t>
        </is>
      </c>
      <c r="G54" s="564" t="inlineStr">
        <is>
          <t>≤0.30*C</t>
        </is>
      </c>
      <c r="H54" s="564" t="inlineStr">
        <is>
          <t>≤0.50*C</t>
        </is>
      </c>
      <c r="I54" s="564" t="inlineStr">
        <is>
          <t>≤0.25*C</t>
        </is>
      </c>
      <c r="J54" s="564" t="inlineStr">
        <is>
          <t>≤0.10</t>
        </is>
      </c>
      <c r="K54" s="564" t="inlineStr">
        <is>
          <t>≤0.35*C</t>
        </is>
      </c>
      <c r="L54" s="564" t="inlineStr">
        <is>
          <t>≤0.04</t>
        </is>
      </c>
      <c r="M54" s="564" t="inlineStr">
        <is>
          <t>≤0.06</t>
        </is>
      </c>
      <c r="N54" s="564" t="n"/>
      <c r="P54" s="514" t="inlineStr">
        <is>
          <t>ASTM A860 WPHY42</t>
        </is>
      </c>
      <c r="Q54" s="514" t="n">
        <v>42000</v>
      </c>
      <c r="R54" s="514" t="n">
        <v>290</v>
      </c>
      <c r="S54" s="514" t="inlineStr">
        <is>
          <t>60000-85000</t>
        </is>
      </c>
      <c r="T54" s="514" t="inlineStr">
        <is>
          <t>415-585</t>
        </is>
      </c>
      <c r="U54" s="514" t="n">
        <v>32</v>
      </c>
      <c r="V54" s="514" t="n"/>
      <c r="W54" s="514" t="n">
        <v>235</v>
      </c>
      <c r="X54" s="514" t="n">
        <v>40</v>
      </c>
      <c r="Y54" s="514" t="n">
        <v>34</v>
      </c>
      <c r="Z54" s="514" t="n">
        <v>-46</v>
      </c>
    </row>
    <row r="55" ht="27.75" customHeight="1" s="510">
      <c r="A55" t="inlineStr">
        <is>
          <t>ASTM A860 WPHY46</t>
        </is>
      </c>
      <c r="B55" s="564" t="inlineStr">
        <is>
          <t>≤0.20*A</t>
        </is>
      </c>
      <c r="C55" s="564" t="inlineStr">
        <is>
          <t>1.00-1.45</t>
        </is>
      </c>
      <c r="D55" s="564" t="inlineStr">
        <is>
          <t>0.15-0.40*B</t>
        </is>
      </c>
      <c r="E55" s="564" t="inlineStr">
        <is>
          <t>≤0.010</t>
        </is>
      </c>
      <c r="F55" s="564" t="inlineStr">
        <is>
          <t>≤0.030</t>
        </is>
      </c>
      <c r="G55" s="564" t="inlineStr">
        <is>
          <t>≤0.30*C</t>
        </is>
      </c>
      <c r="H55" s="564" t="inlineStr">
        <is>
          <t>≤0.50*C</t>
        </is>
      </c>
      <c r="I55" s="564" t="inlineStr">
        <is>
          <t>≤0.25*C</t>
        </is>
      </c>
      <c r="J55" s="564" t="inlineStr">
        <is>
          <t>≤0.10</t>
        </is>
      </c>
      <c r="K55" s="564" t="inlineStr">
        <is>
          <t>≤0.35*C</t>
        </is>
      </c>
      <c r="L55" s="564" t="inlineStr">
        <is>
          <t>≤0.04</t>
        </is>
      </c>
      <c r="M55" s="564" t="inlineStr">
        <is>
          <t>≤0.06</t>
        </is>
      </c>
      <c r="N55" s="564" t="n"/>
      <c r="P55" s="514" t="inlineStr">
        <is>
          <t>ASTM A860 WPHY46</t>
        </is>
      </c>
      <c r="Q55" s="514" t="n">
        <v>46000</v>
      </c>
      <c r="R55" s="514" t="n">
        <v>315</v>
      </c>
      <c r="S55" s="514" t="inlineStr">
        <is>
          <t>63000-88000</t>
        </is>
      </c>
      <c r="T55" s="514" t="inlineStr">
        <is>
          <t>435-605</t>
        </is>
      </c>
      <c r="U55" s="514" t="n">
        <v>32</v>
      </c>
      <c r="V55" s="514" t="n"/>
      <c r="W55" s="514" t="n">
        <v>235</v>
      </c>
      <c r="X55" s="514" t="n">
        <v>40</v>
      </c>
      <c r="Y55" s="514" t="n">
        <v>34</v>
      </c>
      <c r="Z55" s="514" t="n">
        <v>-46</v>
      </c>
    </row>
    <row r="56" ht="27.75" customHeight="1" s="510">
      <c r="A56" t="inlineStr">
        <is>
          <t>ASTM A860 WPHY52</t>
        </is>
      </c>
      <c r="B56" s="564" t="inlineStr">
        <is>
          <t>≤0.20*A</t>
        </is>
      </c>
      <c r="C56" s="564" t="inlineStr">
        <is>
          <t>1.00-1.45</t>
        </is>
      </c>
      <c r="D56" s="564" t="inlineStr">
        <is>
          <t>0.15-0.40*B</t>
        </is>
      </c>
      <c r="E56" s="564" t="inlineStr">
        <is>
          <t>≤0.010</t>
        </is>
      </c>
      <c r="F56" s="564" t="inlineStr">
        <is>
          <t>≤0.030</t>
        </is>
      </c>
      <c r="G56" s="564" t="inlineStr">
        <is>
          <t>≤0.30*C</t>
        </is>
      </c>
      <c r="H56" s="564" t="inlineStr">
        <is>
          <t>≤0.50*C</t>
        </is>
      </c>
      <c r="I56" s="564" t="inlineStr">
        <is>
          <t>≤0.25*C</t>
        </is>
      </c>
      <c r="J56" s="564" t="inlineStr">
        <is>
          <t>≤0.10</t>
        </is>
      </c>
      <c r="K56" s="564" t="inlineStr">
        <is>
          <t>≤0.35*C</t>
        </is>
      </c>
      <c r="L56" s="564" t="inlineStr">
        <is>
          <t>≤0.04</t>
        </is>
      </c>
      <c r="M56" s="564" t="inlineStr">
        <is>
          <t>≤0.06</t>
        </is>
      </c>
      <c r="N56" s="564" t="n"/>
      <c r="P56" s="514" t="inlineStr">
        <is>
          <t>ASTM A860 WPHY52</t>
        </is>
      </c>
      <c r="Q56" s="514" t="n">
        <v>52000</v>
      </c>
      <c r="R56" s="514" t="n">
        <v>360</v>
      </c>
      <c r="S56" s="514" t="inlineStr">
        <is>
          <t>66000-91000</t>
        </is>
      </c>
      <c r="T56" s="514" t="inlineStr">
        <is>
          <t>455-625</t>
        </is>
      </c>
      <c r="U56" s="514" t="n">
        <v>32</v>
      </c>
      <c r="V56" s="514" t="n"/>
      <c r="W56" s="514" t="n">
        <v>235</v>
      </c>
      <c r="X56" s="514" t="n">
        <v>40</v>
      </c>
      <c r="Y56" s="514" t="n">
        <v>34</v>
      </c>
      <c r="Z56" s="514" t="n">
        <v>-46</v>
      </c>
    </row>
    <row r="57" ht="27.75" customHeight="1" s="510">
      <c r="A57" t="inlineStr">
        <is>
          <t>ASTM A860 WPHY60</t>
        </is>
      </c>
      <c r="B57" s="564" t="inlineStr">
        <is>
          <t>≤0.20*A</t>
        </is>
      </c>
      <c r="C57" s="564" t="inlineStr">
        <is>
          <t>1.00-1.45</t>
        </is>
      </c>
      <c r="D57" s="564" t="inlineStr">
        <is>
          <t>0.15-0.40*B</t>
        </is>
      </c>
      <c r="E57" s="564" t="inlineStr">
        <is>
          <t>≤0.010</t>
        </is>
      </c>
      <c r="F57" s="564" t="inlineStr">
        <is>
          <t>≤0.030</t>
        </is>
      </c>
      <c r="G57" s="564" t="inlineStr">
        <is>
          <t>≤0.30*C</t>
        </is>
      </c>
      <c r="H57" s="564" t="inlineStr">
        <is>
          <t>≤0.50*C</t>
        </is>
      </c>
      <c r="I57" s="564" t="inlineStr">
        <is>
          <t>≤0.25*C</t>
        </is>
      </c>
      <c r="J57" s="564" t="inlineStr">
        <is>
          <t>≤0.10</t>
        </is>
      </c>
      <c r="K57" s="564" t="inlineStr">
        <is>
          <t>≤0.35*C</t>
        </is>
      </c>
      <c r="L57" s="564" t="inlineStr">
        <is>
          <t>≤0.04</t>
        </is>
      </c>
      <c r="M57" s="564" t="inlineStr">
        <is>
          <t>≤0.06</t>
        </is>
      </c>
      <c r="N57" s="564" t="n"/>
      <c r="P57" s="514" t="inlineStr">
        <is>
          <t>ASTM A860 WPHY60</t>
        </is>
      </c>
      <c r="Q57" s="514" t="n">
        <v>60000</v>
      </c>
      <c r="R57" s="514" t="n">
        <v>415</v>
      </c>
      <c r="S57" s="514" t="inlineStr">
        <is>
          <t>75000-100000</t>
        </is>
      </c>
      <c r="T57" s="514" t="inlineStr">
        <is>
          <t>515-690</t>
        </is>
      </c>
      <c r="U57" s="514" t="n">
        <v>28</v>
      </c>
      <c r="V57" s="514" t="n"/>
      <c r="W57" s="514" t="n">
        <v>235</v>
      </c>
      <c r="X57" s="514" t="n">
        <v>40</v>
      </c>
      <c r="Y57" s="514" t="n">
        <v>34</v>
      </c>
      <c r="Z57" s="514" t="n">
        <v>-46</v>
      </c>
    </row>
    <row r="58" ht="27.75" customHeight="1" s="510">
      <c r="A58" t="inlineStr">
        <is>
          <t>ASTM A860 WPHY65</t>
        </is>
      </c>
      <c r="B58" s="564" t="inlineStr">
        <is>
          <t>≤0.20*A</t>
        </is>
      </c>
      <c r="C58" s="564" t="inlineStr">
        <is>
          <t>1.00-1.45</t>
        </is>
      </c>
      <c r="D58" s="564" t="inlineStr">
        <is>
          <t>0.15-0.40*B</t>
        </is>
      </c>
      <c r="E58" s="564" t="inlineStr">
        <is>
          <t>≤0.010</t>
        </is>
      </c>
      <c r="F58" s="564" t="inlineStr">
        <is>
          <t>≤0.030</t>
        </is>
      </c>
      <c r="G58" s="564" t="inlineStr">
        <is>
          <t>≤0.30*C</t>
        </is>
      </c>
      <c r="H58" s="564" t="inlineStr">
        <is>
          <t>≤0.50*C</t>
        </is>
      </c>
      <c r="I58" s="564" t="inlineStr">
        <is>
          <t>≤0.25*C</t>
        </is>
      </c>
      <c r="J58" s="564" t="inlineStr">
        <is>
          <t>≤0.10</t>
        </is>
      </c>
      <c r="K58" s="564" t="inlineStr">
        <is>
          <t>≤0.35*C</t>
        </is>
      </c>
      <c r="L58" s="564" t="inlineStr">
        <is>
          <t>≤0.04</t>
        </is>
      </c>
      <c r="M58" s="564" t="inlineStr">
        <is>
          <t>≤0.06</t>
        </is>
      </c>
      <c r="N58" s="564" t="n"/>
      <c r="P58" s="514" t="inlineStr">
        <is>
          <t>ASTM A860 WPHY65</t>
        </is>
      </c>
      <c r="Q58" s="514" t="n">
        <v>65000</v>
      </c>
      <c r="R58" s="514" t="n">
        <v>450</v>
      </c>
      <c r="S58" s="514" t="inlineStr">
        <is>
          <t>77000-102000</t>
        </is>
      </c>
      <c r="T58" s="514" t="inlineStr">
        <is>
          <t>530-705</t>
        </is>
      </c>
      <c r="U58" s="514" t="n">
        <v>28</v>
      </c>
      <c r="V58" s="514" t="n"/>
      <c r="W58" s="514" t="n">
        <v>235</v>
      </c>
      <c r="X58" s="514" t="n">
        <v>40</v>
      </c>
      <c r="Y58" s="514" t="n">
        <v>34</v>
      </c>
      <c r="Z58" s="514" t="n">
        <v>-46</v>
      </c>
    </row>
    <row r="59" ht="27.75" customHeight="1" s="510">
      <c r="A59" t="inlineStr">
        <is>
          <t>ASTM A860 WPHY70</t>
        </is>
      </c>
      <c r="B59" s="564" t="inlineStr">
        <is>
          <t>≤0.20*A</t>
        </is>
      </c>
      <c r="C59" s="564" t="inlineStr">
        <is>
          <t>1.00-1.45</t>
        </is>
      </c>
      <c r="D59" s="564" t="inlineStr">
        <is>
          <t>0.15-0.40*B</t>
        </is>
      </c>
      <c r="E59" s="564" t="inlineStr">
        <is>
          <t>≤0.010</t>
        </is>
      </c>
      <c r="F59" s="564" t="inlineStr">
        <is>
          <t>≤0.030</t>
        </is>
      </c>
      <c r="G59" s="564" t="inlineStr">
        <is>
          <t>≤0.30*C</t>
        </is>
      </c>
      <c r="H59" s="564" t="inlineStr">
        <is>
          <t>≤0.50*C</t>
        </is>
      </c>
      <c r="I59" s="564" t="inlineStr">
        <is>
          <t>≤0.25*C</t>
        </is>
      </c>
      <c r="J59" s="564" t="inlineStr">
        <is>
          <t>≤0.10</t>
        </is>
      </c>
      <c r="K59" s="564" t="inlineStr">
        <is>
          <t>≤0.35*C</t>
        </is>
      </c>
      <c r="L59" s="564" t="inlineStr">
        <is>
          <t>≤0.04</t>
        </is>
      </c>
      <c r="M59" s="564" t="inlineStr">
        <is>
          <t>≤0.06</t>
        </is>
      </c>
      <c r="N59" s="564" t="n"/>
      <c r="P59" s="514" t="inlineStr">
        <is>
          <t>ASTM A860 WPHY70</t>
        </is>
      </c>
      <c r="Q59" s="514" t="n">
        <v>70000</v>
      </c>
      <c r="R59" s="514" t="n">
        <v>485</v>
      </c>
      <c r="S59" s="514" t="inlineStr">
        <is>
          <t>80000-105000</t>
        </is>
      </c>
      <c r="T59" s="514" t="inlineStr">
        <is>
          <t>550-725</t>
        </is>
      </c>
      <c r="U59" s="514" t="n">
        <v>28</v>
      </c>
      <c r="V59" s="514" t="n"/>
      <c r="W59" s="514" t="n">
        <v>235</v>
      </c>
      <c r="X59" s="514" t="n">
        <v>40</v>
      </c>
      <c r="Y59" s="514" t="n">
        <v>34</v>
      </c>
      <c r="Z59" s="514" t="n">
        <v>-46</v>
      </c>
    </row>
  </sheetData>
  <mergeCells count="5">
    <mergeCell ref="D20:E20"/>
    <mergeCell ref="G20:H20"/>
    <mergeCell ref="A29:B29"/>
    <mergeCell ref="T2:U2"/>
    <mergeCell ref="B20:C20"/>
  </mergeCells>
  <pageMargins left="0.7" right="0.7" top="0.75" bottom="0.75" header="0.3" footer="0.3"/>
  <drawing xmlns:r="http://schemas.openxmlformats.org/officeDocument/2006/relationships" r:id="rId1"/>
  <tableParts count="5">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2.xml><?xml version="1.0" encoding="utf-8"?>
<worksheet xmlns="http://schemas.openxmlformats.org/spreadsheetml/2006/main">
  <sheetPr codeName="Sayfa10" published="0">
    <outlinePr summaryBelow="1" summaryRight="1"/>
    <pageSetUpPr/>
  </sheetPr>
  <dimension ref="A1:AS113"/>
  <sheetViews>
    <sheetView topLeftCell="A16" zoomScaleNormal="100" workbookViewId="0">
      <selection activeCell="H150" sqref="H150"/>
    </sheetView>
  </sheetViews>
  <sheetFormatPr baseColWidth="8" defaultRowHeight="15"/>
  <cols>
    <col width="18.4296875" customWidth="1" style="510" min="16" max="16"/>
    <col width="9.14453125" customWidth="1" style="510" min="19" max="23"/>
    <col width="12.375" bestFit="1" customWidth="1" style="510" min="24" max="24"/>
    <col width="10.625" customWidth="1" style="510" min="43" max="43"/>
  </cols>
  <sheetData>
    <row r="1">
      <c r="A1" s="32" t="n"/>
      <c r="B1" s="32" t="n"/>
      <c r="C1" s="32" t="n"/>
      <c r="D1" s="32" t="n"/>
      <c r="E1" s="32" t="n"/>
      <c r="F1" s="32" t="n"/>
      <c r="G1" s="32" t="n"/>
      <c r="H1" s="32" t="n"/>
      <c r="I1" s="32" t="n"/>
      <c r="J1" s="32" t="n"/>
      <c r="K1" s="32" t="n"/>
      <c r="L1" s="32" t="n"/>
      <c r="M1" s="32" t="n"/>
      <c r="N1" s="32" t="n"/>
      <c r="O1" s="32" t="n"/>
      <c r="P1" s="32" t="n"/>
      <c r="Q1" s="32" t="n"/>
      <c r="R1" s="32" t="n"/>
      <c r="S1" s="32" t="n"/>
      <c r="T1" s="32" t="n"/>
      <c r="U1" s="32" t="n"/>
      <c r="V1" s="32" t="n"/>
      <c r="W1" s="32" t="n"/>
      <c r="Y1" s="98" t="n"/>
      <c r="Z1" s="98" t="n"/>
      <c r="AA1" s="98" t="n"/>
      <c r="AB1" s="98" t="n"/>
      <c r="AC1" s="98" t="n"/>
      <c r="AD1" s="98" t="n"/>
      <c r="AE1" s="98" t="n"/>
      <c r="AF1" s="98" t="n"/>
      <c r="AG1" s="98" t="n"/>
      <c r="AH1" s="98" t="n"/>
      <c r="AI1" s="98" t="n"/>
      <c r="AJ1" s="98" t="n"/>
      <c r="AK1" s="98" t="n"/>
      <c r="AL1" s="98" t="n"/>
      <c r="AM1" s="98" t="n"/>
      <c r="AN1" s="98" t="n"/>
      <c r="AO1" s="98" t="n"/>
      <c r="AP1" s="98" t="n"/>
      <c r="AQ1" s="98" t="n"/>
      <c r="AR1" s="98" t="n"/>
      <c r="AS1" s="98" t="n"/>
    </row>
    <row r="2" ht="15.75" customHeight="1" s="510" thickBot="1">
      <c r="A2" s="32" t="n"/>
      <c r="B2" s="32" t="n"/>
      <c r="C2" s="32" t="n"/>
      <c r="D2" s="32" t="n"/>
      <c r="E2" s="32" t="n"/>
      <c r="F2" s="32" t="n"/>
      <c r="G2" s="32" t="n"/>
      <c r="H2" s="32" t="n"/>
      <c r="I2" s="32" t="n"/>
      <c r="J2" s="32" t="n"/>
      <c r="K2" s="32" t="n"/>
      <c r="L2" s="32" t="n"/>
      <c r="M2" s="32" t="n"/>
      <c r="N2" s="32" t="n"/>
      <c r="O2" s="32" t="n"/>
      <c r="P2" s="32" t="n"/>
      <c r="Q2" s="32" t="n"/>
      <c r="R2" s="32" t="n"/>
      <c r="S2" s="32" t="n"/>
      <c r="T2" s="32" t="n"/>
      <c r="U2" s="32" t="n"/>
      <c r="V2" s="32" t="n"/>
      <c r="W2" s="32" t="n"/>
      <c r="Y2" s="98" t="n"/>
      <c r="Z2" s="98" t="n"/>
      <c r="AA2" s="98" t="n"/>
      <c r="AB2" s="98" t="n"/>
      <c r="AC2" s="98" t="n"/>
      <c r="AD2" s="98" t="n"/>
      <c r="AE2" s="98" t="n"/>
      <c r="AF2" s="98" t="n"/>
      <c r="AG2" s="98" t="n"/>
      <c r="AH2" s="98" t="n"/>
      <c r="AI2" s="98" t="n"/>
      <c r="AJ2" s="98" t="n"/>
      <c r="AK2" s="98" t="n"/>
      <c r="AL2" s="98" t="n"/>
      <c r="AM2" s="98" t="n"/>
      <c r="AN2" s="98" t="n"/>
      <c r="AO2" s="98" t="n"/>
      <c r="AP2" s="98" t="n"/>
      <c r="AQ2" s="98" t="n"/>
      <c r="AR2" s="98" t="n"/>
      <c r="AS2" s="98" t="n"/>
    </row>
    <row r="3" ht="15.75" customHeight="1" s="510" thickBot="1">
      <c r="A3" s="32" t="n"/>
      <c r="B3" s="32" t="n"/>
      <c r="C3" s="32" t="n"/>
      <c r="D3" s="32" t="n"/>
      <c r="E3" s="32" t="n"/>
      <c r="F3" s="32" t="n"/>
      <c r="G3" s="32" t="n"/>
      <c r="H3" s="32" t="n"/>
      <c r="I3" s="32" t="n"/>
      <c r="J3" s="32" t="n"/>
      <c r="K3" s="32" t="n"/>
      <c r="L3" s="32" t="n"/>
      <c r="M3" s="32" t="n"/>
      <c r="N3" s="32" t="n"/>
      <c r="O3" s="32" t="n"/>
      <c r="P3" s="32" t="n"/>
      <c r="Q3" s="32" t="n"/>
      <c r="R3" s="32" t="n"/>
      <c r="S3" s="32" t="n"/>
      <c r="T3" s="32" t="n"/>
      <c r="U3" s="32" t="n"/>
      <c r="V3" s="32" t="n"/>
      <c r="W3" s="32" t="n"/>
      <c r="Y3" s="98" t="n"/>
      <c r="Z3" s="98" t="n"/>
      <c r="AA3" s="98" t="n"/>
      <c r="AB3" s="98" t="n"/>
      <c r="AC3" s="98" t="n"/>
      <c r="AD3" s="98" t="n"/>
      <c r="AE3" s="98" t="n"/>
      <c r="AF3" s="98" t="n"/>
      <c r="AG3" s="98" t="n"/>
      <c r="AH3" s="98" t="n"/>
      <c r="AI3" s="98" t="n"/>
      <c r="AJ3" s="98" t="n"/>
      <c r="AK3" s="98" t="n"/>
      <c r="AL3" s="98" t="n"/>
      <c r="AM3" s="98" t="n"/>
      <c r="AN3" s="98" t="n"/>
      <c r="AO3" s="98" t="n"/>
      <c r="AP3" s="98" t="n"/>
      <c r="AQ3" s="99" t="inlineStr">
        <is>
          <t>ASTM A216</t>
        </is>
      </c>
      <c r="AR3" s="98" t="n"/>
      <c r="AS3" s="98" t="n"/>
    </row>
    <row r="4" ht="15.75" customHeight="1" s="510" thickBot="1">
      <c r="A4" s="32" t="n"/>
      <c r="B4" s="32" t="n"/>
      <c r="C4" s="32" t="n"/>
      <c r="D4" s="32" t="n"/>
      <c r="E4" s="32" t="n"/>
      <c r="F4" s="32" t="n"/>
      <c r="G4" s="32" t="n"/>
      <c r="H4" s="32" t="n"/>
      <c r="I4" s="32" t="n"/>
      <c r="J4" s="32" t="n"/>
      <c r="K4" s="32" t="n"/>
      <c r="L4" s="32" t="n"/>
      <c r="M4" s="32" t="n"/>
      <c r="N4" s="32" t="n"/>
      <c r="O4" s="32" t="n"/>
      <c r="P4" s="100" t="inlineStr">
        <is>
          <t>ASTM A352</t>
        </is>
      </c>
      <c r="Q4" s="32" t="n"/>
      <c r="R4" s="32" t="n"/>
      <c r="S4" s="32" t="n"/>
      <c r="T4" s="32" t="n"/>
      <c r="U4" s="32" t="n"/>
      <c r="V4" s="32" t="n"/>
      <c r="W4" s="32" t="n"/>
      <c r="Y4" s="98" t="n"/>
      <c r="Z4" s="98" t="n"/>
      <c r="AA4" s="98" t="n"/>
      <c r="AB4" s="98" t="n"/>
      <c r="AC4" s="98" t="n"/>
      <c r="AD4" s="98" t="n"/>
      <c r="AE4" s="98" t="n"/>
      <c r="AF4" s="98" t="n"/>
      <c r="AG4" s="98" t="n"/>
      <c r="AH4" s="98" t="n"/>
      <c r="AI4" s="98" t="n"/>
      <c r="AJ4" s="98" t="n"/>
      <c r="AK4" s="98" t="n"/>
      <c r="AL4" s="98" t="n"/>
      <c r="AM4" s="98" t="n"/>
      <c r="AN4" s="98" t="n"/>
      <c r="AO4" s="98" t="n"/>
      <c r="AP4" s="98" t="n"/>
      <c r="AQ4" s="101" t="inlineStr">
        <is>
          <t>Grade</t>
        </is>
      </c>
      <c r="AR4" s="102" t="inlineStr">
        <is>
          <t>psi</t>
        </is>
      </c>
      <c r="AS4" s="103" t="inlineStr">
        <is>
          <t>Mpa</t>
        </is>
      </c>
    </row>
    <row r="5">
      <c r="A5" s="32" t="n"/>
      <c r="B5" s="32" t="n"/>
      <c r="C5" s="32" t="n"/>
      <c r="D5" s="32" t="n"/>
      <c r="E5" s="32" t="n"/>
      <c r="F5" s="32" t="n"/>
      <c r="G5" s="32" t="n"/>
      <c r="H5" s="32" t="n"/>
      <c r="I5" s="32" t="n"/>
      <c r="J5" s="32" t="n"/>
      <c r="K5" s="32" t="n"/>
      <c r="L5" s="32" t="n"/>
      <c r="M5" s="32" t="n"/>
      <c r="N5" s="32" t="n"/>
      <c r="O5" s="32" t="n"/>
      <c r="P5" s="439" t="inlineStr">
        <is>
          <t>ASTM A352 Grade</t>
        </is>
      </c>
      <c r="Q5" s="440" t="inlineStr">
        <is>
          <t>psi</t>
        </is>
      </c>
      <c r="R5" s="441" t="inlineStr">
        <is>
          <t>Mpa</t>
        </is>
      </c>
      <c r="S5" s="349" t="n"/>
      <c r="T5" s="349" t="n"/>
      <c r="U5" s="349" t="n"/>
      <c r="V5" s="349" t="n"/>
      <c r="W5" s="349" t="n"/>
      <c r="Y5" s="98" t="n"/>
      <c r="Z5" s="98" t="n"/>
      <c r="AA5" s="98" t="n"/>
      <c r="AB5" s="98" t="n"/>
      <c r="AC5" s="98" t="n"/>
      <c r="AD5" s="98" t="n"/>
      <c r="AE5" s="98" t="n"/>
      <c r="AF5" s="98" t="n"/>
      <c r="AG5" s="98" t="n"/>
      <c r="AH5" s="98" t="n"/>
      <c r="AI5" s="98" t="n"/>
      <c r="AJ5" s="98" t="n"/>
      <c r="AK5" s="98" t="n"/>
      <c r="AL5" s="98" t="n"/>
      <c r="AM5" s="98" t="n"/>
      <c r="AN5" s="98" t="n"/>
      <c r="AO5" s="98" t="n"/>
      <c r="AP5" s="98" t="n"/>
      <c r="AQ5" s="104" t="inlineStr">
        <is>
          <t>WCA</t>
        </is>
      </c>
      <c r="AR5" s="105" t="n">
        <v>30000</v>
      </c>
      <c r="AS5" s="106" t="n">
        <v>205</v>
      </c>
    </row>
    <row r="6">
      <c r="A6" s="32" t="n"/>
      <c r="B6" s="32" t="n"/>
      <c r="C6" s="32" t="n"/>
      <c r="D6" s="32" t="n"/>
      <c r="E6" s="32" t="n"/>
      <c r="F6" s="32" t="n"/>
      <c r="G6" s="32" t="n"/>
      <c r="H6" s="32" t="n"/>
      <c r="I6" s="32" t="n"/>
      <c r="J6" s="32" t="n"/>
      <c r="K6" s="32" t="n"/>
      <c r="L6" s="32" t="n"/>
      <c r="M6" s="32" t="n"/>
      <c r="N6" s="32" t="n"/>
      <c r="O6" s="32" t="n"/>
      <c r="P6" s="437" t="inlineStr">
        <is>
          <t>LCA</t>
        </is>
      </c>
      <c r="Q6" s="107" t="n">
        <v>30000</v>
      </c>
      <c r="R6" s="438">
        <f>Q6/145.0377</f>
        <v/>
      </c>
      <c r="S6" s="350" t="n"/>
      <c r="T6" s="350" t="n"/>
      <c r="U6" s="350" t="n"/>
      <c r="V6" s="350" t="n"/>
      <c r="W6" s="350" t="n"/>
      <c r="Y6" s="98" t="n"/>
      <c r="Z6" s="98" t="n"/>
      <c r="AA6" s="98" t="n"/>
      <c r="AB6" s="98" t="n"/>
      <c r="AC6" s="98" t="n"/>
      <c r="AD6" s="98" t="n"/>
      <c r="AE6" s="98" t="n"/>
      <c r="AF6" s="98" t="n"/>
      <c r="AG6" s="98" t="n"/>
      <c r="AH6" s="98" t="n"/>
      <c r="AI6" s="98" t="n"/>
      <c r="AJ6" s="98" t="n"/>
      <c r="AK6" s="98" t="n"/>
      <c r="AL6" s="98" t="n"/>
      <c r="AM6" s="98" t="n"/>
      <c r="AN6" s="98" t="n"/>
      <c r="AO6" s="98" t="n"/>
      <c r="AP6" s="98" t="n"/>
      <c r="AQ6" s="104" t="inlineStr">
        <is>
          <t>WCB</t>
        </is>
      </c>
      <c r="AR6" s="105" t="n">
        <v>35000</v>
      </c>
      <c r="AS6" s="106" t="n">
        <v>250</v>
      </c>
    </row>
    <row r="7" ht="15.75" customHeight="1" s="510" thickBot="1">
      <c r="A7" s="32" t="n"/>
      <c r="B7" s="32" t="n"/>
      <c r="C7" s="32" t="n"/>
      <c r="D7" s="32" t="n"/>
      <c r="E7" s="32" t="n"/>
      <c r="F7" s="32" t="n"/>
      <c r="G7" s="32" t="n"/>
      <c r="H7" s="32" t="n"/>
      <c r="I7" s="32" t="n"/>
      <c r="J7" s="32" t="n"/>
      <c r="K7" s="32" t="n"/>
      <c r="L7" s="32" t="n"/>
      <c r="M7" s="32" t="n"/>
      <c r="N7" s="32" t="n"/>
      <c r="O7" s="32" t="n"/>
      <c r="P7" s="437" t="inlineStr">
        <is>
          <t>LCB</t>
        </is>
      </c>
      <c r="Q7" s="107" t="n">
        <v>35000</v>
      </c>
      <c r="R7" s="438">
        <f>Q7/145.0377</f>
        <v/>
      </c>
      <c r="S7" s="350" t="n"/>
      <c r="T7" s="350" t="n"/>
      <c r="U7" s="350" t="n"/>
      <c r="V7" s="350" t="n"/>
      <c r="W7" s="350" t="n"/>
      <c r="Y7" s="98" t="n"/>
      <c r="Z7" s="98" t="n"/>
      <c r="AA7" s="98" t="n"/>
      <c r="AB7" s="98" t="n"/>
      <c r="AC7" s="98" t="n"/>
      <c r="AD7" s="98" t="n"/>
      <c r="AE7" s="98" t="n"/>
      <c r="AF7" s="98" t="n"/>
      <c r="AG7" s="98" t="n"/>
      <c r="AH7" s="98" t="n"/>
      <c r="AI7" s="98" t="n"/>
      <c r="AJ7" s="98" t="n"/>
      <c r="AK7" s="98" t="n"/>
      <c r="AL7" s="98" t="n"/>
      <c r="AM7" s="98" t="n"/>
      <c r="AN7" s="98" t="n"/>
      <c r="AO7" s="98" t="n"/>
      <c r="AP7" s="98" t="n"/>
      <c r="AQ7" s="108" t="inlineStr">
        <is>
          <t>WCC</t>
        </is>
      </c>
      <c r="AR7" s="109" t="n">
        <v>40000</v>
      </c>
      <c r="AS7" s="110" t="n">
        <v>275</v>
      </c>
    </row>
    <row r="8">
      <c r="A8" s="32" t="n"/>
      <c r="B8" s="32" t="n"/>
      <c r="C8" s="32" t="n"/>
      <c r="D8" s="32" t="n"/>
      <c r="E8" s="32" t="n"/>
      <c r="F8" s="32" t="n"/>
      <c r="G8" s="32" t="n"/>
      <c r="H8" s="32" t="n"/>
      <c r="I8" s="32" t="n"/>
      <c r="J8" s="32" t="n"/>
      <c r="K8" s="32" t="n"/>
      <c r="L8" s="32" t="n"/>
      <c r="M8" s="32" t="n"/>
      <c r="N8" s="32" t="n"/>
      <c r="O8" s="32" t="n"/>
      <c r="P8" s="437" t="inlineStr">
        <is>
          <t>LC1</t>
        </is>
      </c>
      <c r="Q8" s="107" t="n">
        <v>35000</v>
      </c>
      <c r="R8" s="438">
        <f>Q8/145.0377</f>
        <v/>
      </c>
      <c r="S8" s="350" t="n"/>
      <c r="T8" s="350" t="n"/>
      <c r="U8" s="350" t="n"/>
      <c r="V8" s="350" t="n"/>
      <c r="W8" s="350" t="n"/>
      <c r="Y8" s="98" t="n"/>
      <c r="Z8" s="98" t="n"/>
      <c r="AA8" s="98" t="n"/>
      <c r="AB8" s="98" t="n"/>
      <c r="AC8" s="98" t="n"/>
      <c r="AD8" s="98" t="n"/>
      <c r="AE8" s="98" t="n"/>
      <c r="AF8" s="98" t="n"/>
      <c r="AG8" s="98" t="n"/>
      <c r="AH8" s="98" t="n"/>
      <c r="AI8" s="98" t="n"/>
      <c r="AJ8" s="98" t="n"/>
      <c r="AK8" s="98" t="n"/>
      <c r="AL8" s="98" t="n"/>
      <c r="AM8" s="98" t="n"/>
      <c r="AN8" s="98" t="n"/>
      <c r="AO8" s="98" t="n"/>
      <c r="AP8" s="98" t="n"/>
      <c r="AQ8" s="98" t="n"/>
      <c r="AR8" s="98" t="n"/>
      <c r="AS8" s="98" t="n"/>
    </row>
    <row r="9">
      <c r="A9" s="32" t="n"/>
      <c r="B9" s="32" t="n"/>
      <c r="C9" s="32" t="n"/>
      <c r="D9" s="32" t="n"/>
      <c r="E9" s="32" t="n"/>
      <c r="F9" s="32" t="n"/>
      <c r="G9" s="32" t="n"/>
      <c r="H9" s="32" t="n"/>
      <c r="I9" s="32" t="n"/>
      <c r="J9" s="32" t="n"/>
      <c r="K9" s="32" t="n"/>
      <c r="L9" s="32" t="n"/>
      <c r="M9" s="32" t="n"/>
      <c r="N9" s="32" t="n"/>
      <c r="O9" s="32" t="n"/>
      <c r="P9" s="437" t="inlineStr">
        <is>
          <t>LC2</t>
        </is>
      </c>
      <c r="Q9" s="107" t="n">
        <v>40000</v>
      </c>
      <c r="R9" s="438">
        <f>Q9/145.0377</f>
        <v/>
      </c>
      <c r="S9" s="350" t="n"/>
      <c r="T9" s="350" t="n"/>
      <c r="U9" s="350" t="n"/>
      <c r="V9" s="350" t="n"/>
      <c r="W9" s="350" t="n"/>
      <c r="Y9" s="98" t="n"/>
      <c r="Z9" s="98" t="n"/>
      <c r="AA9" s="98" t="n"/>
      <c r="AB9" s="98" t="n"/>
      <c r="AC9" s="98" t="n"/>
      <c r="AD9" s="98" t="n"/>
      <c r="AE9" s="98" t="n"/>
      <c r="AF9" s="98" t="n"/>
      <c r="AG9" s="98" t="n"/>
      <c r="AH9" s="98" t="n"/>
      <c r="AI9" s="98" t="n"/>
      <c r="AJ9" s="98" t="n"/>
      <c r="AK9" s="98" t="n"/>
      <c r="AL9" s="98" t="n"/>
      <c r="AM9" s="98" t="n"/>
      <c r="AN9" s="98" t="n"/>
      <c r="AO9" s="98" t="n"/>
      <c r="AP9" s="98" t="n"/>
      <c r="AQ9" s="98" t="n"/>
      <c r="AR9" s="98" t="n"/>
      <c r="AS9" s="98" t="n"/>
    </row>
    <row r="10">
      <c r="A10" s="32" t="n"/>
      <c r="B10" s="32" t="n"/>
      <c r="C10" s="32" t="n"/>
      <c r="D10" s="32" t="n"/>
      <c r="E10" s="32" t="n"/>
      <c r="F10" s="32" t="n"/>
      <c r="G10" s="32" t="n"/>
      <c r="H10" s="32" t="n"/>
      <c r="I10" s="32" t="n"/>
      <c r="J10" s="32" t="n"/>
      <c r="K10" s="32" t="n"/>
      <c r="L10" s="32" t="n"/>
      <c r="M10" s="32" t="n"/>
      <c r="N10" s="32" t="n"/>
      <c r="O10" s="32" t="n"/>
      <c r="P10" s="437" t="inlineStr">
        <is>
          <t>LCC</t>
        </is>
      </c>
      <c r="Q10" s="107" t="n">
        <v>40000</v>
      </c>
      <c r="R10" s="438">
        <f>Q10/145.0377</f>
        <v/>
      </c>
      <c r="S10" s="350" t="n"/>
      <c r="T10" s="350" t="n"/>
      <c r="U10" s="350" t="n"/>
      <c r="V10" s="350" t="n"/>
      <c r="W10" s="350" t="n"/>
      <c r="Y10" s="98" t="n"/>
      <c r="Z10" s="98" t="n"/>
      <c r="AA10" s="98" t="n"/>
      <c r="AB10" s="98" t="n"/>
      <c r="AC10" s="98" t="n"/>
      <c r="AD10" s="98" t="n"/>
      <c r="AE10" s="98" t="n"/>
      <c r="AF10" s="98" t="n"/>
      <c r="AG10" s="98" t="n"/>
      <c r="AH10" s="98" t="n"/>
      <c r="AI10" s="98" t="n"/>
      <c r="AJ10" s="98" t="n"/>
      <c r="AK10" s="98" t="n"/>
      <c r="AL10" s="98" t="n"/>
      <c r="AM10" s="98" t="n"/>
      <c r="AN10" s="98" t="n"/>
      <c r="AO10" s="98" t="n"/>
      <c r="AP10" s="98" t="n"/>
      <c r="AQ10" s="98" t="n"/>
      <c r="AR10" s="98" t="n"/>
      <c r="AS10" s="98" t="n"/>
    </row>
    <row r="11">
      <c r="A11" s="32" t="n"/>
      <c r="B11" s="32" t="n"/>
      <c r="C11" s="32" t="n"/>
      <c r="D11" s="32" t="n"/>
      <c r="E11" s="32" t="n"/>
      <c r="F11" s="32" t="n"/>
      <c r="G11" s="32" t="n"/>
      <c r="H11" s="32" t="n"/>
      <c r="I11" s="32" t="n"/>
      <c r="J11" s="32" t="n"/>
      <c r="K11" s="32" t="n"/>
      <c r="L11" s="32" t="n"/>
      <c r="M11" s="32" t="n"/>
      <c r="N11" s="32" t="n"/>
      <c r="O11" s="32" t="n"/>
      <c r="P11" s="437" t="inlineStr">
        <is>
          <t>LC2-1</t>
        </is>
      </c>
      <c r="Q11" s="107" t="n">
        <v>80000</v>
      </c>
      <c r="R11" s="438">
        <f>Q11/145.0377</f>
        <v/>
      </c>
      <c r="S11" s="350" t="n"/>
      <c r="T11" s="350" t="n"/>
      <c r="U11" s="350" t="n"/>
      <c r="V11" s="350" t="n"/>
      <c r="W11" s="350" t="n"/>
      <c r="Y11" s="98" t="n"/>
      <c r="Z11" s="98" t="n"/>
      <c r="AA11" s="98" t="n"/>
      <c r="AB11" s="98" t="n"/>
      <c r="AC11" s="98" t="n"/>
      <c r="AD11" s="98" t="n"/>
      <c r="AE11" s="98" t="n"/>
      <c r="AF11" s="98" t="n"/>
      <c r="AG11" s="98" t="n"/>
      <c r="AH11" s="98" t="n"/>
      <c r="AI11" s="98" t="n"/>
      <c r="AJ11" s="98" t="n"/>
      <c r="AK11" s="98" t="n"/>
      <c r="AL11" s="98" t="n"/>
      <c r="AM11" s="98" t="n"/>
      <c r="AN11" s="98" t="n"/>
      <c r="AO11" s="98" t="n"/>
      <c r="AP11" s="98" t="n"/>
      <c r="AQ11" s="98" t="n"/>
      <c r="AR11" s="98" t="n"/>
      <c r="AS11" s="98" t="n"/>
    </row>
    <row r="12">
      <c r="A12" s="32" t="n"/>
      <c r="B12" s="32" t="n"/>
      <c r="C12" s="32" t="n"/>
      <c r="D12" s="32" t="n"/>
      <c r="E12" s="32" t="n"/>
      <c r="F12" s="32" t="n"/>
      <c r="G12" s="32" t="n"/>
      <c r="H12" s="32" t="n"/>
      <c r="I12" s="32" t="n"/>
      <c r="J12" s="32" t="n"/>
      <c r="K12" s="32" t="n"/>
      <c r="L12" s="32" t="n"/>
      <c r="M12" s="32" t="n"/>
      <c r="N12" s="32" t="n"/>
      <c r="O12" s="32" t="n"/>
      <c r="P12" s="437" t="inlineStr">
        <is>
          <t>LC3</t>
        </is>
      </c>
      <c r="Q12" s="107" t="n">
        <v>40000</v>
      </c>
      <c r="R12" s="438">
        <f>Q12/145.0377</f>
        <v/>
      </c>
      <c r="S12" s="350" t="n"/>
      <c r="T12" s="350" t="n"/>
      <c r="U12" s="350" t="n"/>
      <c r="V12" s="350" t="n"/>
      <c r="W12" s="350" t="n"/>
      <c r="Y12" s="98" t="n"/>
      <c r="Z12" s="98" t="n"/>
      <c r="AA12" s="98" t="n"/>
      <c r="AB12" s="98" t="n"/>
      <c r="AC12" s="98" t="n"/>
      <c r="AD12" s="98" t="n"/>
      <c r="AE12" s="98" t="n"/>
      <c r="AF12" s="98" t="n"/>
      <c r="AG12" s="98" t="n"/>
      <c r="AH12" s="98" t="n"/>
      <c r="AI12" s="98" t="n"/>
      <c r="AJ12" s="98" t="n"/>
      <c r="AK12" s="98" t="n"/>
      <c r="AL12" s="98" t="n"/>
      <c r="AM12" s="98" t="n"/>
      <c r="AN12" s="98" t="n"/>
      <c r="AO12" s="98" t="n"/>
      <c r="AP12" s="98" t="n"/>
      <c r="AQ12" s="98" t="n"/>
      <c r="AR12" s="98" t="n"/>
      <c r="AS12" s="98" t="n"/>
    </row>
    <row r="13">
      <c r="A13" s="32" t="n"/>
      <c r="B13" s="32" t="n"/>
      <c r="C13" s="32" t="n"/>
      <c r="D13" s="32" t="n"/>
      <c r="E13" s="32" t="n"/>
      <c r="F13" s="32" t="n"/>
      <c r="G13" s="32" t="n"/>
      <c r="H13" s="32" t="n"/>
      <c r="I13" s="32" t="n"/>
      <c r="J13" s="32" t="n"/>
      <c r="K13" s="32" t="n"/>
      <c r="L13" s="32" t="n"/>
      <c r="M13" s="32" t="n"/>
      <c r="N13" s="32" t="n"/>
      <c r="O13" s="32" t="n"/>
      <c r="P13" s="437" t="inlineStr">
        <is>
          <t>LC4</t>
        </is>
      </c>
      <c r="Q13" s="107" t="n">
        <v>40000</v>
      </c>
      <c r="R13" s="438">
        <f>Q13/145.0377</f>
        <v/>
      </c>
      <c r="S13" s="350" t="n"/>
      <c r="T13" s="350" t="n"/>
      <c r="U13" s="350" t="n"/>
      <c r="V13" s="350" t="n"/>
      <c r="W13" s="350" t="n"/>
      <c r="Y13" s="98" t="n"/>
      <c r="Z13" s="98" t="n"/>
      <c r="AA13" s="98" t="n"/>
      <c r="AB13" s="98" t="n"/>
      <c r="AC13" s="98" t="n"/>
      <c r="AD13" s="98" t="n"/>
      <c r="AE13" s="98" t="n"/>
      <c r="AF13" s="98" t="n"/>
      <c r="AG13" s="98" t="n"/>
      <c r="AH13" s="98" t="n"/>
      <c r="AI13" s="98" t="n"/>
      <c r="AJ13" s="98" t="n"/>
      <c r="AK13" s="98" t="n"/>
      <c r="AL13" s="98" t="n"/>
      <c r="AM13" s="98" t="n"/>
      <c r="AN13" s="98" t="n"/>
      <c r="AO13" s="98" t="n"/>
      <c r="AP13" s="98" t="n"/>
      <c r="AQ13" s="98" t="n"/>
      <c r="AR13" s="98" t="n"/>
      <c r="AS13" s="98" t="n"/>
    </row>
    <row r="14">
      <c r="A14" s="32" t="n"/>
      <c r="B14" s="32" t="n"/>
      <c r="C14" s="32" t="n"/>
      <c r="D14" s="32" t="n"/>
      <c r="E14" s="32" t="n"/>
      <c r="F14" s="32" t="n"/>
      <c r="G14" s="32" t="n"/>
      <c r="H14" s="32" t="n"/>
      <c r="I14" s="32" t="n"/>
      <c r="J14" s="32" t="n"/>
      <c r="K14" s="32" t="n"/>
      <c r="L14" s="32" t="n"/>
      <c r="M14" s="32" t="n"/>
      <c r="N14" s="32" t="n"/>
      <c r="O14" s="32" t="n"/>
      <c r="P14" s="437" t="inlineStr">
        <is>
          <t>LC9</t>
        </is>
      </c>
      <c r="Q14" s="107" t="n">
        <v>75000</v>
      </c>
      <c r="R14" s="438">
        <f>Q14/145.0377</f>
        <v/>
      </c>
      <c r="S14" s="350" t="n"/>
      <c r="T14" s="350" t="n"/>
      <c r="U14" s="350" t="n"/>
      <c r="V14" s="350" t="n"/>
      <c r="W14" s="350" t="n"/>
      <c r="Y14" s="98" t="n"/>
      <c r="Z14" s="98" t="n"/>
      <c r="AA14" s="98" t="n"/>
      <c r="AB14" s="98" t="n"/>
      <c r="AC14" s="98" t="n"/>
      <c r="AD14" s="98" t="n"/>
      <c r="AE14" s="98" t="n"/>
      <c r="AF14" s="98" t="n"/>
      <c r="AG14" s="98" t="n"/>
      <c r="AH14" s="98" t="n"/>
      <c r="AI14" s="98" t="n"/>
      <c r="AJ14" s="98" t="n"/>
      <c r="AK14" s="98" t="n"/>
      <c r="AL14" s="98" t="n"/>
      <c r="AM14" s="98" t="n"/>
      <c r="AN14" s="98" t="n"/>
      <c r="AO14" s="98" t="n"/>
      <c r="AP14" s="98" t="n"/>
      <c r="AQ14" s="98" t="n"/>
      <c r="AR14" s="98" t="n"/>
      <c r="AS14" s="98" t="n"/>
    </row>
    <row r="15">
      <c r="A15" s="32" t="n"/>
      <c r="B15" s="32" t="n"/>
      <c r="C15" s="32" t="n"/>
      <c r="D15" s="32" t="n"/>
      <c r="E15" s="32" t="n"/>
      <c r="F15" s="32" t="n"/>
      <c r="G15" s="32" t="n"/>
      <c r="H15" s="32" t="n"/>
      <c r="I15" s="32" t="n"/>
      <c r="J15" s="32" t="n"/>
      <c r="K15" s="32" t="n"/>
      <c r="L15" s="32" t="n"/>
      <c r="M15" s="32" t="n"/>
      <c r="N15" s="32" t="n"/>
      <c r="O15" s="32" t="n"/>
      <c r="P15" s="442" t="inlineStr">
        <is>
          <t>CA6NM</t>
        </is>
      </c>
      <c r="Q15" s="443" t="n">
        <v>80000</v>
      </c>
      <c r="R15" s="444">
        <f>Q15/145.0377</f>
        <v/>
      </c>
      <c r="S15" s="350" t="n"/>
      <c r="T15" s="350" t="n"/>
      <c r="U15" s="350" t="n"/>
      <c r="V15" s="350" t="n"/>
      <c r="W15" s="350" t="n"/>
      <c r="Y15" s="98" t="n"/>
      <c r="Z15" s="98" t="n"/>
      <c r="AA15" s="98" t="n"/>
      <c r="AB15" s="98" t="n"/>
      <c r="AC15" s="98" t="n"/>
      <c r="AD15" s="98" t="n"/>
      <c r="AE15" s="98" t="n"/>
      <c r="AF15" s="98" t="n"/>
      <c r="AG15" s="98" t="n"/>
      <c r="AH15" s="98" t="n"/>
      <c r="AI15" s="98" t="n"/>
      <c r="AJ15" s="98" t="n"/>
      <c r="AK15" s="98" t="n"/>
      <c r="AL15" s="98" t="n"/>
      <c r="AM15" s="98" t="n"/>
      <c r="AN15" s="98" t="n"/>
      <c r="AO15" s="98" t="n"/>
      <c r="AP15" s="98" t="n"/>
      <c r="AQ15" s="98" t="n"/>
      <c r="AR15" s="98" t="n"/>
      <c r="AS15" s="98" t="n"/>
    </row>
    <row r="16">
      <c r="A16" s="32" t="n"/>
      <c r="B16" s="32"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Y16" s="98" t="n"/>
      <c r="Z16" s="98" t="n"/>
      <c r="AA16" s="98" t="n"/>
      <c r="AB16" s="98" t="n"/>
      <c r="AC16" s="98" t="n"/>
      <c r="AD16" s="98" t="n"/>
      <c r="AE16" s="98" t="n"/>
      <c r="AF16" s="98" t="n"/>
      <c r="AG16" s="98" t="n"/>
      <c r="AH16" s="98" t="n"/>
      <c r="AI16" s="98" t="n"/>
      <c r="AJ16" s="98" t="n"/>
      <c r="AK16" s="98" t="n"/>
      <c r="AL16" s="98" t="n"/>
      <c r="AM16" s="98" t="n"/>
      <c r="AN16" s="98" t="n"/>
      <c r="AO16" s="98" t="n"/>
      <c r="AP16" s="98" t="n"/>
      <c r="AQ16" s="98" t="n"/>
      <c r="AR16" s="98" t="n"/>
      <c r="AS16" s="98" t="n"/>
    </row>
    <row r="17">
      <c r="A17" s="32" t="n"/>
      <c r="B17" s="32" t="n"/>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Y17" s="98" t="n"/>
      <c r="Z17" s="98" t="n"/>
      <c r="AA17" s="98" t="n"/>
      <c r="AB17" s="98" t="n"/>
      <c r="AC17" s="98" t="n"/>
      <c r="AD17" s="98" t="n"/>
      <c r="AE17" s="98" t="n"/>
      <c r="AF17" s="98" t="n"/>
      <c r="AG17" s="98" t="n"/>
      <c r="AH17" s="98" t="n"/>
      <c r="AI17" s="98" t="n"/>
      <c r="AJ17" s="98" t="n"/>
      <c r="AK17" s="98" t="n"/>
      <c r="AL17" s="98" t="n"/>
      <c r="AM17" s="98" t="n"/>
      <c r="AN17" s="98" t="n"/>
      <c r="AO17" s="98" t="n"/>
      <c r="AP17" s="98" t="n"/>
      <c r="AQ17" s="98" t="n"/>
      <c r="AR17" s="98" t="n"/>
      <c r="AS17" s="98" t="n"/>
    </row>
    <row r="18">
      <c r="A18" s="32" t="n"/>
      <c r="B18" s="32" t="n"/>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Y18" s="98" t="n"/>
      <c r="Z18" s="98" t="n"/>
      <c r="AA18" s="98" t="n"/>
      <c r="AB18" s="98" t="n"/>
      <c r="AC18" s="98" t="n"/>
      <c r="AD18" s="98" t="n"/>
      <c r="AE18" s="98" t="n"/>
      <c r="AF18" s="98" t="n"/>
      <c r="AG18" s="98" t="n"/>
      <c r="AH18" s="98" t="n"/>
      <c r="AI18" s="98" t="n"/>
      <c r="AJ18" s="98" t="n"/>
      <c r="AK18" s="98" t="n"/>
      <c r="AL18" s="98" t="n"/>
      <c r="AM18" s="98" t="n"/>
      <c r="AN18" s="98" t="n"/>
      <c r="AO18" s="98" t="n"/>
      <c r="AP18" s="98" t="n"/>
      <c r="AQ18" s="98" t="n"/>
      <c r="AR18" s="98" t="n"/>
      <c r="AS18" s="98" t="n"/>
    </row>
    <row r="19">
      <c r="A19" s="32" t="n"/>
      <c r="B19" s="32" t="n"/>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Y19" s="98" t="n"/>
      <c r="Z19" s="98" t="n"/>
      <c r="AA19" s="98" t="n"/>
      <c r="AB19" s="98" t="n"/>
      <c r="AC19" s="98" t="n"/>
      <c r="AD19" s="98" t="n"/>
      <c r="AE19" s="98" t="n"/>
      <c r="AF19" s="98" t="n"/>
      <c r="AG19" s="98" t="n"/>
      <c r="AH19" s="98" t="n"/>
      <c r="AI19" s="98" t="n"/>
      <c r="AJ19" s="98" t="n"/>
      <c r="AK19" s="98" t="n"/>
      <c r="AL19" s="98" t="n"/>
      <c r="AM19" s="98" t="n"/>
      <c r="AN19" s="98" t="n"/>
      <c r="AO19" s="98" t="n"/>
      <c r="AP19" s="98" t="n"/>
      <c r="AQ19" s="98" t="n"/>
      <c r="AR19" s="98" t="n"/>
      <c r="AS19" s="98" t="n"/>
    </row>
    <row r="20">
      <c r="A20" s="32" t="n"/>
      <c r="B20" s="32" t="n"/>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Y20" s="98" t="n"/>
      <c r="Z20" s="98" t="n"/>
      <c r="AA20" s="98" t="n"/>
      <c r="AB20" s="98" t="n"/>
      <c r="AC20" s="98" t="n"/>
      <c r="AD20" s="98" t="n"/>
      <c r="AE20" s="98" t="n"/>
      <c r="AF20" s="98" t="n"/>
      <c r="AG20" s="98" t="n"/>
      <c r="AH20" s="98" t="n"/>
      <c r="AI20" s="98" t="n"/>
      <c r="AJ20" s="98" t="n"/>
      <c r="AK20" s="98" t="n"/>
      <c r="AL20" s="98" t="n"/>
      <c r="AM20" s="98" t="n"/>
      <c r="AN20" s="98" t="n"/>
      <c r="AO20" s="98" t="n"/>
      <c r="AP20" s="98" t="n"/>
      <c r="AQ20" s="98" t="n"/>
      <c r="AR20" s="98" t="n"/>
      <c r="AS20" s="98" t="n"/>
    </row>
    <row r="21">
      <c r="A21" s="32" t="n"/>
      <c r="B21" s="32" t="n"/>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Y21" s="98" t="n"/>
      <c r="Z21" s="98" t="n"/>
      <c r="AA21" s="98" t="n"/>
      <c r="AB21" s="98" t="n"/>
      <c r="AC21" s="98" t="n"/>
      <c r="AD21" s="98" t="n"/>
      <c r="AE21" s="98" t="n"/>
      <c r="AF21" s="98" t="n"/>
      <c r="AG21" s="98" t="n"/>
      <c r="AH21" s="98" t="n"/>
      <c r="AI21" s="98" t="n"/>
      <c r="AJ21" s="98" t="n"/>
      <c r="AK21" s="98" t="n"/>
      <c r="AL21" s="98" t="n"/>
      <c r="AM21" s="98" t="n"/>
      <c r="AN21" s="98" t="n"/>
      <c r="AO21" s="98" t="n"/>
      <c r="AP21" s="98" t="n"/>
      <c r="AQ21" s="98" t="n"/>
      <c r="AR21" s="98" t="n"/>
      <c r="AS21" s="98" t="n"/>
    </row>
    <row r="22">
      <c r="A22" s="32" t="n"/>
      <c r="B22" s="32"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Y22" s="98" t="n"/>
      <c r="Z22" s="98" t="n"/>
      <c r="AA22" s="98" t="n"/>
      <c r="AB22" s="98" t="n"/>
      <c r="AC22" s="98" t="n"/>
      <c r="AD22" s="98" t="n"/>
      <c r="AE22" s="98" t="n"/>
      <c r="AF22" s="98" t="n"/>
      <c r="AG22" s="98" t="n"/>
      <c r="AH22" s="98" t="n"/>
      <c r="AI22" s="98" t="n"/>
      <c r="AJ22" s="98" t="n"/>
      <c r="AK22" s="98" t="n"/>
      <c r="AL22" s="98" t="n"/>
      <c r="AM22" s="98" t="n"/>
      <c r="AN22" s="98" t="n"/>
      <c r="AO22" s="98" t="n"/>
      <c r="AP22" s="98" t="n"/>
      <c r="AQ22" s="98" t="n"/>
      <c r="AR22" s="98" t="n"/>
      <c r="AS22" s="98" t="n"/>
    </row>
    <row r="23">
      <c r="A23" s="32" t="n"/>
      <c r="B23" s="32"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Y23" s="98" t="n"/>
      <c r="Z23" s="98" t="n"/>
      <c r="AA23" s="98" t="n"/>
      <c r="AB23" s="98" t="n"/>
      <c r="AC23" s="98" t="n"/>
      <c r="AD23" s="98" t="n"/>
      <c r="AE23" s="98" t="n"/>
      <c r="AF23" s="98" t="n"/>
      <c r="AG23" s="98" t="n"/>
      <c r="AH23" s="98" t="n"/>
      <c r="AI23" s="98" t="n"/>
      <c r="AJ23" s="98" t="n"/>
      <c r="AK23" s="98" t="n"/>
      <c r="AL23" s="98" t="n"/>
      <c r="AM23" s="98" t="n"/>
      <c r="AN23" s="98" t="n"/>
      <c r="AO23" s="98" t="n"/>
      <c r="AP23" s="98" t="n"/>
      <c r="AQ23" s="98" t="n"/>
      <c r="AR23" s="98" t="n"/>
      <c r="AS23" s="98" t="n"/>
    </row>
    <row r="24">
      <c r="A24" s="32" t="n"/>
      <c r="B24" s="32"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Y24" s="98" t="n"/>
      <c r="Z24" s="98" t="n"/>
      <c r="AA24" s="98" t="n"/>
      <c r="AB24" s="98" t="n"/>
      <c r="AC24" s="98" t="n"/>
      <c r="AD24" s="98" t="n"/>
      <c r="AE24" s="98" t="n"/>
      <c r="AF24" s="98" t="n"/>
      <c r="AG24" s="98" t="n"/>
      <c r="AH24" s="98" t="n"/>
      <c r="AI24" s="98" t="n"/>
      <c r="AJ24" s="98" t="n"/>
      <c r="AK24" s="98" t="n"/>
      <c r="AL24" s="98" t="n"/>
      <c r="AM24" s="98" t="n"/>
      <c r="AN24" s="98" t="n"/>
      <c r="AO24" s="98" t="n"/>
      <c r="AP24" s="98" t="n"/>
      <c r="AQ24" s="98" t="n"/>
      <c r="AR24" s="98" t="n"/>
      <c r="AS24" s="98" t="n"/>
    </row>
    <row r="25">
      <c r="A25" s="32" t="n"/>
      <c r="B25" s="32"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Y25" s="98" t="n"/>
      <c r="Z25" s="98" t="n"/>
      <c r="AA25" s="98" t="n"/>
      <c r="AB25" s="98" t="n"/>
      <c r="AC25" s="98" t="n"/>
      <c r="AD25" s="98" t="n"/>
      <c r="AE25" s="98" t="n"/>
      <c r="AF25" s="98" t="n"/>
      <c r="AG25" s="98" t="n"/>
      <c r="AH25" s="98" t="n"/>
      <c r="AI25" s="98" t="n"/>
      <c r="AJ25" s="98" t="n"/>
      <c r="AK25" s="98" t="n"/>
      <c r="AL25" s="98" t="n"/>
      <c r="AM25" s="98" t="n"/>
      <c r="AN25" s="98" t="n"/>
      <c r="AO25" s="98" t="n"/>
      <c r="AP25" s="98" t="n"/>
      <c r="AQ25" s="98" t="n"/>
      <c r="AR25" s="98" t="n"/>
      <c r="AS25" s="98" t="n"/>
    </row>
    <row r="26">
      <c r="A26" s="32" t="n"/>
      <c r="B26" s="32"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Y26" s="98" t="n"/>
      <c r="Z26" s="98" t="n"/>
      <c r="AA26" s="98" t="n"/>
      <c r="AB26" s="98" t="n"/>
      <c r="AC26" s="98" t="n"/>
      <c r="AD26" s="98" t="n"/>
      <c r="AE26" s="98" t="n"/>
      <c r="AF26" s="98" t="n"/>
      <c r="AG26" s="98" t="n"/>
      <c r="AH26" s="98" t="n"/>
      <c r="AI26" s="98" t="n"/>
      <c r="AJ26" s="98" t="n"/>
      <c r="AK26" s="98" t="n"/>
      <c r="AL26" s="98" t="n"/>
      <c r="AM26" s="98" t="n"/>
      <c r="AN26" s="98" t="n"/>
      <c r="AO26" s="98" t="n"/>
      <c r="AP26" s="98" t="n"/>
      <c r="AQ26" s="98" t="n"/>
      <c r="AR26" s="98" t="n"/>
      <c r="AS26" s="98" t="n"/>
    </row>
    <row r="27">
      <c r="A27" s="32" t="n"/>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Y27" s="98" t="n"/>
      <c r="Z27" s="98" t="n"/>
      <c r="AA27" s="98" t="n"/>
      <c r="AB27" s="98" t="n"/>
      <c r="AC27" s="98" t="n"/>
      <c r="AD27" s="98" t="n"/>
      <c r="AE27" s="98" t="n"/>
      <c r="AF27" s="98" t="n"/>
      <c r="AG27" s="98" t="n"/>
      <c r="AH27" s="98" t="n"/>
      <c r="AI27" s="98" t="n"/>
      <c r="AJ27" s="98" t="n"/>
      <c r="AK27" s="98" t="n"/>
      <c r="AL27" s="98" t="n"/>
      <c r="AM27" s="98" t="n"/>
      <c r="AN27" s="98" t="n"/>
      <c r="AO27" s="98" t="n"/>
      <c r="AP27" s="98" t="n"/>
      <c r="AQ27" s="98" t="n"/>
      <c r="AR27" s="98" t="n"/>
      <c r="AS27" s="98" t="n"/>
    </row>
    <row r="28">
      <c r="A28" s="32" t="n"/>
      <c r="B28" s="32"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Y28" s="98" t="n"/>
      <c r="Z28" s="98" t="n"/>
      <c r="AA28" s="98" t="n"/>
      <c r="AB28" s="98" t="n"/>
      <c r="AC28" s="98" t="n"/>
      <c r="AD28" s="98" t="n"/>
      <c r="AE28" s="98" t="n"/>
      <c r="AF28" s="98" t="n"/>
      <c r="AG28" s="98" t="n"/>
      <c r="AH28" s="98" t="n"/>
      <c r="AI28" s="98" t="n"/>
      <c r="AJ28" s="98" t="n"/>
      <c r="AK28" s="98" t="n"/>
      <c r="AL28" s="98" t="n"/>
      <c r="AM28" s="98" t="n"/>
      <c r="AN28" s="98" t="n"/>
      <c r="AO28" s="98" t="n"/>
      <c r="AP28" s="98" t="n"/>
      <c r="AQ28" s="98" t="n"/>
      <c r="AR28" s="98" t="n"/>
      <c r="AS28" s="98" t="n"/>
    </row>
    <row r="29">
      <c r="A29" s="32" t="n"/>
      <c r="B29" s="32"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Y29" s="98" t="n"/>
      <c r="Z29" s="98" t="n"/>
      <c r="AA29" s="98" t="n"/>
      <c r="AB29" s="98" t="n"/>
      <c r="AC29" s="98" t="n"/>
      <c r="AD29" s="98" t="n"/>
      <c r="AE29" s="98" t="n"/>
      <c r="AF29" s="98" t="n"/>
      <c r="AG29" s="98" t="n"/>
      <c r="AH29" s="98" t="n"/>
      <c r="AI29" s="98" t="n"/>
      <c r="AJ29" s="98" t="n"/>
      <c r="AK29" s="98" t="n"/>
      <c r="AL29" s="98" t="n"/>
      <c r="AM29" s="98" t="n"/>
      <c r="AN29" s="98" t="n"/>
      <c r="AO29" s="98" t="n"/>
      <c r="AP29" s="98" t="n"/>
      <c r="AQ29" s="98" t="n"/>
      <c r="AR29" s="98" t="n"/>
      <c r="AS29" s="98" t="n"/>
    </row>
    <row r="30">
      <c r="A30" s="32" t="n"/>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Y30" s="98" t="n"/>
      <c r="Z30" s="98" t="n"/>
      <c r="AA30" s="98" t="n"/>
      <c r="AB30" s="98" t="n"/>
      <c r="AC30" s="98" t="n"/>
      <c r="AD30" s="98" t="n"/>
      <c r="AE30" s="98" t="n"/>
      <c r="AF30" s="98" t="n"/>
      <c r="AG30" s="98" t="n"/>
      <c r="AH30" s="98" t="n"/>
      <c r="AI30" s="98" t="n"/>
      <c r="AJ30" s="98" t="n"/>
      <c r="AK30" s="98" t="n"/>
      <c r="AL30" s="98" t="n"/>
      <c r="AM30" s="98" t="n"/>
      <c r="AN30" s="98" t="n"/>
      <c r="AO30" s="98" t="n"/>
      <c r="AP30" s="98" t="n"/>
      <c r="AQ30" s="98" t="n"/>
      <c r="AR30" s="98" t="n"/>
      <c r="AS30" s="98" t="n"/>
    </row>
    <row r="31">
      <c r="A31" s="32" t="n"/>
      <c r="B31" s="32"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Y31" s="98" t="n"/>
      <c r="Z31" s="98" t="n"/>
      <c r="AA31" s="98" t="n"/>
      <c r="AB31" s="98" t="n"/>
      <c r="AC31" s="98" t="n"/>
      <c r="AD31" s="98" t="n"/>
      <c r="AE31" s="98" t="n"/>
      <c r="AF31" s="98" t="n"/>
      <c r="AG31" s="98" t="n"/>
      <c r="AH31" s="98" t="n"/>
      <c r="AI31" s="98" t="n"/>
      <c r="AJ31" s="98" t="n"/>
      <c r="AK31" s="98" t="n"/>
      <c r="AL31" s="98" t="n"/>
      <c r="AM31" s="98" t="n"/>
      <c r="AN31" s="98" t="n"/>
      <c r="AO31" s="98" t="n"/>
      <c r="AP31" s="98" t="n"/>
      <c r="AQ31" s="98" t="n"/>
      <c r="AR31" s="98" t="n"/>
      <c r="AS31" s="98" t="n"/>
    </row>
    <row r="32">
      <c r="A32" s="32" t="n"/>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Y32" s="98" t="n"/>
      <c r="Z32" s="98" t="n"/>
      <c r="AA32" s="98" t="n"/>
      <c r="AB32" s="98" t="n"/>
      <c r="AC32" s="98" t="n"/>
      <c r="AD32" s="98" t="n"/>
      <c r="AE32" s="98" t="n"/>
      <c r="AF32" s="98" t="n"/>
      <c r="AG32" s="98" t="n"/>
      <c r="AH32" s="98" t="n"/>
      <c r="AI32" s="98" t="n"/>
      <c r="AJ32" s="98" t="n"/>
      <c r="AK32" s="98" t="n"/>
      <c r="AL32" s="98" t="n"/>
      <c r="AM32" s="98" t="n"/>
      <c r="AN32" s="98" t="n"/>
      <c r="AO32" s="98" t="n"/>
      <c r="AP32" s="98" t="n"/>
      <c r="AQ32" s="98" t="n"/>
      <c r="AR32" s="98" t="n"/>
      <c r="AS32" s="98" t="n"/>
    </row>
    <row r="33">
      <c r="A33" s="32" t="n"/>
      <c r="B33" s="3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Y33" s="98" t="n"/>
      <c r="Z33" s="98" t="n"/>
      <c r="AA33" s="98" t="n"/>
      <c r="AB33" s="98" t="n"/>
      <c r="AC33" s="98" t="n"/>
      <c r="AD33" s="98" t="n"/>
      <c r="AE33" s="98" t="n"/>
      <c r="AF33" s="98" t="n"/>
      <c r="AG33" s="98" t="n"/>
      <c r="AH33" s="98" t="n"/>
      <c r="AI33" s="98" t="n"/>
      <c r="AJ33" s="98" t="n"/>
      <c r="AK33" s="98" t="n"/>
      <c r="AL33" s="98" t="n"/>
      <c r="AM33" s="98" t="n"/>
      <c r="AN33" s="98" t="n"/>
      <c r="AO33" s="98" t="n"/>
      <c r="AP33" s="98" t="n"/>
      <c r="AQ33" s="98" t="n"/>
      <c r="AR33" s="98" t="n"/>
      <c r="AS33" s="98" t="n"/>
    </row>
    <row r="34">
      <c r="A34" s="32" t="n"/>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Y34" s="98" t="n"/>
      <c r="Z34" s="98" t="n"/>
      <c r="AA34" s="98" t="n"/>
      <c r="AB34" s="98" t="n"/>
      <c r="AC34" s="98" t="n"/>
      <c r="AD34" s="98" t="n"/>
      <c r="AE34" s="98" t="n"/>
      <c r="AF34" s="98" t="n"/>
      <c r="AG34" s="98" t="n"/>
      <c r="AH34" s="98" t="n"/>
      <c r="AI34" s="98" t="n"/>
      <c r="AJ34" s="98" t="n"/>
      <c r="AK34" s="98" t="n"/>
      <c r="AL34" s="98" t="n"/>
      <c r="AM34" s="98" t="n"/>
      <c r="AN34" s="98" t="n"/>
      <c r="AO34" s="98" t="n"/>
      <c r="AP34" s="98" t="n"/>
      <c r="AQ34" s="98" t="n"/>
      <c r="AR34" s="98" t="n"/>
      <c r="AS34" s="98" t="n"/>
    </row>
    <row r="35">
      <c r="A35" s="32" t="n"/>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Y35" s="98" t="n"/>
      <c r="Z35" s="98" t="n"/>
      <c r="AA35" s="98" t="n"/>
      <c r="AB35" s="98" t="n"/>
      <c r="AC35" s="98" t="n"/>
      <c r="AD35" s="98" t="n"/>
      <c r="AE35" s="98" t="n"/>
      <c r="AF35" s="98" t="n"/>
      <c r="AG35" s="98" t="n"/>
      <c r="AH35" s="98" t="n"/>
      <c r="AI35" s="98" t="n"/>
      <c r="AJ35" s="98" t="n"/>
      <c r="AK35" s="98" t="n"/>
      <c r="AL35" s="98" t="n"/>
      <c r="AM35" s="98" t="n"/>
      <c r="AN35" s="98" t="n"/>
      <c r="AO35" s="98" t="n"/>
      <c r="AP35" s="98" t="n"/>
      <c r="AQ35" s="98" t="n"/>
      <c r="AR35" s="98" t="n"/>
      <c r="AS35" s="98" t="n"/>
    </row>
    <row r="36">
      <c r="A36" s="32" t="n"/>
      <c r="B36" s="32"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Y36" s="98" t="n"/>
      <c r="Z36" s="98" t="n"/>
      <c r="AA36" s="98" t="n"/>
      <c r="AB36" s="98" t="n"/>
      <c r="AC36" s="98" t="n"/>
      <c r="AD36" s="98" t="n"/>
      <c r="AE36" s="98" t="n"/>
      <c r="AF36" s="98" t="n"/>
      <c r="AG36" s="98" t="n"/>
      <c r="AH36" s="98" t="n"/>
      <c r="AI36" s="98" t="n"/>
      <c r="AJ36" s="98" t="n"/>
      <c r="AK36" s="98" t="n"/>
      <c r="AL36" s="98" t="n"/>
      <c r="AM36" s="98" t="n"/>
      <c r="AN36" s="98" t="n"/>
      <c r="AO36" s="98" t="n"/>
      <c r="AP36" s="98" t="n"/>
      <c r="AQ36" s="98" t="n"/>
      <c r="AR36" s="98" t="n"/>
      <c r="AS36" s="98" t="n"/>
    </row>
    <row r="37">
      <c r="A37" s="32" t="n"/>
      <c r="B37" s="32" t="n"/>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Y37" s="98" t="n"/>
      <c r="Z37" s="98" t="n"/>
      <c r="AA37" s="98" t="n"/>
      <c r="AB37" s="98" t="n"/>
      <c r="AC37" s="98" t="n"/>
      <c r="AD37" s="98" t="n"/>
      <c r="AE37" s="98" t="n"/>
      <c r="AF37" s="98" t="n"/>
      <c r="AG37" s="98" t="n"/>
      <c r="AH37" s="98" t="n"/>
      <c r="AI37" s="98" t="n"/>
      <c r="AJ37" s="98" t="n"/>
      <c r="AK37" s="98" t="n"/>
      <c r="AL37" s="98" t="n"/>
      <c r="AM37" s="98" t="n"/>
      <c r="AN37" s="98" t="n"/>
      <c r="AO37" s="98" t="n"/>
      <c r="AP37" s="98" t="n"/>
      <c r="AQ37" s="98" t="n"/>
      <c r="AR37" s="98" t="n"/>
      <c r="AS37" s="98" t="n"/>
    </row>
    <row r="38">
      <c r="A38" s="32" t="n"/>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Y38" s="98" t="n"/>
      <c r="Z38" s="98" t="n"/>
      <c r="AA38" s="98" t="n"/>
      <c r="AB38" s="98" t="n"/>
      <c r="AC38" s="98" t="n"/>
      <c r="AD38" s="98" t="n"/>
      <c r="AE38" s="98" t="n"/>
      <c r="AF38" s="98" t="n"/>
      <c r="AG38" s="98" t="n"/>
      <c r="AH38" s="98" t="n"/>
      <c r="AI38" s="98" t="n"/>
      <c r="AJ38" s="98" t="n"/>
      <c r="AK38" s="98" t="n"/>
      <c r="AL38" s="98" t="n"/>
      <c r="AM38" s="98" t="n"/>
      <c r="AN38" s="98" t="n"/>
      <c r="AO38" s="98" t="n"/>
      <c r="AP38" s="98" t="n"/>
      <c r="AQ38" s="98" t="n"/>
      <c r="AR38" s="98" t="n"/>
      <c r="AS38" s="98" t="n"/>
    </row>
    <row r="39">
      <c r="A39" s="32" t="n"/>
      <c r="B39" s="32"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Y39" s="98" t="n"/>
      <c r="Z39" s="98" t="n"/>
      <c r="AA39" s="98" t="n"/>
      <c r="AB39" s="98" t="n"/>
      <c r="AC39" s="98" t="n"/>
      <c r="AD39" s="98" t="n"/>
      <c r="AE39" s="98" t="n"/>
      <c r="AF39" s="98" t="n"/>
      <c r="AG39" s="98" t="n"/>
      <c r="AH39" s="98" t="n"/>
      <c r="AI39" s="98" t="n"/>
      <c r="AJ39" s="98" t="n"/>
      <c r="AK39" s="98" t="n"/>
      <c r="AL39" s="98" t="n"/>
      <c r="AM39" s="98" t="n"/>
      <c r="AN39" s="98" t="n"/>
      <c r="AO39" s="98" t="n"/>
      <c r="AP39" s="98" t="n"/>
      <c r="AQ39" s="98" t="n"/>
      <c r="AR39" s="98" t="n"/>
      <c r="AS39" s="98" t="n"/>
    </row>
    <row r="40">
      <c r="A40" s="32" t="n"/>
      <c r="B40" s="32"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Y40" s="98" t="n"/>
      <c r="Z40" s="98" t="n"/>
      <c r="AA40" s="98" t="n"/>
      <c r="AB40" s="98" t="n"/>
      <c r="AC40" s="98" t="n"/>
      <c r="AD40" s="98" t="n"/>
      <c r="AE40" s="98" t="n"/>
      <c r="AF40" s="98" t="n"/>
      <c r="AG40" s="98" t="n"/>
      <c r="AH40" s="98" t="n"/>
      <c r="AI40" s="98" t="n"/>
      <c r="AJ40" s="98" t="n"/>
      <c r="AK40" s="98" t="n"/>
      <c r="AL40" s="98" t="n"/>
      <c r="AM40" s="98" t="n"/>
      <c r="AN40" s="98" t="n"/>
      <c r="AO40" s="98" t="n"/>
      <c r="AP40" s="98" t="n"/>
      <c r="AQ40" s="98" t="n"/>
      <c r="AR40" s="98" t="n"/>
      <c r="AS40" s="98" t="n"/>
    </row>
    <row r="41">
      <c r="A41" s="32" t="n"/>
      <c r="B41" s="32"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Y41" s="98" t="n"/>
      <c r="Z41" s="98" t="n"/>
      <c r="AA41" s="98" t="n"/>
      <c r="AB41" s="98" t="n"/>
      <c r="AC41" s="98" t="n"/>
      <c r="AD41" s="98" t="n"/>
      <c r="AE41" s="98" t="n"/>
      <c r="AF41" s="98" t="n"/>
      <c r="AG41" s="98" t="n"/>
      <c r="AH41" s="98" t="n"/>
      <c r="AI41" s="98" t="n"/>
      <c r="AJ41" s="98" t="n"/>
      <c r="AK41" s="98" t="n"/>
      <c r="AL41" s="98" t="n"/>
      <c r="AM41" s="98" t="n"/>
      <c r="AN41" s="98" t="n"/>
      <c r="AO41" s="98" t="n"/>
      <c r="AP41" s="98" t="n"/>
      <c r="AQ41" s="98" t="n"/>
      <c r="AR41" s="98" t="n"/>
      <c r="AS41" s="98" t="n"/>
    </row>
    <row r="42">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Y42" s="98" t="n"/>
      <c r="Z42" s="98" t="n"/>
      <c r="AA42" s="98" t="n"/>
      <c r="AB42" s="98" t="n"/>
      <c r="AC42" s="98" t="n"/>
      <c r="AD42" s="98" t="n"/>
      <c r="AE42" s="98" t="n"/>
      <c r="AF42" s="98" t="n"/>
      <c r="AG42" s="98" t="n"/>
      <c r="AH42" s="98" t="n"/>
      <c r="AI42" s="98" t="n"/>
      <c r="AJ42" s="98" t="n"/>
      <c r="AK42" s="98" t="n"/>
      <c r="AL42" s="98" t="n"/>
      <c r="AM42" s="98" t="n"/>
      <c r="AN42" s="98" t="n"/>
      <c r="AO42" s="98" t="n"/>
      <c r="AP42" s="98" t="n"/>
      <c r="AQ42" s="98" t="n"/>
      <c r="AR42" s="98" t="n"/>
      <c r="AS42" s="98" t="n"/>
    </row>
    <row r="43">
      <c r="A43" s="32" t="n"/>
      <c r="B43" s="32"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Y43" s="98" t="n"/>
      <c r="Z43" s="98" t="n"/>
      <c r="AA43" s="98" t="n"/>
      <c r="AB43" s="98" t="n"/>
      <c r="AC43" s="98" t="n"/>
      <c r="AD43" s="98" t="n"/>
      <c r="AE43" s="98" t="n"/>
      <c r="AF43" s="98" t="n"/>
      <c r="AG43" s="98" t="n"/>
      <c r="AH43" s="98" t="n"/>
      <c r="AI43" s="98" t="n"/>
      <c r="AJ43" s="98" t="n"/>
      <c r="AK43" s="98" t="n"/>
      <c r="AL43" s="98" t="n"/>
      <c r="AM43" s="98" t="n"/>
      <c r="AN43" s="98" t="n"/>
      <c r="AO43" s="98" t="n"/>
      <c r="AP43" s="98" t="n"/>
      <c r="AQ43" s="98" t="n"/>
      <c r="AR43" s="98" t="n"/>
      <c r="AS43" s="98" t="n"/>
    </row>
    <row r="44">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Y44" s="98" t="n"/>
      <c r="Z44" s="98" t="n"/>
      <c r="AA44" s="98" t="n"/>
      <c r="AB44" s="98" t="n"/>
      <c r="AC44" s="98" t="n"/>
      <c r="AD44" s="98" t="n"/>
      <c r="AE44" s="98" t="n"/>
      <c r="AF44" s="98" t="n"/>
      <c r="AG44" s="98" t="n"/>
      <c r="AH44" s="98" t="n"/>
      <c r="AI44" s="98" t="n"/>
      <c r="AJ44" s="98" t="n"/>
      <c r="AK44" s="98" t="n"/>
      <c r="AL44" s="98" t="n"/>
      <c r="AM44" s="98" t="n"/>
      <c r="AN44" s="98" t="n"/>
      <c r="AO44" s="98" t="n"/>
      <c r="AP44" s="98" t="n"/>
      <c r="AQ44" s="98" t="n"/>
      <c r="AR44" s="98" t="n"/>
      <c r="AS44" s="98" t="n"/>
    </row>
    <row r="45">
      <c r="A45" s="32" t="n"/>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Y45" s="98" t="n"/>
      <c r="Z45" s="98" t="n"/>
      <c r="AA45" s="98" t="n"/>
      <c r="AB45" s="98" t="n"/>
      <c r="AC45" s="98" t="n"/>
      <c r="AD45" s="98" t="n"/>
      <c r="AE45" s="98" t="n"/>
      <c r="AF45" s="98" t="n"/>
      <c r="AG45" s="98" t="n"/>
      <c r="AH45" s="98" t="n"/>
      <c r="AI45" s="98" t="n"/>
      <c r="AJ45" s="98" t="n"/>
      <c r="AK45" s="98" t="n"/>
      <c r="AL45" s="98" t="n"/>
      <c r="AM45" s="98" t="n"/>
      <c r="AN45" s="98" t="n"/>
      <c r="AO45" s="98" t="n"/>
      <c r="AP45" s="98" t="n"/>
      <c r="AQ45" s="98" t="n"/>
      <c r="AR45" s="98" t="n"/>
      <c r="AS45" s="98" t="n"/>
    </row>
    <row r="46">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Y46" s="98" t="n"/>
      <c r="Z46" s="98" t="n"/>
      <c r="AA46" s="98" t="n"/>
      <c r="AB46" s="98" t="n"/>
      <c r="AC46" s="98" t="n"/>
      <c r="AD46" s="98" t="n"/>
      <c r="AE46" s="98" t="n"/>
      <c r="AF46" s="98" t="n"/>
      <c r="AG46" s="98" t="n"/>
      <c r="AH46" s="98" t="n"/>
      <c r="AI46" s="98" t="n"/>
      <c r="AJ46" s="98" t="n"/>
      <c r="AK46" s="98" t="n"/>
      <c r="AL46" s="98" t="n"/>
      <c r="AM46" s="98" t="n"/>
      <c r="AN46" s="98" t="n"/>
      <c r="AO46" s="98" t="n"/>
      <c r="AP46" s="98" t="n"/>
      <c r="AQ46" s="98" t="n"/>
      <c r="AR46" s="98" t="n"/>
      <c r="AS46" s="98" t="n"/>
    </row>
    <row r="47">
      <c r="A47" s="32" t="n"/>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Y47" s="98" t="n"/>
      <c r="Z47" s="98" t="n"/>
      <c r="AA47" s="98" t="n"/>
      <c r="AB47" s="98" t="n"/>
      <c r="AC47" s="98" t="n"/>
      <c r="AD47" s="98" t="n"/>
      <c r="AE47" s="98" t="n"/>
      <c r="AF47" s="98" t="n"/>
      <c r="AG47" s="98" t="n"/>
      <c r="AH47" s="98" t="n"/>
      <c r="AI47" s="98" t="n"/>
      <c r="AJ47" s="98" t="n"/>
      <c r="AK47" s="98" t="n"/>
      <c r="AL47" s="98" t="n"/>
      <c r="AM47" s="98" t="n"/>
      <c r="AN47" s="98" t="n"/>
      <c r="AO47" s="98" t="n"/>
      <c r="AP47" s="98" t="n"/>
      <c r="AQ47" s="98" t="n"/>
      <c r="AR47" s="98" t="n"/>
      <c r="AS47" s="98" t="n"/>
    </row>
    <row r="48">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Y48" s="98" t="n"/>
      <c r="Z48" s="98" t="n"/>
      <c r="AA48" s="98" t="n"/>
      <c r="AB48" s="98" t="n"/>
      <c r="AC48" s="98" t="n"/>
      <c r="AD48" s="98" t="n"/>
      <c r="AE48" s="98" t="n"/>
      <c r="AF48" s="98" t="n"/>
      <c r="AG48" s="98" t="n"/>
      <c r="AH48" s="98" t="n"/>
      <c r="AI48" s="98" t="n"/>
      <c r="AJ48" s="98" t="n"/>
      <c r="AK48" s="98" t="n"/>
      <c r="AL48" s="98" t="n"/>
      <c r="AM48" s="98" t="n"/>
      <c r="AN48" s="98" t="n"/>
      <c r="AO48" s="98" t="n"/>
      <c r="AP48" s="98" t="n"/>
      <c r="AQ48" s="98" t="n"/>
      <c r="AR48" s="98" t="n"/>
      <c r="AS48" s="98" t="n"/>
    </row>
    <row r="49">
      <c r="A49" s="32" t="n"/>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Y49" s="98" t="n"/>
      <c r="Z49" s="98" t="n"/>
      <c r="AA49" s="98" t="n"/>
      <c r="AB49" s="98" t="n"/>
      <c r="AC49" s="98" t="n"/>
      <c r="AD49" s="98" t="n"/>
      <c r="AE49" s="98" t="n"/>
      <c r="AF49" s="98" t="n"/>
      <c r="AG49" s="98" t="n"/>
      <c r="AH49" s="98" t="n"/>
      <c r="AI49" s="98" t="n"/>
      <c r="AJ49" s="98" t="n"/>
      <c r="AK49" s="98" t="n"/>
      <c r="AL49" s="98" t="n"/>
      <c r="AM49" s="98" t="n"/>
      <c r="AN49" s="98" t="n"/>
      <c r="AO49" s="98" t="n"/>
      <c r="AP49" s="98" t="n"/>
      <c r="AQ49" s="98" t="n"/>
      <c r="AR49" s="98" t="n"/>
      <c r="AS49" s="98" t="n"/>
    </row>
    <row r="50">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Y50" s="98" t="n"/>
      <c r="Z50" s="98" t="n"/>
      <c r="AA50" s="98" t="n"/>
      <c r="AB50" s="98" t="n"/>
      <c r="AC50" s="98" t="n"/>
      <c r="AD50" s="98" t="n"/>
      <c r="AE50" s="98" t="n"/>
      <c r="AF50" s="98" t="n"/>
      <c r="AG50" s="98" t="n"/>
      <c r="AH50" s="98" t="n"/>
      <c r="AI50" s="98" t="n"/>
      <c r="AJ50" s="98" t="n"/>
      <c r="AK50" s="98" t="n"/>
      <c r="AL50" s="98" t="n"/>
      <c r="AM50" s="98" t="n"/>
      <c r="AN50" s="98" t="n"/>
      <c r="AO50" s="98" t="n"/>
      <c r="AP50" s="98" t="n"/>
      <c r="AQ50" s="98" t="n"/>
      <c r="AR50" s="98" t="n"/>
      <c r="AS50" s="98" t="n"/>
    </row>
    <row r="51">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Y51" s="98" t="n"/>
      <c r="Z51" s="98" t="n"/>
      <c r="AA51" s="98" t="n"/>
      <c r="AB51" s="98" t="n"/>
      <c r="AC51" s="98" t="n"/>
      <c r="AD51" s="98" t="n"/>
      <c r="AE51" s="98" t="n"/>
      <c r="AF51" s="98" t="n"/>
      <c r="AG51" s="98" t="n"/>
      <c r="AH51" s="98" t="n"/>
      <c r="AI51" s="98" t="n"/>
      <c r="AJ51" s="98" t="n"/>
      <c r="AK51" s="98" t="n"/>
      <c r="AL51" s="98" t="n"/>
      <c r="AM51" s="98" t="n"/>
      <c r="AN51" s="98" t="n"/>
      <c r="AO51" s="98" t="n"/>
      <c r="AP51" s="98" t="n"/>
      <c r="AQ51" s="98" t="n"/>
      <c r="AR51" s="98" t="n"/>
      <c r="AS51" s="98" t="n"/>
    </row>
    <row r="52">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Y52" s="98" t="n"/>
      <c r="Z52" s="98" t="n"/>
      <c r="AA52" s="98" t="n"/>
      <c r="AB52" s="98" t="n"/>
      <c r="AC52" s="98" t="n"/>
      <c r="AD52" s="98" t="n"/>
      <c r="AE52" s="98" t="n"/>
      <c r="AF52" s="98" t="n"/>
      <c r="AG52" s="98" t="n"/>
      <c r="AH52" s="98" t="n"/>
      <c r="AI52" s="98" t="n"/>
      <c r="AJ52" s="98" t="n"/>
      <c r="AK52" s="98" t="n"/>
      <c r="AL52" s="98" t="n"/>
      <c r="AM52" s="98" t="n"/>
      <c r="AN52" s="98" t="n"/>
      <c r="AO52" s="98" t="n"/>
      <c r="AP52" s="98" t="n"/>
      <c r="AQ52" s="98" t="n"/>
      <c r="AR52" s="98" t="n"/>
      <c r="AS52" s="98" t="n"/>
    </row>
    <row r="53">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Y53" s="98" t="n"/>
      <c r="Z53" s="98" t="n"/>
      <c r="AA53" s="98" t="n"/>
      <c r="AB53" s="98" t="n"/>
      <c r="AC53" s="98" t="n"/>
      <c r="AD53" s="98" t="n"/>
      <c r="AE53" s="98" t="n"/>
      <c r="AF53" s="98" t="n"/>
      <c r="AG53" s="98" t="n"/>
      <c r="AH53" s="98" t="n"/>
      <c r="AI53" s="98" t="n"/>
      <c r="AJ53" s="98" t="n"/>
      <c r="AK53" s="98" t="n"/>
      <c r="AL53" s="98" t="n"/>
      <c r="AM53" s="98" t="n"/>
      <c r="AN53" s="98" t="n"/>
      <c r="AO53" s="98" t="n"/>
      <c r="AP53" s="98" t="n"/>
      <c r="AQ53" s="98" t="n"/>
      <c r="AR53" s="98" t="n"/>
      <c r="AS53" s="98" t="n"/>
    </row>
    <row r="54">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Y54" s="98" t="n"/>
      <c r="Z54" s="98" t="n"/>
      <c r="AA54" s="98" t="n"/>
      <c r="AB54" s="98" t="n"/>
      <c r="AC54" s="98" t="n"/>
      <c r="AD54" s="98" t="n"/>
      <c r="AE54" s="98" t="n"/>
      <c r="AF54" s="98" t="n"/>
      <c r="AG54" s="98" t="n"/>
      <c r="AH54" s="98" t="n"/>
      <c r="AI54" s="98" t="n"/>
      <c r="AJ54" s="98" t="n"/>
      <c r="AK54" s="98" t="n"/>
      <c r="AL54" s="98" t="n"/>
      <c r="AM54" s="98" t="n"/>
      <c r="AN54" s="98" t="n"/>
      <c r="AO54" s="98" t="n"/>
      <c r="AP54" s="98" t="n"/>
      <c r="AQ54" s="98" t="n"/>
      <c r="AR54" s="98" t="n"/>
      <c r="AS54" s="98" t="n"/>
    </row>
    <row r="55">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Y55" s="98" t="n"/>
      <c r="Z55" s="98" t="n"/>
      <c r="AA55" s="98" t="n"/>
      <c r="AB55" s="98" t="n"/>
      <c r="AC55" s="98" t="n"/>
      <c r="AD55" s="98" t="n"/>
      <c r="AE55" s="98" t="n"/>
      <c r="AF55" s="98" t="n"/>
      <c r="AG55" s="98" t="n"/>
      <c r="AH55" s="98" t="n"/>
      <c r="AI55" s="98" t="n"/>
      <c r="AJ55" s="98" t="n"/>
      <c r="AK55" s="98" t="n"/>
      <c r="AL55" s="98" t="n"/>
      <c r="AM55" s="98" t="n"/>
      <c r="AN55" s="98" t="n"/>
      <c r="AO55" s="98" t="n"/>
      <c r="AP55" s="98" t="n"/>
      <c r="AQ55" s="98" t="n"/>
      <c r="AR55" s="98" t="n"/>
      <c r="AS55" s="98" t="n"/>
    </row>
    <row r="57">
      <c r="A57" s="111" t="n"/>
      <c r="B57" s="111" t="n"/>
      <c r="C57" s="111" t="n"/>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c r="AB57" s="111" t="n"/>
    </row>
    <row r="58">
      <c r="A58" s="111" t="n"/>
      <c r="B58" s="111" t="n"/>
      <c r="C58" s="111" t="n"/>
      <c r="D58" s="111" t="n"/>
      <c r="E58" s="111" t="n"/>
      <c r="F58" s="111" t="n"/>
      <c r="G58" s="111" t="n"/>
      <c r="H58" s="111" t="n"/>
      <c r="I58" s="111" t="n"/>
      <c r="J58" s="111" t="n"/>
      <c r="K58" s="111" t="n"/>
      <c r="L58" s="111" t="n"/>
      <c r="M58" s="111" t="n"/>
      <c r="N58" s="111" t="n"/>
      <c r="O58" s="111" t="n"/>
      <c r="P58" s="111" t="n"/>
      <c r="Q58" s="111" t="n"/>
      <c r="R58" s="111" t="n"/>
      <c r="S58" s="111" t="n"/>
      <c r="T58" s="111" t="n"/>
      <c r="U58" s="111" t="n"/>
      <c r="V58" s="111" t="n"/>
      <c r="W58" s="111" t="n"/>
      <c r="X58" s="111" t="n"/>
      <c r="Y58" s="111" t="n"/>
      <c r="Z58" s="111" t="n"/>
      <c r="AA58" s="111" t="n"/>
      <c r="AB58" s="111" t="n"/>
    </row>
    <row r="59">
      <c r="A59" s="111" t="n"/>
      <c r="B59" s="111" t="n"/>
      <c r="C59" s="111" t="n"/>
      <c r="D59" s="111" t="n"/>
      <c r="E59" s="111" t="n"/>
      <c r="F59" s="111" t="n"/>
      <c r="G59" s="111" t="n"/>
      <c r="H59" s="111" t="n"/>
      <c r="I59" s="111" t="n"/>
      <c r="J59" s="111" t="n"/>
      <c r="K59" s="111" t="n"/>
      <c r="L59" s="111" t="n"/>
      <c r="M59" s="111" t="n"/>
      <c r="N59" s="111" t="n"/>
      <c r="O59" s="111" t="n"/>
      <c r="P59" s="111" t="n"/>
      <c r="Q59" s="111" t="n"/>
      <c r="R59" s="111" t="n"/>
      <c r="S59" s="111" t="n"/>
      <c r="T59" s="111" t="n"/>
      <c r="U59" s="111" t="n"/>
      <c r="V59" s="111" t="n"/>
      <c r="W59" s="111" t="n"/>
      <c r="X59" s="111" t="n"/>
      <c r="Y59" s="111" t="n"/>
      <c r="Z59" s="111" t="n"/>
      <c r="AA59" s="111" t="n"/>
      <c r="AB59" s="111" t="n"/>
    </row>
    <row r="60">
      <c r="A60" s="111" t="n"/>
      <c r="B60" s="111" t="n"/>
      <c r="C60" s="111" t="n"/>
      <c r="D60" s="111" t="n"/>
      <c r="E60" s="111" t="n"/>
      <c r="F60" s="111" t="n"/>
      <c r="G60" s="111" t="n"/>
      <c r="H60" s="111" t="n"/>
      <c r="I60" s="111" t="n"/>
      <c r="J60" s="111" t="n"/>
      <c r="K60" s="111" t="n"/>
      <c r="L60" s="111" t="n"/>
      <c r="M60" s="111" t="n"/>
      <c r="N60" s="111" t="n"/>
      <c r="O60" s="111" t="n"/>
      <c r="P60" s="111" t="n"/>
      <c r="Q60" s="111" t="n"/>
      <c r="R60" s="111" t="n"/>
      <c r="S60" s="111" t="n"/>
      <c r="T60" s="111" t="n"/>
      <c r="U60" s="111" t="n"/>
      <c r="V60" s="111" t="n"/>
      <c r="W60" s="111" t="n"/>
      <c r="X60" s="111" t="n"/>
      <c r="Y60" s="111" t="n"/>
      <c r="Z60" s="111" t="n"/>
      <c r="AA60" s="111" t="n"/>
      <c r="AB60" s="111" t="n"/>
    </row>
    <row r="61">
      <c r="A61" s="111" t="n"/>
      <c r="B61" s="111" t="n"/>
      <c r="C61" s="111" t="n"/>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c r="AB61" s="111" t="n"/>
    </row>
    <row r="62">
      <c r="A62" s="111" t="n"/>
      <c r="B62" s="111" t="n"/>
      <c r="C62" s="111" t="n"/>
      <c r="D62" s="111" t="n"/>
      <c r="E62" s="111" t="n"/>
      <c r="F62" s="111" t="n"/>
      <c r="G62" s="111" t="n"/>
      <c r="H62" s="111" t="n"/>
      <c r="I62" s="111" t="n"/>
      <c r="J62" s="111" t="n"/>
      <c r="K62" s="111" t="n"/>
      <c r="L62" s="111" t="n"/>
      <c r="M62" s="111" t="n"/>
      <c r="N62" s="111" t="n"/>
      <c r="O62" s="111" t="n"/>
      <c r="P62" s="111" t="n"/>
      <c r="Q62" s="111" t="n"/>
      <c r="R62" s="111" t="n"/>
      <c r="S62" s="111" t="n"/>
      <c r="T62" s="111" t="n"/>
      <c r="U62" s="111" t="n"/>
      <c r="V62" s="111" t="n"/>
      <c r="W62" s="111" t="n"/>
      <c r="X62" s="111" t="n"/>
      <c r="Y62" s="111" t="n"/>
      <c r="Z62" s="111" t="n"/>
      <c r="AA62" s="111" t="n"/>
      <c r="AB62" s="111" t="n"/>
    </row>
    <row r="63">
      <c r="A63" s="111" t="n"/>
      <c r="B63" s="111" t="n"/>
      <c r="C63" s="111" t="n"/>
      <c r="D63" s="111" t="n"/>
      <c r="E63" s="111" t="n"/>
      <c r="F63" s="111" t="n"/>
      <c r="G63" s="111" t="n"/>
      <c r="H63" s="111" t="n"/>
      <c r="I63" s="111" t="n"/>
      <c r="J63" s="111" t="n"/>
      <c r="K63" s="111" t="n"/>
      <c r="L63" s="111" t="n"/>
      <c r="M63" s="111" t="n"/>
      <c r="N63" s="111" t="n"/>
      <c r="O63" s="111" t="n"/>
      <c r="P63" s="111" t="n"/>
      <c r="Q63" s="111" t="n"/>
      <c r="R63" s="111" t="n"/>
      <c r="S63" s="111" t="n"/>
      <c r="T63" s="111" t="n"/>
      <c r="U63" s="111" t="n"/>
      <c r="V63" s="111" t="n"/>
      <c r="W63" s="111" t="n"/>
      <c r="X63" s="111" t="n"/>
      <c r="Y63" s="111" t="n"/>
      <c r="Z63" s="111" t="n"/>
      <c r="AA63" s="111" t="n"/>
      <c r="AB63" s="111" t="n"/>
    </row>
    <row r="64">
      <c r="A64" s="111" t="n"/>
      <c r="B64" s="111" t="n"/>
      <c r="C64" s="111" t="n"/>
      <c r="D64" s="111" t="n"/>
      <c r="E64" s="111" t="n"/>
      <c r="F64" s="111" t="n"/>
      <c r="G64" s="111" t="n"/>
      <c r="H64" s="111" t="n"/>
      <c r="I64" s="111" t="n"/>
      <c r="J64" s="111" t="n"/>
      <c r="K64" s="111" t="n"/>
      <c r="L64" s="111" t="n"/>
      <c r="M64" s="111" t="n"/>
      <c r="N64" s="111" t="n"/>
      <c r="O64" s="111" t="n"/>
      <c r="P64" s="111" t="n"/>
      <c r="Q64" s="111" t="n"/>
      <c r="R64" s="111" t="n"/>
      <c r="S64" s="111" t="n"/>
      <c r="T64" s="111" t="n"/>
      <c r="U64" s="111" t="n"/>
      <c r="V64" s="111" t="n"/>
      <c r="W64" s="111" t="n"/>
      <c r="X64" s="111" t="n"/>
      <c r="Y64" s="111" t="n"/>
      <c r="Z64" s="111" t="n"/>
      <c r="AA64" s="111" t="n"/>
      <c r="AB64" s="111" t="n"/>
    </row>
    <row r="65">
      <c r="A65" s="111" t="n"/>
      <c r="B65" s="111" t="n"/>
      <c r="C65" s="111" t="n"/>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c r="AB65" s="111" t="n"/>
    </row>
    <row r="66">
      <c r="A66" s="111" t="n"/>
      <c r="B66" s="111" t="n"/>
      <c r="C66" s="111" t="n"/>
      <c r="D66" s="111" t="n"/>
      <c r="E66" s="111" t="n"/>
      <c r="F66" s="111" t="n"/>
      <c r="G66" s="111" t="n"/>
      <c r="H66" s="111" t="n"/>
      <c r="I66" s="111" t="n"/>
      <c r="J66" s="111" t="n"/>
      <c r="K66" s="111" t="n"/>
      <c r="L66" s="111" t="n"/>
      <c r="M66" s="111" t="n"/>
      <c r="N66" s="111" t="n"/>
      <c r="O66" s="111" t="n"/>
      <c r="P66" s="111" t="n"/>
      <c r="Q66" s="111" t="n"/>
      <c r="R66" s="111" t="n"/>
      <c r="S66" s="111" t="n"/>
      <c r="T66" s="111" t="n"/>
      <c r="U66" s="111" t="n"/>
      <c r="V66" s="111" t="n"/>
      <c r="W66" s="111" t="n"/>
      <c r="X66" s="111" t="n"/>
      <c r="Y66" s="111" t="n"/>
      <c r="Z66" s="111" t="n"/>
      <c r="AA66" s="111" t="n"/>
      <c r="AB66" s="111" t="n"/>
    </row>
    <row r="67">
      <c r="A67" s="111" t="n"/>
      <c r="B67" s="111" t="n"/>
      <c r="C67" s="111" t="n"/>
      <c r="D67" s="111" t="n"/>
      <c r="E67" s="111" t="n"/>
      <c r="F67" s="111" t="n"/>
      <c r="G67" s="111" t="n"/>
      <c r="H67" s="111" t="n"/>
      <c r="I67" s="111" t="n"/>
      <c r="J67" s="111" t="n"/>
      <c r="K67" s="111" t="n"/>
      <c r="L67" s="111" t="n"/>
      <c r="M67" s="111" t="n"/>
      <c r="N67" s="111" t="n"/>
      <c r="O67" s="111" t="n"/>
      <c r="P67" s="111" t="n"/>
      <c r="Q67" s="111" t="n"/>
      <c r="R67" s="111" t="n"/>
      <c r="S67" s="111" t="n"/>
      <c r="T67" s="111" t="n"/>
      <c r="U67" s="111" t="n"/>
      <c r="V67" s="111" t="n"/>
      <c r="W67" s="111" t="n"/>
      <c r="X67" s="111" t="n"/>
      <c r="Y67" s="111" t="n"/>
      <c r="Z67" s="111" t="n"/>
      <c r="AA67" s="111" t="n"/>
      <c r="AB67" s="111" t="n"/>
    </row>
    <row r="68" ht="15.75" customHeight="1" s="510" thickBot="1">
      <c r="A68" s="111" t="n"/>
      <c r="B68" s="111" t="n"/>
      <c r="C68" s="111" t="n"/>
      <c r="D68" s="111" t="n"/>
      <c r="E68" s="111" t="n"/>
      <c r="F68" s="111" t="n"/>
      <c r="G68" s="111" t="n"/>
      <c r="H68" s="111" t="n"/>
      <c r="I68" s="111" t="n"/>
      <c r="J68" s="111" t="n"/>
      <c r="K68" s="111" t="n"/>
      <c r="L68" s="111" t="n"/>
      <c r="M68" s="111" t="n"/>
      <c r="N68" s="111" t="n"/>
      <c r="O68" s="111" t="n"/>
      <c r="P68" s="111" t="n"/>
      <c r="Q68" s="111" t="n"/>
      <c r="R68" s="111" t="n"/>
      <c r="S68" s="111" t="n"/>
      <c r="T68" s="111" t="n"/>
      <c r="U68" s="111" t="n"/>
      <c r="V68" s="111" t="n"/>
      <c r="W68" s="111" t="n"/>
      <c r="X68" s="111" t="n"/>
      <c r="Y68" s="111" t="n"/>
      <c r="Z68" s="111" t="n"/>
      <c r="AA68" s="111" t="n"/>
      <c r="AB68" s="111" t="n"/>
    </row>
    <row r="69">
      <c r="A69" s="111" t="n"/>
      <c r="B69" s="111" t="n"/>
      <c r="C69" s="111" t="n"/>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2" t="inlineStr">
        <is>
          <t>ASTM A351</t>
        </is>
      </c>
      <c r="Y69" s="1140" t="inlineStr">
        <is>
          <t xml:space="preserve">Tensile </t>
        </is>
      </c>
      <c r="Z69" s="1184" t="n"/>
      <c r="AA69" s="1140" t="inlineStr">
        <is>
          <t>Yield</t>
        </is>
      </c>
      <c r="AB69" s="1184" t="n"/>
    </row>
    <row r="70">
      <c r="A70" s="111" t="n"/>
      <c r="B70" s="111" t="n"/>
      <c r="C70" s="111" t="n"/>
      <c r="D70" s="111" t="n"/>
      <c r="E70" s="111" t="n"/>
      <c r="F70" s="111" t="n"/>
      <c r="G70" s="111" t="n"/>
      <c r="H70" s="111" t="n"/>
      <c r="I70" s="111" t="n"/>
      <c r="J70" s="111" t="n"/>
      <c r="K70" s="111" t="n"/>
      <c r="L70" s="111" t="n"/>
      <c r="M70" s="111" t="n"/>
      <c r="N70" s="111" t="n"/>
      <c r="O70" s="111" t="n"/>
      <c r="P70" s="111" t="n"/>
      <c r="Q70" s="111" t="n"/>
      <c r="R70" s="111" t="n"/>
      <c r="S70" s="111" t="n"/>
      <c r="T70" s="111" t="n"/>
      <c r="U70" s="111" t="n"/>
      <c r="V70" s="111" t="n"/>
      <c r="W70" s="111" t="n"/>
      <c r="X70" s="113" t="inlineStr">
        <is>
          <t>Grade</t>
        </is>
      </c>
      <c r="Y70" s="114" t="inlineStr">
        <is>
          <t>Psi</t>
        </is>
      </c>
      <c r="Z70" s="114" t="inlineStr">
        <is>
          <t>Mpa</t>
        </is>
      </c>
      <c r="AA70" s="114" t="inlineStr">
        <is>
          <t>Psi</t>
        </is>
      </c>
      <c r="AB70" s="115" t="inlineStr">
        <is>
          <t>Mpa</t>
        </is>
      </c>
    </row>
    <row r="71">
      <c r="A71" s="111" t="n"/>
      <c r="B71" s="111" t="n"/>
      <c r="C71" s="111" t="n"/>
      <c r="D71" s="111" t="n"/>
      <c r="E71" s="111" t="n"/>
      <c r="F71" s="111" t="n"/>
      <c r="G71" s="111" t="n"/>
      <c r="H71" s="111" t="n"/>
      <c r="I71" s="111" t="n"/>
      <c r="J71" s="111" t="n"/>
      <c r="K71" s="111" t="n"/>
      <c r="L71" s="111" t="n"/>
      <c r="M71" s="111" t="n"/>
      <c r="N71" s="111" t="n"/>
      <c r="O71" s="111" t="n"/>
      <c r="P71" s="111" t="n"/>
      <c r="Q71" s="111" t="n"/>
      <c r="R71" s="111" t="n"/>
      <c r="S71" s="111" t="n"/>
      <c r="T71" s="111" t="n"/>
      <c r="U71" s="111" t="n"/>
      <c r="V71" s="111" t="n"/>
      <c r="W71" s="111" t="n"/>
      <c r="X71" s="113" t="inlineStr">
        <is>
          <t>CF3</t>
        </is>
      </c>
      <c r="Y71" s="114" t="n">
        <v>70000</v>
      </c>
      <c r="Z71" s="114" t="n">
        <v>485</v>
      </c>
      <c r="AA71" s="114" t="n">
        <v>30000</v>
      </c>
      <c r="AB71" s="115" t="n">
        <v>205</v>
      </c>
    </row>
    <row r="72">
      <c r="A72" s="111" t="n"/>
      <c r="B72" s="111" t="n"/>
      <c r="C72" s="111" t="n"/>
      <c r="D72" s="111" t="n"/>
      <c r="E72" s="111" t="n"/>
      <c r="F72" s="111" t="n"/>
      <c r="G72" s="111" t="n"/>
      <c r="H72" s="111" t="n"/>
      <c r="I72" s="111" t="n"/>
      <c r="J72" s="111" t="n"/>
      <c r="K72" s="111" t="n"/>
      <c r="L72" s="111" t="n"/>
      <c r="M72" s="111" t="n"/>
      <c r="N72" s="111" t="n"/>
      <c r="O72" s="111" t="n"/>
      <c r="P72" s="111" t="n"/>
      <c r="Q72" s="111" t="n"/>
      <c r="R72" s="111" t="n"/>
      <c r="S72" s="111" t="n"/>
      <c r="T72" s="111" t="n"/>
      <c r="U72" s="111" t="n"/>
      <c r="V72" s="111" t="n"/>
      <c r="W72" s="111" t="n"/>
      <c r="X72" s="113" t="inlineStr">
        <is>
          <t>CF-3A</t>
        </is>
      </c>
      <c r="Y72" s="114" t="n">
        <v>77000</v>
      </c>
      <c r="Z72" s="114" t="n">
        <v>530</v>
      </c>
      <c r="AA72" s="114" t="n">
        <v>35000</v>
      </c>
      <c r="AB72" s="115" t="n">
        <v>240</v>
      </c>
    </row>
    <row r="73">
      <c r="A73" s="111" t="n"/>
      <c r="B73" s="111" t="n"/>
      <c r="C73" s="111" t="n"/>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3" t="inlineStr">
        <is>
          <t>CF8</t>
        </is>
      </c>
      <c r="Y73" s="114" t="n">
        <v>70000</v>
      </c>
      <c r="Z73" s="114" t="n">
        <v>485</v>
      </c>
      <c r="AA73" s="114" t="n">
        <v>30000</v>
      </c>
      <c r="AB73" s="115" t="n">
        <v>205</v>
      </c>
    </row>
    <row r="74">
      <c r="A74" s="111" t="n"/>
      <c r="B74" s="111" t="n"/>
      <c r="C74" s="111" t="n"/>
      <c r="D74" s="111" t="n"/>
      <c r="E74" s="111" t="n"/>
      <c r="F74" s="111" t="n"/>
      <c r="G74" s="111" t="n"/>
      <c r="H74" s="111" t="n"/>
      <c r="I74" s="111" t="n"/>
      <c r="J74" s="111" t="n"/>
      <c r="K74" s="111" t="n"/>
      <c r="L74" s="111" t="n"/>
      <c r="M74" s="111" t="n"/>
      <c r="N74" s="111" t="n"/>
      <c r="O74" s="111" t="n"/>
      <c r="P74" s="111" t="n"/>
      <c r="Q74" s="111" t="n"/>
      <c r="R74" s="111" t="n"/>
      <c r="S74" s="111" t="n"/>
      <c r="T74" s="111" t="n"/>
      <c r="U74" s="111" t="n"/>
      <c r="V74" s="111" t="n"/>
      <c r="W74" s="111" t="n"/>
      <c r="X74" s="113" t="inlineStr">
        <is>
          <t>CF-8A</t>
        </is>
      </c>
      <c r="Y74" s="114" t="n">
        <v>77000</v>
      </c>
      <c r="Z74" s="114" t="n">
        <v>530</v>
      </c>
      <c r="AA74" s="114" t="n">
        <v>35000</v>
      </c>
      <c r="AB74" s="115" t="n">
        <v>240</v>
      </c>
    </row>
    <row r="75">
      <c r="A75" s="111" t="n"/>
      <c r="B75" s="111" t="n"/>
      <c r="C75" s="111" t="n"/>
      <c r="D75" s="111" t="n"/>
      <c r="E75" s="111" t="n"/>
      <c r="F75" s="111" t="n"/>
      <c r="G75" s="111" t="n"/>
      <c r="H75" s="111" t="n"/>
      <c r="I75" s="111" t="n"/>
      <c r="J75" s="111" t="n"/>
      <c r="K75" s="111" t="n"/>
      <c r="L75" s="111" t="n"/>
      <c r="M75" s="111" t="n"/>
      <c r="N75" s="111" t="n"/>
      <c r="O75" s="111" t="n"/>
      <c r="P75" s="111" t="n"/>
      <c r="Q75" s="111" t="n"/>
      <c r="R75" s="111" t="n"/>
      <c r="S75" s="111" t="n"/>
      <c r="T75" s="111" t="n"/>
      <c r="U75" s="111" t="n"/>
      <c r="V75" s="111" t="n"/>
      <c r="W75" s="111" t="n"/>
      <c r="X75" s="113" t="inlineStr">
        <is>
          <t>CF-3M</t>
        </is>
      </c>
      <c r="Y75" s="114" t="n">
        <v>70000</v>
      </c>
      <c r="Z75" s="114" t="n">
        <v>485</v>
      </c>
      <c r="AA75" s="114" t="n">
        <v>30000</v>
      </c>
      <c r="AB75" s="115" t="n">
        <v>205</v>
      </c>
    </row>
    <row r="76">
      <c r="A76" s="111" t="n"/>
      <c r="B76" s="111" t="n"/>
      <c r="C76" s="111" t="n"/>
      <c r="D76" s="111" t="n"/>
      <c r="E76" s="111" t="n"/>
      <c r="F76" s="111" t="n"/>
      <c r="G76" s="111" t="n"/>
      <c r="H76" s="111" t="n"/>
      <c r="I76" s="111" t="n"/>
      <c r="J76" s="111" t="n"/>
      <c r="K76" s="111" t="n"/>
      <c r="L76" s="111" t="n"/>
      <c r="M76" s="111" t="n"/>
      <c r="N76" s="111" t="n"/>
      <c r="O76" s="111" t="n"/>
      <c r="P76" s="111" t="n"/>
      <c r="Q76" s="111" t="n"/>
      <c r="R76" s="111" t="n"/>
      <c r="S76" s="111" t="n"/>
      <c r="T76" s="111" t="n"/>
      <c r="U76" s="111" t="n"/>
      <c r="V76" s="111" t="n"/>
      <c r="W76" s="111" t="n"/>
      <c r="X76" s="113" t="inlineStr">
        <is>
          <t>CF-3MA</t>
        </is>
      </c>
      <c r="Y76" s="114" t="n">
        <v>80000</v>
      </c>
      <c r="Z76" s="114" t="n">
        <v>550</v>
      </c>
      <c r="AA76" s="114" t="n">
        <v>37000</v>
      </c>
      <c r="AB76" s="115" t="n">
        <v>255</v>
      </c>
    </row>
    <row r="77">
      <c r="A77" s="111" t="n"/>
      <c r="B77" s="111" t="n"/>
      <c r="C77" s="111" t="n"/>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3" t="inlineStr">
        <is>
          <t>CF-8M</t>
        </is>
      </c>
      <c r="Y77" s="114" t="n">
        <v>70000</v>
      </c>
      <c r="Z77" s="114" t="n">
        <v>485</v>
      </c>
      <c r="AA77" s="114" t="n">
        <v>30000</v>
      </c>
      <c r="AB77" s="115" t="n">
        <v>205</v>
      </c>
    </row>
    <row r="78">
      <c r="A78" s="111" t="n"/>
      <c r="B78" s="111" t="n"/>
      <c r="C78" s="111" t="n"/>
      <c r="D78" s="111" t="n"/>
      <c r="E78" s="111" t="n"/>
      <c r="F78" s="111" t="n"/>
      <c r="G78" s="111" t="n"/>
      <c r="H78" s="111" t="n"/>
      <c r="I78" s="111" t="n"/>
      <c r="J78" s="111" t="n"/>
      <c r="K78" s="111" t="n"/>
      <c r="L78" s="111" t="n"/>
      <c r="M78" s="111" t="n"/>
      <c r="N78" s="111" t="n"/>
      <c r="O78" s="111" t="n"/>
      <c r="P78" s="111" t="n"/>
      <c r="Q78" s="111" t="n"/>
      <c r="R78" s="111" t="n"/>
      <c r="S78" s="111" t="n"/>
      <c r="T78" s="111" t="n"/>
      <c r="U78" s="111" t="n"/>
      <c r="V78" s="111" t="n"/>
      <c r="W78" s="111" t="n"/>
      <c r="X78" s="113" t="inlineStr">
        <is>
          <t>CF-3MN</t>
        </is>
      </c>
      <c r="Y78" s="114" t="n">
        <v>75000</v>
      </c>
      <c r="Z78" s="114" t="n">
        <v>530</v>
      </c>
      <c r="AA78" s="114" t="n">
        <v>37000</v>
      </c>
      <c r="AB78" s="115" t="n">
        <v>255</v>
      </c>
    </row>
    <row r="79">
      <c r="A79" s="111" t="n"/>
      <c r="B79" s="111" t="n"/>
      <c r="C79" s="111" t="n"/>
      <c r="D79" s="111" t="n"/>
      <c r="E79" s="111" t="n"/>
      <c r="F79" s="111" t="n"/>
      <c r="G79" s="111" t="n"/>
      <c r="H79" s="111" t="n"/>
      <c r="I79" s="111" t="n"/>
      <c r="J79" s="111" t="n"/>
      <c r="K79" s="111" t="n"/>
      <c r="L79" s="111" t="n"/>
      <c r="M79" s="111" t="n"/>
      <c r="N79" s="111" t="n"/>
      <c r="O79" s="111" t="n"/>
      <c r="P79" s="111" t="n"/>
      <c r="Q79" s="111" t="n"/>
      <c r="R79" s="111" t="n"/>
      <c r="S79" s="111" t="n"/>
      <c r="T79" s="111" t="n"/>
      <c r="U79" s="111" t="n"/>
      <c r="V79" s="111" t="n"/>
      <c r="W79" s="111" t="n"/>
      <c r="X79" s="113" t="inlineStr">
        <is>
          <t>CF-8C</t>
        </is>
      </c>
      <c r="Y79" s="114" t="n">
        <v>70000</v>
      </c>
      <c r="Z79" s="114" t="n">
        <v>485</v>
      </c>
      <c r="AA79" s="114" t="n">
        <v>30000</v>
      </c>
      <c r="AB79" s="115" t="n">
        <v>205</v>
      </c>
    </row>
    <row r="80">
      <c r="A80" s="111" t="n"/>
      <c r="B80" s="111" t="n"/>
      <c r="C80" s="111" t="n"/>
      <c r="D80" s="111" t="n"/>
      <c r="E80" s="111" t="n"/>
      <c r="F80" s="111" t="n"/>
      <c r="G80" s="111" t="n"/>
      <c r="H80" s="111" t="n"/>
      <c r="I80" s="111" t="n"/>
      <c r="J80" s="111" t="n"/>
      <c r="K80" s="111" t="n"/>
      <c r="L80" s="111" t="n"/>
      <c r="M80" s="111" t="n"/>
      <c r="N80" s="111" t="n"/>
      <c r="O80" s="111" t="n"/>
      <c r="P80" s="111" t="n"/>
      <c r="Q80" s="111" t="n"/>
      <c r="R80" s="111" t="n"/>
      <c r="S80" s="111" t="n"/>
      <c r="T80" s="111" t="n"/>
      <c r="U80" s="111" t="n"/>
      <c r="V80" s="111" t="n"/>
      <c r="W80" s="111" t="n"/>
      <c r="X80" s="113" t="inlineStr">
        <is>
          <t>CF10</t>
        </is>
      </c>
      <c r="Y80" s="114" t="n">
        <v>70000</v>
      </c>
      <c r="Z80" s="114" t="n">
        <v>485</v>
      </c>
      <c r="AA80" s="114" t="n">
        <v>30000</v>
      </c>
      <c r="AB80" s="115" t="n">
        <v>205</v>
      </c>
    </row>
    <row r="81">
      <c r="A81" s="111" t="n"/>
      <c r="B81" s="111" t="n"/>
      <c r="C81" s="111" t="n"/>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3" t="inlineStr">
        <is>
          <t>CF-10M</t>
        </is>
      </c>
      <c r="Y81" s="114" t="n">
        <v>70000</v>
      </c>
      <c r="Z81" s="114" t="n">
        <v>485</v>
      </c>
      <c r="AA81" s="114" t="n">
        <v>30000</v>
      </c>
      <c r="AB81" s="115" t="n">
        <v>205</v>
      </c>
    </row>
    <row r="82">
      <c r="A82" s="111" t="n"/>
      <c r="B82" s="111" t="n"/>
      <c r="C82" s="111" t="n"/>
      <c r="D82" s="111" t="n"/>
      <c r="E82" s="111" t="n"/>
      <c r="F82" s="111" t="n"/>
      <c r="G82" s="111" t="n"/>
      <c r="H82" s="111" t="n"/>
      <c r="I82" s="111" t="n"/>
      <c r="J82" s="111" t="n"/>
      <c r="K82" s="111" t="n"/>
      <c r="L82" s="111" t="n"/>
      <c r="M82" s="111" t="n"/>
      <c r="N82" s="111" t="n"/>
      <c r="O82" s="111" t="n"/>
      <c r="P82" s="111" t="n"/>
      <c r="Q82" s="111" t="n"/>
      <c r="R82" s="111" t="n"/>
      <c r="S82" s="111" t="n"/>
      <c r="T82" s="111" t="n"/>
      <c r="U82" s="111" t="n"/>
      <c r="V82" s="111" t="n"/>
      <c r="W82" s="111" t="n"/>
      <c r="X82" s="113" t="inlineStr">
        <is>
          <t>CH8</t>
        </is>
      </c>
      <c r="Y82" s="114" t="n">
        <v>65000</v>
      </c>
      <c r="Z82" s="114" t="n">
        <v>450</v>
      </c>
      <c r="AA82" s="114" t="n">
        <v>28000</v>
      </c>
      <c r="AB82" s="115" t="n">
        <v>195</v>
      </c>
    </row>
    <row r="83">
      <c r="A83" s="111" t="n"/>
      <c r="B83" s="111" t="n"/>
      <c r="C83" s="111" t="n"/>
      <c r="D83" s="111" t="n"/>
      <c r="E83" s="111" t="n"/>
      <c r="F83" s="111" t="n"/>
      <c r="G83" s="111" t="n"/>
      <c r="H83" s="111" t="n"/>
      <c r="I83" s="111" t="n"/>
      <c r="J83" s="111" t="n"/>
      <c r="K83" s="111" t="n"/>
      <c r="L83" s="111" t="n"/>
      <c r="M83" s="111" t="n"/>
      <c r="N83" s="111" t="n"/>
      <c r="O83" s="111" t="n"/>
      <c r="P83" s="111" t="n"/>
      <c r="Q83" s="111" t="n"/>
      <c r="R83" s="111" t="n"/>
      <c r="S83" s="111" t="n"/>
      <c r="T83" s="111" t="n"/>
      <c r="U83" s="111" t="n"/>
      <c r="V83" s="111" t="n"/>
      <c r="W83" s="111" t="n"/>
      <c r="X83" s="113" t="inlineStr">
        <is>
          <t>CH10</t>
        </is>
      </c>
      <c r="Y83" s="114" t="n">
        <v>70000</v>
      </c>
      <c r="Z83" s="114" t="n">
        <v>485</v>
      </c>
      <c r="AA83" s="114" t="n">
        <v>30000</v>
      </c>
      <c r="AB83" s="115" t="n">
        <v>205</v>
      </c>
    </row>
    <row r="84">
      <c r="A84" s="111" t="n"/>
      <c r="B84" s="111" t="n"/>
      <c r="C84" s="111" t="n"/>
      <c r="D84" s="111" t="n"/>
      <c r="E84" s="111" t="n"/>
      <c r="F84" s="111" t="n"/>
      <c r="G84" s="111" t="n"/>
      <c r="H84" s="111" t="n"/>
      <c r="I84" s="111" t="n"/>
      <c r="J84" s="111" t="n"/>
      <c r="K84" s="111" t="n"/>
      <c r="L84" s="111" t="n"/>
      <c r="M84" s="111" t="n"/>
      <c r="N84" s="111" t="n"/>
      <c r="O84" s="111" t="n"/>
      <c r="P84" s="111" t="n"/>
      <c r="Q84" s="111" t="n"/>
      <c r="R84" s="111" t="n"/>
      <c r="S84" s="111" t="n"/>
      <c r="T84" s="111" t="n"/>
      <c r="U84" s="111" t="n"/>
      <c r="V84" s="111" t="n"/>
      <c r="W84" s="111" t="n"/>
      <c r="X84" s="113" t="inlineStr">
        <is>
          <t>CH20</t>
        </is>
      </c>
      <c r="Y84" s="114" t="n">
        <v>70000</v>
      </c>
      <c r="Z84" s="114" t="n">
        <v>485</v>
      </c>
      <c r="AA84" s="114" t="n">
        <v>30000</v>
      </c>
      <c r="AB84" s="115" t="n">
        <v>205</v>
      </c>
    </row>
    <row r="85">
      <c r="A85" s="111" t="n"/>
      <c r="B85" s="111" t="n"/>
      <c r="C85" s="111" t="n"/>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3" t="inlineStr">
        <is>
          <t>CK20</t>
        </is>
      </c>
      <c r="Y85" s="114" t="n">
        <v>65000</v>
      </c>
      <c r="Z85" s="114" t="n">
        <v>450</v>
      </c>
      <c r="AA85" s="114" t="n">
        <v>28000</v>
      </c>
      <c r="AB85" s="115" t="n">
        <v>195</v>
      </c>
    </row>
    <row r="86">
      <c r="A86" s="111" t="n"/>
      <c r="B86" s="111" t="n"/>
      <c r="C86" s="111" t="n"/>
      <c r="D86" s="111" t="n"/>
      <c r="E86" s="111" t="n"/>
      <c r="F86" s="111" t="n"/>
      <c r="G86" s="111" t="n"/>
      <c r="H86" s="111" t="n"/>
      <c r="I86" s="111" t="n"/>
      <c r="J86" s="111" t="n"/>
      <c r="K86" s="111" t="n"/>
      <c r="L86" s="111" t="n"/>
      <c r="M86" s="111" t="n"/>
      <c r="N86" s="111" t="n"/>
      <c r="O86" s="111" t="n"/>
      <c r="P86" s="111" t="n"/>
      <c r="Q86" s="111" t="n"/>
      <c r="R86" s="111" t="n"/>
      <c r="S86" s="111" t="n"/>
      <c r="T86" s="111" t="n"/>
      <c r="U86" s="111" t="n"/>
      <c r="V86" s="111" t="n"/>
      <c r="W86" s="111" t="n"/>
      <c r="X86" s="113" t="inlineStr">
        <is>
          <t>HK30</t>
        </is>
      </c>
      <c r="Y86" s="114" t="n">
        <v>65000</v>
      </c>
      <c r="Z86" s="114" t="n">
        <v>450</v>
      </c>
      <c r="AA86" s="114" t="n">
        <v>35000</v>
      </c>
      <c r="AB86" s="115" t="n">
        <v>240</v>
      </c>
    </row>
    <row r="87">
      <c r="A87" s="111" t="n"/>
      <c r="B87" s="111" t="n"/>
      <c r="C87" s="111" t="n"/>
      <c r="D87" s="111" t="n"/>
      <c r="E87" s="111" t="n"/>
      <c r="F87" s="111" t="n"/>
      <c r="G87" s="111" t="n"/>
      <c r="H87" s="111" t="n"/>
      <c r="I87" s="111" t="n"/>
      <c r="J87" s="111" t="n"/>
      <c r="K87" s="111" t="n"/>
      <c r="L87" s="111" t="n"/>
      <c r="M87" s="111" t="n"/>
      <c r="N87" s="111" t="n"/>
      <c r="O87" s="111" t="n"/>
      <c r="P87" s="111" t="n"/>
      <c r="Q87" s="111" t="n"/>
      <c r="R87" s="111" t="n"/>
      <c r="S87" s="111" t="n"/>
      <c r="T87" s="111" t="n"/>
      <c r="U87" s="111" t="n"/>
      <c r="V87" s="111" t="n"/>
      <c r="W87" s="111" t="n"/>
      <c r="X87" s="113" t="inlineStr">
        <is>
          <t>HK40</t>
        </is>
      </c>
      <c r="Y87" s="114" t="n">
        <v>62000</v>
      </c>
      <c r="Z87" s="114" t="n">
        <v>450</v>
      </c>
      <c r="AA87" s="114" t="n">
        <v>35000</v>
      </c>
      <c r="AB87" s="115" t="n">
        <v>240</v>
      </c>
    </row>
    <row r="88">
      <c r="A88" s="111" t="n"/>
      <c r="B88" s="111" t="n"/>
      <c r="C88" s="111" t="n"/>
      <c r="D88" s="111" t="n"/>
      <c r="E88" s="111" t="n"/>
      <c r="F88" s="111" t="n"/>
      <c r="G88" s="111" t="n"/>
      <c r="H88" s="111" t="n"/>
      <c r="I88" s="111" t="n"/>
      <c r="J88" s="111" t="n"/>
      <c r="K88" s="111" t="n"/>
      <c r="L88" s="111" t="n"/>
      <c r="M88" s="111" t="n"/>
      <c r="N88" s="111" t="n"/>
      <c r="O88" s="111" t="n"/>
      <c r="P88" s="111" t="n"/>
      <c r="Q88" s="111" t="n"/>
      <c r="R88" s="111" t="n"/>
      <c r="S88" s="111" t="n"/>
      <c r="T88" s="111" t="n"/>
      <c r="U88" s="111" t="n"/>
      <c r="V88" s="111" t="n"/>
      <c r="W88" s="111" t="n"/>
      <c r="X88" s="113" t="inlineStr">
        <is>
          <t>HT30</t>
        </is>
      </c>
      <c r="Y88" s="114" t="n">
        <v>65000</v>
      </c>
      <c r="Z88" s="114" t="n">
        <v>450</v>
      </c>
      <c r="AA88" s="114" t="n">
        <v>28000</v>
      </c>
      <c r="AB88" s="115" t="n">
        <v>195</v>
      </c>
    </row>
    <row r="89">
      <c r="A89" s="111" t="n"/>
      <c r="B89" s="111" t="n"/>
      <c r="C89" s="111" t="n"/>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3" t="inlineStr">
        <is>
          <t>CF-10MC</t>
        </is>
      </c>
      <c r="Y89" s="114" t="n">
        <v>70000</v>
      </c>
      <c r="Z89" s="114" t="n">
        <v>485</v>
      </c>
      <c r="AA89" s="114" t="n">
        <v>30000</v>
      </c>
      <c r="AB89" s="115" t="n">
        <v>205</v>
      </c>
    </row>
    <row r="90">
      <c r="A90" s="111" t="n"/>
      <c r="B90" s="111" t="n"/>
      <c r="C90" s="111" t="n"/>
      <c r="D90" s="111" t="n"/>
      <c r="E90" s="111" t="n"/>
      <c r="F90" s="111" t="n"/>
      <c r="G90" s="111" t="n"/>
      <c r="H90" s="111" t="n"/>
      <c r="I90" s="111" t="n"/>
      <c r="J90" s="111" t="n"/>
      <c r="K90" s="111" t="n"/>
      <c r="L90" s="111" t="n"/>
      <c r="M90" s="111" t="n"/>
      <c r="N90" s="111" t="n"/>
      <c r="O90" s="111" t="n"/>
      <c r="P90" s="111" t="n"/>
      <c r="Q90" s="111" t="n"/>
      <c r="R90" s="111" t="n"/>
      <c r="S90" s="111" t="n"/>
      <c r="T90" s="111" t="n"/>
      <c r="U90" s="111" t="n"/>
      <c r="V90" s="111" t="n"/>
      <c r="W90" s="111" t="n"/>
      <c r="X90" s="113" t="inlineStr">
        <is>
          <t>CN-7M</t>
        </is>
      </c>
      <c r="Y90" s="114" t="n">
        <v>62000</v>
      </c>
      <c r="Z90" s="114" t="n">
        <v>425</v>
      </c>
      <c r="AA90" s="114" t="n">
        <v>25000</v>
      </c>
      <c r="AB90" s="115" t="n">
        <v>170</v>
      </c>
    </row>
    <row r="91">
      <c r="A91" s="111" t="n"/>
      <c r="B91" s="111" t="n"/>
      <c r="C91" s="111" t="n"/>
      <c r="D91" s="111" t="n"/>
      <c r="E91" s="111" t="n"/>
      <c r="F91" s="111" t="n"/>
      <c r="G91" s="111" t="n"/>
      <c r="H91" s="111" t="n"/>
      <c r="I91" s="111" t="n"/>
      <c r="J91" s="111" t="n"/>
      <c r="K91" s="111" t="n"/>
      <c r="L91" s="111" t="n"/>
      <c r="M91" s="111" t="n"/>
      <c r="N91" s="111" t="n"/>
      <c r="O91" s="111" t="n"/>
      <c r="P91" s="111" t="n"/>
      <c r="Q91" s="111" t="n"/>
      <c r="R91" s="111" t="n"/>
      <c r="S91" s="111" t="n"/>
      <c r="T91" s="111" t="n"/>
      <c r="U91" s="111" t="n"/>
      <c r="V91" s="111" t="n"/>
      <c r="W91" s="111" t="n"/>
      <c r="X91" s="113" t="inlineStr">
        <is>
          <t>CN-3MN</t>
        </is>
      </c>
      <c r="Y91" s="114" t="n">
        <v>80000</v>
      </c>
      <c r="Z91" s="114" t="n">
        <v>550</v>
      </c>
      <c r="AA91" s="114" t="n">
        <v>38000</v>
      </c>
      <c r="AB91" s="115" t="n">
        <v>260</v>
      </c>
    </row>
    <row r="92">
      <c r="A92" s="111" t="n"/>
      <c r="B92" s="111" t="n"/>
      <c r="C92" s="111" t="n"/>
      <c r="D92" s="111" t="n"/>
      <c r="E92" s="111" t="n"/>
      <c r="F92" s="111" t="n"/>
      <c r="G92" s="111" t="n"/>
      <c r="H92" s="111" t="n"/>
      <c r="I92" s="111" t="n"/>
      <c r="J92" s="111" t="n"/>
      <c r="K92" s="111" t="n"/>
      <c r="L92" s="111" t="n"/>
      <c r="M92" s="111" t="n"/>
      <c r="N92" s="111" t="n"/>
      <c r="O92" s="111" t="n"/>
      <c r="P92" s="111" t="n"/>
      <c r="Q92" s="111" t="n"/>
      <c r="R92" s="111" t="n"/>
      <c r="S92" s="111" t="n"/>
      <c r="T92" s="111" t="n"/>
      <c r="U92" s="111" t="n"/>
      <c r="V92" s="111" t="n"/>
      <c r="W92" s="111" t="n"/>
      <c r="X92" s="113" t="inlineStr">
        <is>
          <t>CD-4MCu</t>
        </is>
      </c>
      <c r="Y92" s="114" t="n">
        <v>100000</v>
      </c>
      <c r="Z92" s="114" t="n">
        <v>690</v>
      </c>
      <c r="AA92" s="114" t="n">
        <v>70000</v>
      </c>
      <c r="AB92" s="115" t="n">
        <v>485</v>
      </c>
    </row>
    <row r="93">
      <c r="A93" s="111" t="n"/>
      <c r="B93" s="111" t="n"/>
      <c r="C93" s="111" t="n"/>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3" t="inlineStr">
        <is>
          <t>CE-8MN</t>
        </is>
      </c>
      <c r="Y93" s="114" t="n">
        <v>95000</v>
      </c>
      <c r="Z93" s="114" t="n">
        <v>655</v>
      </c>
      <c r="AA93" s="114" t="n">
        <v>65000</v>
      </c>
      <c r="AB93" s="115" t="n">
        <v>450</v>
      </c>
    </row>
    <row r="94">
      <c r="A94" s="111" t="n"/>
      <c r="B94" s="111" t="n"/>
      <c r="C94" s="111" t="n"/>
      <c r="D94" s="111" t="n"/>
      <c r="E94" s="111" t="n"/>
      <c r="F94" s="111" t="n"/>
      <c r="G94" s="111" t="n"/>
      <c r="H94" s="111" t="n"/>
      <c r="I94" s="111" t="n"/>
      <c r="J94" s="111" t="n"/>
      <c r="K94" s="111" t="n"/>
      <c r="L94" s="111" t="n"/>
      <c r="M94" s="111" t="n"/>
      <c r="N94" s="111" t="n"/>
      <c r="O94" s="111" t="n"/>
      <c r="P94" s="111" t="n"/>
      <c r="Q94" s="111" t="n"/>
      <c r="R94" s="111" t="n"/>
      <c r="S94" s="111" t="n"/>
      <c r="T94" s="111" t="n"/>
      <c r="U94" s="111" t="n"/>
      <c r="V94" s="111" t="n"/>
      <c r="W94" s="111" t="n"/>
      <c r="X94" s="113" t="inlineStr">
        <is>
          <t>CG6M-MN</t>
        </is>
      </c>
      <c r="Y94" s="114" t="n">
        <v>85000</v>
      </c>
      <c r="Z94" s="114" t="n">
        <v>585</v>
      </c>
      <c r="AA94" s="114" t="n">
        <v>42500</v>
      </c>
      <c r="AB94" s="115" t="n">
        <v>295</v>
      </c>
    </row>
    <row r="95">
      <c r="A95" s="111" t="n"/>
      <c r="B95" s="111" t="n"/>
      <c r="C95" s="111" t="n"/>
      <c r="D95" s="111" t="n"/>
      <c r="E95" s="111" t="n"/>
      <c r="F95" s="111" t="n"/>
      <c r="G95" s="111" t="n"/>
      <c r="H95" s="111" t="n"/>
      <c r="I95" s="111" t="n"/>
      <c r="J95" s="111" t="n"/>
      <c r="K95" s="111" t="n"/>
      <c r="L95" s="111" t="n"/>
      <c r="M95" s="111" t="n"/>
      <c r="N95" s="111" t="n"/>
      <c r="O95" s="111" t="n"/>
      <c r="P95" s="111" t="n"/>
      <c r="Q95" s="111" t="n"/>
      <c r="R95" s="111" t="n"/>
      <c r="S95" s="111" t="n"/>
      <c r="T95" s="111" t="n"/>
      <c r="U95" s="111" t="n"/>
      <c r="V95" s="111" t="n"/>
      <c r="W95" s="111" t="n"/>
      <c r="X95" s="113" t="inlineStr">
        <is>
          <t>CG-8M</t>
        </is>
      </c>
      <c r="Y95" s="114" t="n">
        <v>75000</v>
      </c>
      <c r="Z95" s="114" t="n">
        <v>515</v>
      </c>
      <c r="AA95" s="114" t="n">
        <v>35000</v>
      </c>
      <c r="AB95" s="115" t="n">
        <v>240</v>
      </c>
    </row>
    <row r="96">
      <c r="A96" s="111" t="n"/>
      <c r="B96" s="111" t="n"/>
      <c r="C96" s="111" t="n"/>
      <c r="D96" s="111" t="n"/>
      <c r="E96" s="111" t="n"/>
      <c r="F96" s="111" t="n"/>
      <c r="G96" s="111" t="n"/>
      <c r="H96" s="111" t="n"/>
      <c r="I96" s="111" t="n"/>
      <c r="J96" s="111" t="n"/>
      <c r="K96" s="111" t="n"/>
      <c r="L96" s="111" t="n"/>
      <c r="M96" s="111" t="n"/>
      <c r="N96" s="111" t="n"/>
      <c r="O96" s="111" t="n"/>
      <c r="P96" s="111" t="n"/>
      <c r="Q96" s="111" t="n"/>
      <c r="R96" s="111" t="n"/>
      <c r="S96" s="111" t="n"/>
      <c r="T96" s="111" t="n"/>
      <c r="U96" s="111" t="n"/>
      <c r="V96" s="111" t="n"/>
      <c r="W96" s="111" t="n"/>
      <c r="X96" s="113" t="inlineStr">
        <is>
          <t>CF10S-MnN</t>
        </is>
      </c>
      <c r="Y96" s="114" t="n">
        <v>85000</v>
      </c>
      <c r="Z96" s="114" t="n">
        <v>585</v>
      </c>
      <c r="AA96" s="114" t="n">
        <v>42500</v>
      </c>
      <c r="AB96" s="115" t="n">
        <v>295</v>
      </c>
    </row>
    <row r="97">
      <c r="A97" s="111" t="n"/>
      <c r="B97" s="111" t="n"/>
      <c r="C97" s="111" t="n"/>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3" t="inlineStr">
        <is>
          <t>CT-15C</t>
        </is>
      </c>
      <c r="Y97" s="114" t="n">
        <v>63000</v>
      </c>
      <c r="Z97" s="114" t="n">
        <v>435</v>
      </c>
      <c r="AA97" s="114" t="n">
        <v>25000</v>
      </c>
      <c r="AB97" s="115" t="n">
        <v>170</v>
      </c>
    </row>
    <row r="98">
      <c r="A98" s="111" t="n"/>
      <c r="B98" s="111" t="n"/>
      <c r="C98" s="111" t="n"/>
      <c r="D98" s="111" t="n"/>
      <c r="E98" s="111" t="n"/>
      <c r="F98" s="111" t="n"/>
      <c r="G98" s="111" t="n"/>
      <c r="H98" s="111" t="n"/>
      <c r="I98" s="111" t="n"/>
      <c r="J98" s="111" t="n"/>
      <c r="K98" s="111" t="n"/>
      <c r="L98" s="111" t="n"/>
      <c r="M98" s="111" t="n"/>
      <c r="N98" s="111" t="n"/>
      <c r="O98" s="111" t="n"/>
      <c r="P98" s="111" t="n"/>
      <c r="Q98" s="111" t="n"/>
      <c r="R98" s="111" t="n"/>
      <c r="S98" s="111" t="n"/>
      <c r="T98" s="111" t="n"/>
      <c r="U98" s="111" t="n"/>
      <c r="V98" s="111" t="n"/>
      <c r="W98" s="111" t="n"/>
      <c r="X98" s="113" t="inlineStr">
        <is>
          <t>CK-3M-CuN</t>
        </is>
      </c>
      <c r="Y98" s="114" t="n">
        <v>80000</v>
      </c>
      <c r="Z98" s="114" t="n">
        <v>550</v>
      </c>
      <c r="AA98" s="114" t="n">
        <v>38000</v>
      </c>
      <c r="AB98" s="115" t="n">
        <v>260</v>
      </c>
    </row>
    <row r="99">
      <c r="A99" s="111" t="n"/>
      <c r="B99" s="111" t="n"/>
      <c r="C99" s="111" t="n"/>
      <c r="D99" s="111" t="n"/>
      <c r="E99" s="111" t="n"/>
      <c r="F99" s="111" t="n"/>
      <c r="G99" s="111" t="n"/>
      <c r="H99" s="111" t="n"/>
      <c r="I99" s="111" t="n"/>
      <c r="J99" s="111" t="n"/>
      <c r="K99" s="111" t="n"/>
      <c r="L99" s="111" t="n"/>
      <c r="M99" s="111" t="n"/>
      <c r="N99" s="111" t="n"/>
      <c r="O99" s="111" t="n"/>
      <c r="P99" s="111" t="n"/>
      <c r="Q99" s="111" t="n"/>
      <c r="R99" s="111" t="n"/>
      <c r="S99" s="111" t="n"/>
      <c r="T99" s="111" t="n"/>
      <c r="U99" s="111" t="n"/>
      <c r="V99" s="111" t="n"/>
      <c r="W99" s="111" t="n"/>
      <c r="X99" s="113" t="inlineStr">
        <is>
          <t>CE20N</t>
        </is>
      </c>
      <c r="Y99" s="114" t="n">
        <v>80000</v>
      </c>
      <c r="Z99" s="114" t="n">
        <v>550</v>
      </c>
      <c r="AA99" s="114" t="n">
        <v>40000</v>
      </c>
      <c r="AB99" s="115" t="n">
        <v>275</v>
      </c>
    </row>
    <row r="100">
      <c r="A100" s="111" t="n"/>
      <c r="B100" s="111" t="n"/>
      <c r="C100" s="111" t="n"/>
      <c r="D100" s="111" t="n"/>
      <c r="E100" s="111" t="n"/>
      <c r="F100" s="111" t="n"/>
      <c r="G100" s="111" t="n"/>
      <c r="H100" s="111" t="n"/>
      <c r="I100" s="111" t="n"/>
      <c r="J100" s="111" t="n"/>
      <c r="K100" s="111" t="n"/>
      <c r="L100" s="111" t="n"/>
      <c r="M100" s="111" t="n"/>
      <c r="N100" s="111" t="n"/>
      <c r="O100" s="111" t="n"/>
      <c r="P100" s="111" t="n"/>
      <c r="Q100" s="111" t="n"/>
      <c r="R100" s="111" t="n"/>
      <c r="S100" s="111" t="n"/>
      <c r="T100" s="111" t="n"/>
      <c r="U100" s="111" t="n"/>
      <c r="V100" s="111" t="n"/>
      <c r="W100" s="111" t="n"/>
      <c r="X100" s="113" t="inlineStr">
        <is>
          <t>CG-3M</t>
        </is>
      </c>
      <c r="Y100" s="114" t="n">
        <v>75000</v>
      </c>
      <c r="Z100" s="114" t="n">
        <v>515</v>
      </c>
      <c r="AA100" s="114" t="n">
        <v>35000</v>
      </c>
      <c r="AB100" s="115" t="n">
        <v>240</v>
      </c>
    </row>
    <row r="101" ht="15.75" customHeight="1" s="510" thickBot="1">
      <c r="A101" s="111" t="n"/>
      <c r="B101" s="111" t="n"/>
      <c r="C101" s="111" t="n"/>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6" t="inlineStr">
        <is>
          <t>CD3M-WCuN</t>
        </is>
      </c>
      <c r="Y101" s="117" t="n">
        <v>100000</v>
      </c>
      <c r="Z101" s="117" t="n">
        <v>700</v>
      </c>
      <c r="AA101" s="117" t="n">
        <v>65000</v>
      </c>
      <c r="AB101" s="118" t="n">
        <v>450</v>
      </c>
    </row>
    <row r="102">
      <c r="A102" s="111" t="n"/>
      <c r="B102" s="111" t="n"/>
      <c r="C102" s="111" t="n"/>
      <c r="D102" s="111" t="n"/>
      <c r="E102" s="111" t="n"/>
      <c r="F102" s="111" t="n"/>
      <c r="G102" s="111" t="n"/>
      <c r="H102" s="111" t="n"/>
      <c r="I102" s="111" t="n"/>
      <c r="J102" s="111" t="n"/>
      <c r="K102" s="111" t="n"/>
      <c r="L102" s="111" t="n"/>
      <c r="M102" s="111" t="n"/>
      <c r="N102" s="111" t="n"/>
      <c r="O102" s="111" t="n"/>
      <c r="P102" s="111" t="n"/>
      <c r="Q102" s="111" t="n"/>
      <c r="R102" s="111" t="n"/>
      <c r="S102" s="111" t="n"/>
      <c r="T102" s="111" t="n"/>
      <c r="U102" s="111" t="n"/>
      <c r="V102" s="111" t="n"/>
      <c r="W102" s="111" t="n"/>
      <c r="X102" s="111" t="n"/>
      <c r="Y102" s="111" t="n"/>
      <c r="Z102" s="111" t="n"/>
      <c r="AA102" s="111" t="n"/>
      <c r="AB102" s="111" t="n"/>
    </row>
    <row r="103">
      <c r="A103" s="111" t="n"/>
      <c r="B103" s="111" t="n"/>
      <c r="C103" s="111" t="n"/>
      <c r="D103" s="111" t="n"/>
      <c r="E103" s="111" t="n"/>
      <c r="F103" s="111" t="n"/>
      <c r="G103" s="111" t="n"/>
      <c r="H103" s="111" t="n"/>
      <c r="I103" s="111" t="n"/>
      <c r="J103" s="111" t="n"/>
      <c r="K103" s="111" t="n"/>
      <c r="L103" s="111" t="n"/>
      <c r="M103" s="111" t="n"/>
      <c r="N103" s="111" t="n"/>
      <c r="O103" s="111" t="n"/>
      <c r="P103" s="111" t="n"/>
      <c r="Q103" s="111" t="n"/>
      <c r="R103" s="111" t="n"/>
      <c r="S103" s="111" t="n"/>
      <c r="T103" s="111" t="n"/>
      <c r="U103" s="111" t="n"/>
      <c r="V103" s="111" t="n"/>
      <c r="W103" s="111" t="n"/>
      <c r="X103" s="111" t="n"/>
      <c r="Y103" s="111" t="n"/>
      <c r="Z103" s="111" t="n"/>
      <c r="AA103" s="111" t="n"/>
      <c r="AB103" s="111" t="n"/>
    </row>
    <row r="104">
      <c r="A104" s="111" t="n"/>
      <c r="B104" s="111" t="n"/>
      <c r="C104" s="111" t="n"/>
      <c r="D104" s="111" t="n"/>
      <c r="E104" s="111" t="n"/>
      <c r="F104" s="111" t="n"/>
      <c r="G104" s="111" t="n"/>
      <c r="H104" s="111" t="n"/>
      <c r="I104" s="111" t="n"/>
      <c r="J104" s="111" t="n"/>
      <c r="K104" s="111" t="n"/>
      <c r="L104" s="111" t="n"/>
      <c r="M104" s="111" t="n"/>
      <c r="N104" s="111" t="n"/>
      <c r="O104" s="111" t="n"/>
      <c r="P104" s="111" t="n"/>
      <c r="Q104" s="111" t="n"/>
      <c r="R104" s="111" t="n"/>
      <c r="S104" s="111" t="n"/>
      <c r="T104" s="111" t="n"/>
      <c r="U104" s="111" t="n"/>
      <c r="V104" s="111" t="n"/>
      <c r="W104" s="111" t="n"/>
      <c r="X104" s="111" t="n"/>
      <c r="Y104" s="111" t="n"/>
      <c r="Z104" s="111" t="n"/>
      <c r="AA104" s="111" t="n"/>
      <c r="AB104" s="111" t="n"/>
    </row>
    <row r="105">
      <c r="A105" s="111" t="n"/>
      <c r="B105" s="111" t="n"/>
      <c r="C105" s="111" t="n"/>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c r="AB105" s="111" t="n"/>
    </row>
    <row r="106">
      <c r="A106" s="111" t="n"/>
      <c r="B106" s="111" t="n"/>
      <c r="C106" s="111" t="n"/>
      <c r="D106" s="111" t="n"/>
      <c r="E106" s="111" t="n"/>
      <c r="F106" s="111" t="n"/>
      <c r="G106" s="111" t="n"/>
      <c r="H106" s="111" t="n"/>
      <c r="I106" s="111" t="n"/>
      <c r="J106" s="111" t="n"/>
      <c r="K106" s="111" t="n"/>
      <c r="L106" s="111" t="n"/>
      <c r="M106" s="111" t="n"/>
      <c r="N106" s="111" t="n"/>
      <c r="O106" s="111" t="n"/>
      <c r="P106" s="111" t="n"/>
      <c r="Q106" s="111" t="n"/>
      <c r="R106" s="111" t="n"/>
      <c r="S106" s="111" t="n"/>
      <c r="T106" s="111" t="n"/>
      <c r="U106" s="111" t="n"/>
      <c r="V106" s="111" t="n"/>
      <c r="W106" s="111" t="n"/>
      <c r="X106" s="111" t="n"/>
      <c r="Y106" s="111" t="n"/>
      <c r="Z106" s="111" t="n"/>
      <c r="AA106" s="111" t="n"/>
      <c r="AB106" s="111" t="n"/>
    </row>
    <row r="107">
      <c r="A107" s="111" t="n"/>
      <c r="B107" s="111" t="n"/>
      <c r="C107" s="111" t="n"/>
      <c r="D107" s="111" t="n"/>
      <c r="E107" s="111" t="n"/>
      <c r="F107" s="111" t="n"/>
      <c r="G107" s="111" t="n"/>
      <c r="H107" s="111" t="n"/>
      <c r="I107" s="111" t="n"/>
      <c r="J107" s="111" t="n"/>
      <c r="K107" s="111" t="n"/>
      <c r="L107" s="111" t="n"/>
      <c r="M107" s="111" t="n"/>
      <c r="N107" s="111" t="n"/>
      <c r="O107" s="111" t="n"/>
      <c r="P107" s="111" t="n"/>
      <c r="Q107" s="111" t="n"/>
      <c r="R107" s="111" t="n"/>
      <c r="S107" s="111" t="n"/>
      <c r="T107" s="111" t="n"/>
      <c r="U107" s="111" t="n"/>
      <c r="V107" s="111" t="n"/>
      <c r="W107" s="111" t="n"/>
      <c r="X107" s="111" t="n"/>
      <c r="Y107" s="111" t="n"/>
      <c r="Z107" s="111" t="n"/>
      <c r="AA107" s="111" t="n"/>
      <c r="AB107" s="111" t="n"/>
    </row>
    <row r="108">
      <c r="A108" s="111" t="n"/>
      <c r="B108" s="111" t="n"/>
      <c r="C108" s="111" t="n"/>
      <c r="D108" s="111" t="n"/>
      <c r="E108" s="111" t="n"/>
      <c r="F108" s="111" t="n"/>
      <c r="G108" s="111" t="n"/>
      <c r="H108" s="111" t="n"/>
      <c r="I108" s="111" t="n"/>
      <c r="J108" s="111" t="n"/>
      <c r="K108" s="111" t="n"/>
      <c r="L108" s="111" t="n"/>
      <c r="M108" s="111" t="n"/>
      <c r="N108" s="111" t="n"/>
      <c r="O108" s="111" t="n"/>
      <c r="P108" s="111" t="n"/>
      <c r="Q108" s="111" t="n"/>
      <c r="R108" s="111" t="n"/>
      <c r="S108" s="111" t="n"/>
      <c r="T108" s="111" t="n"/>
      <c r="U108" s="111" t="n"/>
      <c r="V108" s="111" t="n"/>
      <c r="W108" s="111" t="n"/>
      <c r="X108" s="111" t="n"/>
      <c r="Y108" s="111" t="n"/>
      <c r="Z108" s="111" t="n"/>
      <c r="AA108" s="111" t="n"/>
      <c r="AB108" s="111" t="n"/>
    </row>
    <row r="109">
      <c r="A109" s="111" t="n"/>
      <c r="B109" s="111" t="n"/>
      <c r="C109" s="111" t="n"/>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c r="AB109" s="111" t="n"/>
    </row>
    <row r="110">
      <c r="A110" s="111" t="n"/>
      <c r="B110" s="111" t="n"/>
      <c r="C110" s="111" t="n"/>
      <c r="D110" s="111" t="n"/>
      <c r="E110" s="111" t="n"/>
      <c r="F110" s="111" t="n"/>
      <c r="G110" s="111" t="n"/>
      <c r="H110" s="111" t="n"/>
      <c r="I110" s="111" t="n"/>
      <c r="J110" s="111" t="n"/>
      <c r="K110" s="111" t="n"/>
      <c r="L110" s="111" t="n"/>
      <c r="M110" s="111" t="n"/>
      <c r="N110" s="111" t="n"/>
      <c r="O110" s="111" t="n"/>
      <c r="P110" s="111" t="n"/>
      <c r="Q110" s="111" t="n"/>
      <c r="R110" s="111" t="n"/>
      <c r="S110" s="111" t="n"/>
      <c r="T110" s="111" t="n"/>
      <c r="U110" s="111" t="n"/>
      <c r="V110" s="111" t="n"/>
      <c r="W110" s="111" t="n"/>
      <c r="X110" s="111" t="n"/>
      <c r="Y110" s="111" t="n"/>
      <c r="Z110" s="111" t="n"/>
      <c r="AA110" s="111" t="n"/>
      <c r="AB110" s="111" t="n"/>
    </row>
    <row r="111">
      <c r="A111" s="111" t="n"/>
      <c r="B111" s="111" t="n"/>
      <c r="C111" s="111" t="n"/>
      <c r="D111" s="111" t="n"/>
      <c r="E111" s="111" t="n"/>
      <c r="F111" s="111" t="n"/>
      <c r="G111" s="111" t="n"/>
      <c r="H111" s="111" t="n"/>
      <c r="I111" s="111" t="n"/>
      <c r="J111" s="111" t="n"/>
      <c r="K111" s="111" t="n"/>
      <c r="L111" s="111" t="n"/>
      <c r="M111" s="111" t="n"/>
      <c r="N111" s="111" t="n"/>
      <c r="O111" s="111" t="n"/>
      <c r="P111" s="111" t="n"/>
      <c r="Q111" s="111" t="n"/>
      <c r="R111" s="111" t="n"/>
      <c r="S111" s="111" t="n"/>
      <c r="T111" s="111" t="n"/>
      <c r="U111" s="111" t="n"/>
      <c r="V111" s="111" t="n"/>
      <c r="W111" s="111" t="n"/>
      <c r="X111" s="111" t="n"/>
      <c r="Y111" s="111" t="n"/>
      <c r="Z111" s="111" t="n"/>
      <c r="AA111" s="111" t="n"/>
      <c r="AB111" s="111" t="n"/>
    </row>
    <row r="112">
      <c r="A112" s="111" t="n"/>
      <c r="B112" s="111" t="n"/>
      <c r="C112" s="111" t="n"/>
      <c r="D112" s="111" t="n"/>
      <c r="E112" s="111" t="n"/>
      <c r="F112" s="111" t="n"/>
      <c r="G112" s="111" t="n"/>
      <c r="H112" s="111" t="n"/>
      <c r="I112" s="111" t="n"/>
      <c r="J112" s="111" t="n"/>
      <c r="K112" s="111" t="n"/>
      <c r="L112" s="111" t="n"/>
      <c r="M112" s="111" t="n"/>
      <c r="N112" s="111" t="n"/>
      <c r="O112" s="111" t="n"/>
      <c r="P112" s="111" t="n"/>
      <c r="Q112" s="111" t="n"/>
      <c r="R112" s="111" t="n"/>
      <c r="S112" s="111" t="n"/>
      <c r="T112" s="111" t="n"/>
      <c r="U112" s="111" t="n"/>
      <c r="V112" s="111" t="n"/>
      <c r="W112" s="111" t="n"/>
      <c r="X112" s="111" t="n"/>
      <c r="Y112" s="111" t="n"/>
      <c r="Z112" s="111" t="n"/>
      <c r="AA112" s="111" t="n"/>
      <c r="AB112" s="111" t="n"/>
    </row>
    <row r="113">
      <c r="A113" s="111" t="n"/>
      <c r="B113" s="111" t="n"/>
      <c r="C113" s="111" t="n"/>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c r="AB113" s="111" t="n"/>
    </row>
  </sheetData>
  <mergeCells count="2">
    <mergeCell ref="Y69:Z69"/>
    <mergeCell ref="AA69:AB69"/>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3.xml><?xml version="1.0" encoding="utf-8"?>
<worksheet xmlns="http://schemas.openxmlformats.org/spreadsheetml/2006/main">
  <sheetPr codeName="Sayfa12" published="0">
    <outlinePr summaryBelow="1" summaryRight="1"/>
    <pageSetUpPr/>
  </sheetPr>
  <dimension ref="AG2:AV115"/>
  <sheetViews>
    <sheetView zoomScale="85" zoomScaleNormal="85" workbookViewId="0">
      <selection activeCell="AW53" sqref="AW53"/>
    </sheetView>
  </sheetViews>
  <sheetFormatPr baseColWidth="8" defaultRowHeight="15"/>
  <cols>
    <col width="9.14453125" customWidth="1" style="122" min="16" max="16"/>
    <col width="7.12890625" customWidth="1" style="510" min="49" max="49"/>
  </cols>
  <sheetData>
    <row r="2">
      <c r="AG2" s="1119" t="n"/>
      <c r="AH2" s="527" t="n"/>
      <c r="AI2" s="527" t="n"/>
      <c r="AJ2" s="527" t="n"/>
      <c r="AK2" s="527" t="n"/>
      <c r="AL2" s="527" t="n"/>
      <c r="AM2" s="527" t="n"/>
      <c r="AN2" s="527" t="n"/>
      <c r="AO2" s="527" t="n"/>
      <c r="AP2" s="527" t="n"/>
      <c r="AQ2" s="527" t="n"/>
      <c r="AR2" s="527" t="n"/>
      <c r="AS2" s="527" t="n"/>
      <c r="AT2" s="527" t="n"/>
      <c r="AU2" s="527" t="n"/>
      <c r="AV2" s="527" t="n"/>
    </row>
    <row r="3">
      <c r="AG3" s="1119" t="n"/>
      <c r="AH3" s="527" t="n"/>
      <c r="AI3" s="527" t="n"/>
      <c r="AJ3" s="527" t="n"/>
      <c r="AK3" s="527" t="n"/>
      <c r="AL3" s="527" t="n"/>
      <c r="AM3" s="527" t="n"/>
      <c r="AN3" s="527" t="n"/>
      <c r="AO3" s="527" t="n"/>
      <c r="AP3" s="527" t="n"/>
      <c r="AQ3" s="527" t="n"/>
      <c r="AR3" s="527" t="n"/>
      <c r="AS3" s="527" t="n"/>
      <c r="AT3" s="527" t="n"/>
      <c r="AU3" s="527" t="n"/>
      <c r="AV3" s="527" t="n"/>
    </row>
    <row r="4">
      <c r="AG4" s="1119" t="n"/>
      <c r="AH4" s="527" t="n"/>
      <c r="AI4" s="527" t="n"/>
      <c r="AJ4" s="527" t="n"/>
      <c r="AK4" s="527" t="n"/>
      <c r="AL4" s="527" t="n"/>
      <c r="AM4" s="527" t="n"/>
      <c r="AN4" s="527" t="n"/>
      <c r="AO4" s="527" t="n"/>
      <c r="AP4" s="527" t="n"/>
      <c r="AQ4" s="527" t="n"/>
      <c r="AR4" s="527" t="n"/>
      <c r="AS4" s="527" t="n"/>
      <c r="AT4" s="527" t="n"/>
      <c r="AU4" s="527" t="n"/>
      <c r="AV4" s="527" t="n"/>
    </row>
    <row r="5">
      <c r="AG5" s="1119" t="n"/>
      <c r="AH5" s="527" t="n"/>
      <c r="AI5" s="527" t="n"/>
      <c r="AJ5" s="527" t="n"/>
      <c r="AK5" s="527" t="n"/>
      <c r="AL5" s="527" t="n"/>
      <c r="AM5" s="527" t="n"/>
      <c r="AN5" s="527" t="n"/>
      <c r="AO5" s="527" t="n"/>
      <c r="AP5" s="527" t="n"/>
      <c r="AQ5" s="527" t="n"/>
      <c r="AR5" s="527" t="n"/>
      <c r="AS5" s="527" t="n"/>
      <c r="AT5" s="527" t="n"/>
      <c r="AU5" s="527" t="n"/>
      <c r="AV5" s="527" t="n"/>
    </row>
    <row r="6">
      <c r="AG6" s="1119" t="n"/>
      <c r="AH6" s="527" t="n"/>
      <c r="AI6" s="527" t="n"/>
      <c r="AJ6" s="527" t="n"/>
      <c r="AK6" s="527" t="n"/>
      <c r="AL6" s="527" t="n"/>
      <c r="AM6" s="527" t="n"/>
      <c r="AN6" s="527" t="n"/>
      <c r="AO6" s="527" t="n"/>
      <c r="AP6" s="527" t="n"/>
      <c r="AQ6" s="527" t="n"/>
      <c r="AR6" s="527" t="n"/>
      <c r="AS6" s="527" t="n"/>
      <c r="AT6" s="527" t="n"/>
      <c r="AU6" s="527" t="n"/>
      <c r="AV6" s="527" t="n"/>
    </row>
    <row r="7">
      <c r="AG7" s="1119" t="n"/>
      <c r="AH7" s="527" t="n"/>
      <c r="AI7" s="527" t="n"/>
      <c r="AJ7" s="527" t="n"/>
      <c r="AK7" s="527" t="n"/>
      <c r="AL7" s="527" t="n"/>
      <c r="AM7" s="527" t="n"/>
      <c r="AN7" s="527" t="n"/>
      <c r="AO7" s="527" t="n"/>
      <c r="AP7" s="527" t="n"/>
      <c r="AQ7" s="527" t="n"/>
      <c r="AR7" s="527" t="n"/>
      <c r="AS7" s="527" t="n"/>
      <c r="AT7" s="527" t="n"/>
      <c r="AU7" s="527" t="n"/>
      <c r="AV7" s="527" t="n"/>
    </row>
    <row r="8">
      <c r="AG8" s="1119" t="n"/>
      <c r="AH8" s="527" t="n"/>
      <c r="AI8" s="527" t="n"/>
      <c r="AJ8" s="527" t="n"/>
      <c r="AK8" s="527" t="n"/>
      <c r="AL8" s="527" t="n"/>
      <c r="AM8" s="527" t="n"/>
      <c r="AN8" s="527" t="n"/>
      <c r="AO8" s="527" t="n"/>
      <c r="AP8" s="527" t="n"/>
      <c r="AQ8" s="527" t="n"/>
      <c r="AR8" s="527" t="n"/>
      <c r="AS8" s="527" t="n"/>
      <c r="AT8" s="527" t="n"/>
      <c r="AU8" s="527" t="n"/>
      <c r="AV8" s="527" t="n"/>
    </row>
    <row r="9">
      <c r="AG9" s="1119" t="n"/>
      <c r="AH9" s="527" t="n"/>
      <c r="AI9" s="527" t="n"/>
      <c r="AJ9" s="527" t="n"/>
      <c r="AK9" s="527" t="n"/>
      <c r="AL9" s="527" t="n"/>
      <c r="AM9" s="527" t="n"/>
      <c r="AN9" s="527" t="n"/>
      <c r="AO9" s="527" t="n"/>
      <c r="AP9" s="527" t="n"/>
      <c r="AQ9" s="527" t="n"/>
      <c r="AR9" s="527" t="n"/>
      <c r="AS9" s="527" t="n"/>
      <c r="AT9" s="527" t="n"/>
      <c r="AU9" s="527" t="n"/>
      <c r="AV9" s="527" t="n"/>
    </row>
    <row r="10">
      <c r="AG10" s="1119" t="n"/>
      <c r="AH10" s="527" t="n"/>
      <c r="AI10" s="527" t="n"/>
      <c r="AJ10" s="527" t="n"/>
      <c r="AK10" s="527" t="n"/>
      <c r="AL10" s="527" t="n"/>
      <c r="AM10" s="527" t="n"/>
      <c r="AN10" s="527" t="n"/>
      <c r="AO10" s="527" t="n"/>
      <c r="AP10" s="527" t="n"/>
      <c r="AQ10" s="527" t="n"/>
      <c r="AR10" s="527" t="n"/>
      <c r="AS10" s="527" t="n"/>
      <c r="AT10" s="527" t="n"/>
      <c r="AU10" s="527" t="n"/>
      <c r="AV10" s="527" t="n"/>
    </row>
    <row r="11">
      <c r="AG11" s="1119" t="n"/>
      <c r="AH11" s="527" t="n"/>
      <c r="AI11" s="527" t="n"/>
      <c r="AJ11" s="527" t="n"/>
      <c r="AK11" s="527" t="n"/>
      <c r="AL11" s="527" t="n"/>
      <c r="AM11" s="527" t="n"/>
      <c r="AN11" s="527" t="n"/>
      <c r="AO11" s="527" t="n"/>
      <c r="AP11" s="527" t="n"/>
      <c r="AQ11" s="527" t="n"/>
      <c r="AR11" s="527" t="n"/>
      <c r="AS11" s="527" t="n"/>
      <c r="AT11" s="527" t="n"/>
      <c r="AU11" s="527" t="n"/>
      <c r="AV11" s="527" t="n"/>
    </row>
    <row r="12">
      <c r="AG12" s="1119" t="n"/>
      <c r="AH12" s="527" t="n"/>
      <c r="AI12" s="527" t="n"/>
      <c r="AJ12" s="527" t="n"/>
      <c r="AK12" s="527" t="n"/>
      <c r="AL12" s="527" t="n"/>
      <c r="AM12" s="527" t="n"/>
      <c r="AN12" s="527" t="n"/>
      <c r="AO12" s="527" t="n"/>
      <c r="AP12" s="527" t="n"/>
      <c r="AQ12" s="527" t="n"/>
      <c r="AR12" s="527" t="n"/>
      <c r="AS12" s="527" t="n"/>
      <c r="AT12" s="527" t="n"/>
      <c r="AU12" s="527" t="n"/>
      <c r="AV12" s="527" t="n"/>
    </row>
    <row r="13">
      <c r="AG13" s="1119" t="n"/>
      <c r="AH13" s="527" t="n"/>
      <c r="AI13" s="527" t="n"/>
      <c r="AJ13" s="527" t="n"/>
      <c r="AK13" s="527" t="n"/>
      <c r="AL13" s="527" t="n"/>
      <c r="AM13" s="527" t="n"/>
      <c r="AN13" s="527" t="n"/>
      <c r="AO13" s="527" t="n"/>
      <c r="AP13" s="527" t="n"/>
      <c r="AQ13" s="527" t="n"/>
      <c r="AR13" s="527" t="n"/>
      <c r="AS13" s="527" t="n"/>
      <c r="AT13" s="527" t="n"/>
      <c r="AU13" s="527" t="n"/>
      <c r="AV13" s="527" t="n"/>
    </row>
    <row r="14">
      <c r="AG14" s="1119" t="n"/>
      <c r="AH14" s="527" t="n"/>
      <c r="AI14" s="527" t="n"/>
      <c r="AJ14" s="527" t="n"/>
      <c r="AK14" s="527" t="n"/>
      <c r="AL14" s="527" t="n"/>
      <c r="AM14" s="527" t="n"/>
      <c r="AN14" s="527" t="n"/>
      <c r="AO14" s="527" t="n"/>
      <c r="AP14" s="527" t="n"/>
      <c r="AQ14" s="527" t="n"/>
      <c r="AR14" s="527" t="n"/>
      <c r="AS14" s="527" t="n"/>
      <c r="AT14" s="527" t="n"/>
      <c r="AU14" s="527" t="n"/>
      <c r="AV14" s="527" t="n"/>
    </row>
    <row r="15">
      <c r="AG15" s="1119" t="n"/>
      <c r="AH15" s="527" t="n"/>
      <c r="AI15" s="527" t="n"/>
      <c r="AJ15" s="527" t="n"/>
      <c r="AK15" s="527" t="n"/>
      <c r="AL15" s="527" t="n"/>
      <c r="AM15" s="527" t="n"/>
      <c r="AN15" s="527" t="n"/>
      <c r="AO15" s="527" t="n"/>
      <c r="AP15" s="527" t="n"/>
      <c r="AQ15" s="527" t="n"/>
      <c r="AR15" s="527" t="n"/>
      <c r="AS15" s="527" t="n"/>
      <c r="AT15" s="527" t="n"/>
      <c r="AU15" s="527" t="n"/>
      <c r="AV15" s="527" t="n"/>
    </row>
    <row r="16">
      <c r="AG16" s="1119" t="n"/>
      <c r="AH16" s="527" t="n"/>
      <c r="AI16" s="527" t="n"/>
      <c r="AJ16" s="527" t="n"/>
      <c r="AK16" s="527" t="n"/>
      <c r="AL16" s="527" t="n"/>
      <c r="AM16" s="527" t="n"/>
      <c r="AN16" s="527" t="n"/>
      <c r="AO16" s="527" t="n"/>
      <c r="AP16" s="527" t="n"/>
      <c r="AQ16" s="527" t="n"/>
      <c r="AR16" s="527" t="n"/>
      <c r="AS16" s="527" t="n"/>
      <c r="AT16" s="527" t="n"/>
      <c r="AU16" s="527" t="n"/>
      <c r="AV16" s="527" t="n"/>
    </row>
    <row r="17">
      <c r="AG17" s="1119" t="n"/>
      <c r="AH17" s="527" t="n"/>
      <c r="AI17" s="527" t="n"/>
      <c r="AJ17" s="527" t="n"/>
      <c r="AK17" s="527" t="n"/>
      <c r="AL17" s="527" t="n"/>
      <c r="AM17" s="527" t="n"/>
      <c r="AN17" s="527" t="n"/>
      <c r="AO17" s="527" t="n"/>
      <c r="AP17" s="527" t="n"/>
      <c r="AQ17" s="527" t="n"/>
      <c r="AR17" s="527" t="n"/>
      <c r="AS17" s="527" t="n"/>
      <c r="AT17" s="527" t="n"/>
      <c r="AU17" s="527" t="n"/>
      <c r="AV17" s="527" t="n"/>
    </row>
    <row r="18">
      <c r="AG18" s="1119" t="n"/>
      <c r="AH18" s="527" t="n"/>
      <c r="AI18" s="527" t="n"/>
      <c r="AJ18" s="527" t="n"/>
      <c r="AK18" s="527" t="n"/>
      <c r="AL18" s="527" t="n"/>
      <c r="AM18" s="527" t="n"/>
      <c r="AN18" s="527" t="n"/>
      <c r="AO18" s="527" t="n"/>
      <c r="AP18" s="527" t="n"/>
      <c r="AQ18" s="527" t="n"/>
      <c r="AR18" s="527" t="n"/>
      <c r="AS18" s="527" t="n"/>
      <c r="AT18" s="527" t="n"/>
      <c r="AU18" s="527" t="n"/>
      <c r="AV18" s="527" t="n"/>
    </row>
    <row r="19">
      <c r="AG19" s="1119" t="n"/>
      <c r="AH19" s="527" t="n"/>
      <c r="AI19" s="527" t="n"/>
      <c r="AJ19" s="527" t="n"/>
      <c r="AK19" s="527" t="n"/>
      <c r="AL19" s="527" t="n"/>
      <c r="AM19" s="527" t="n"/>
      <c r="AN19" s="527" t="n"/>
      <c r="AO19" s="527" t="n"/>
      <c r="AP19" s="527" t="n"/>
      <c r="AQ19" s="527" t="n"/>
      <c r="AR19" s="527" t="n"/>
      <c r="AS19" s="527" t="n"/>
      <c r="AT19" s="527" t="n"/>
      <c r="AU19" s="527" t="n"/>
      <c r="AV19" s="527" t="n"/>
    </row>
    <row r="20">
      <c r="AG20" s="1119" t="n"/>
      <c r="AH20" s="527" t="n"/>
      <c r="AI20" s="527" t="n"/>
      <c r="AJ20" s="527" t="n"/>
      <c r="AK20" s="527" t="n"/>
      <c r="AL20" s="527" t="n"/>
      <c r="AM20" s="527" t="n"/>
      <c r="AN20" s="527" t="n"/>
      <c r="AO20" s="527" t="n"/>
      <c r="AP20" s="527" t="n"/>
      <c r="AQ20" s="527" t="n"/>
      <c r="AR20" s="527" t="n"/>
      <c r="AS20" s="527" t="n"/>
      <c r="AT20" s="527" t="n"/>
      <c r="AU20" s="527" t="n"/>
      <c r="AV20" s="527" t="n"/>
    </row>
    <row r="21">
      <c r="AG21" s="1119" t="n"/>
      <c r="AH21" s="527" t="n"/>
      <c r="AI21" s="527" t="n"/>
      <c r="AJ21" s="527" t="n"/>
      <c r="AK21" s="527" t="n"/>
      <c r="AL21" s="527" t="n"/>
      <c r="AM21" s="527" t="n"/>
      <c r="AN21" s="527" t="n"/>
      <c r="AO21" s="527" t="n"/>
      <c r="AP21" s="527" t="n"/>
      <c r="AQ21" s="527" t="n"/>
      <c r="AR21" s="527" t="n"/>
      <c r="AS21" s="527" t="n"/>
      <c r="AT21" s="527" t="n"/>
      <c r="AU21" s="527" t="n"/>
      <c r="AV21" s="527" t="n"/>
    </row>
    <row r="22">
      <c r="AG22" s="1119" t="n"/>
      <c r="AH22" s="527" t="n"/>
      <c r="AI22" s="527" t="n"/>
      <c r="AJ22" s="527" t="n"/>
      <c r="AK22" s="527" t="n"/>
      <c r="AL22" s="527" t="n"/>
      <c r="AM22" s="527" t="n"/>
      <c r="AN22" s="527" t="n"/>
      <c r="AO22" s="527" t="n"/>
      <c r="AP22" s="527" t="n"/>
      <c r="AQ22" s="527" t="n"/>
      <c r="AR22" s="527" t="n"/>
      <c r="AS22" s="527" t="n"/>
      <c r="AT22" s="527" t="n"/>
      <c r="AU22" s="527" t="n"/>
      <c r="AV22" s="527" t="n"/>
    </row>
    <row r="23">
      <c r="AG23" s="1119" t="n"/>
      <c r="AH23" s="527" t="n"/>
      <c r="AI23" s="527" t="n"/>
      <c r="AJ23" s="527" t="n"/>
      <c r="AK23" s="527" t="n"/>
      <c r="AL23" s="527" t="n"/>
      <c r="AM23" s="527" t="n"/>
      <c r="AN23" s="527" t="n"/>
      <c r="AO23" s="527" t="n"/>
      <c r="AP23" s="527" t="n"/>
      <c r="AQ23" s="527" t="n"/>
      <c r="AR23" s="527" t="n"/>
      <c r="AS23" s="527" t="n"/>
      <c r="AT23" s="527" t="n"/>
      <c r="AU23" s="527" t="n"/>
      <c r="AV23" s="527" t="n"/>
    </row>
    <row r="24">
      <c r="AG24" s="1119" t="n"/>
      <c r="AH24" s="527" t="n"/>
      <c r="AI24" s="527" t="n"/>
      <c r="AJ24" s="527" t="n"/>
      <c r="AK24" s="527" t="n"/>
      <c r="AL24" s="527" t="n"/>
      <c r="AM24" s="527" t="n"/>
      <c r="AN24" s="527" t="n"/>
      <c r="AO24" s="527" t="n"/>
      <c r="AP24" s="527" t="n"/>
      <c r="AQ24" s="527" t="n"/>
      <c r="AR24" s="527" t="n"/>
      <c r="AS24" s="527" t="n"/>
      <c r="AT24" s="527" t="n"/>
      <c r="AU24" s="527" t="n"/>
      <c r="AV24" s="527" t="n"/>
    </row>
    <row r="25">
      <c r="AG25" s="1119" t="n"/>
      <c r="AH25" s="527" t="n"/>
      <c r="AI25" s="527" t="n"/>
      <c r="AJ25" s="527" t="n"/>
      <c r="AK25" s="527" t="n"/>
      <c r="AL25" s="527" t="n"/>
      <c r="AM25" s="527" t="n"/>
      <c r="AN25" s="527" t="n"/>
      <c r="AO25" s="527" t="n"/>
      <c r="AP25" s="527" t="n"/>
      <c r="AQ25" s="527" t="n"/>
      <c r="AR25" s="527" t="n"/>
      <c r="AS25" s="527" t="n"/>
      <c r="AT25" s="527" t="n"/>
      <c r="AU25" s="527" t="n"/>
      <c r="AV25" s="527" t="n"/>
    </row>
    <row r="26">
      <c r="AG26" s="1119" t="n"/>
      <c r="AH26" s="527" t="n"/>
      <c r="AI26" s="527" t="n"/>
      <c r="AJ26" s="527" t="n"/>
      <c r="AK26" s="527" t="n"/>
      <c r="AL26" s="527" t="n"/>
      <c r="AM26" s="527" t="n"/>
      <c r="AN26" s="527" t="n"/>
      <c r="AO26" s="527" t="n"/>
      <c r="AP26" s="527" t="n"/>
      <c r="AQ26" s="527" t="n"/>
      <c r="AR26" s="527" t="n"/>
      <c r="AS26" s="527" t="n"/>
      <c r="AT26" s="527" t="n"/>
      <c r="AU26" s="527" t="n"/>
      <c r="AV26" s="527" t="n"/>
    </row>
    <row r="27">
      <c r="AG27" s="1119" t="n"/>
      <c r="AH27" s="527" t="n"/>
      <c r="AI27" s="527" t="n"/>
      <c r="AJ27" s="527" t="n"/>
      <c r="AK27" s="527" t="n"/>
      <c r="AL27" s="527" t="n"/>
      <c r="AM27" s="527" t="n"/>
      <c r="AN27" s="527" t="n"/>
      <c r="AO27" s="527" t="n"/>
      <c r="AP27" s="527" t="n"/>
      <c r="AQ27" s="527" t="n"/>
      <c r="AR27" s="527" t="n"/>
      <c r="AS27" s="527" t="n"/>
      <c r="AT27" s="527" t="n"/>
      <c r="AU27" s="527" t="n"/>
      <c r="AV27" s="527" t="n"/>
    </row>
    <row r="28">
      <c r="AG28" s="1119" t="n"/>
      <c r="AH28" s="527" t="n"/>
      <c r="AI28" s="527" t="n"/>
      <c r="AJ28" s="527" t="n"/>
      <c r="AK28" s="527" t="n"/>
      <c r="AL28" s="527" t="n"/>
      <c r="AM28" s="527" t="n"/>
      <c r="AN28" s="527" t="n"/>
      <c r="AO28" s="527" t="n"/>
      <c r="AP28" s="527" t="n"/>
      <c r="AQ28" s="527" t="n"/>
      <c r="AR28" s="527" t="n"/>
      <c r="AS28" s="527" t="n"/>
      <c r="AT28" s="527" t="n"/>
      <c r="AU28" s="527" t="n"/>
      <c r="AV28" s="527" t="n"/>
    </row>
    <row r="29">
      <c r="AG29" s="1119" t="n"/>
      <c r="AH29" s="527" t="n"/>
      <c r="AI29" s="527" t="n"/>
      <c r="AJ29" s="527" t="n"/>
      <c r="AK29" s="527" t="n"/>
      <c r="AL29" s="527" t="n"/>
      <c r="AM29" s="527" t="n"/>
      <c r="AN29" s="527" t="n"/>
      <c r="AO29" s="527" t="n"/>
      <c r="AP29" s="527" t="n"/>
      <c r="AQ29" s="527" t="n"/>
      <c r="AR29" s="527" t="n"/>
      <c r="AS29" s="527" t="n"/>
      <c r="AT29" s="527" t="n"/>
      <c r="AU29" s="527" t="n"/>
      <c r="AV29" s="527" t="n"/>
    </row>
    <row r="30">
      <c r="AG30" s="1119" t="n"/>
      <c r="AH30" s="527" t="n"/>
      <c r="AI30" s="527" t="n"/>
      <c r="AJ30" s="527" t="n"/>
      <c r="AK30" s="527" t="n"/>
      <c r="AL30" s="527" t="n"/>
      <c r="AM30" s="527" t="n"/>
      <c r="AN30" s="527" t="n"/>
      <c r="AO30" s="527" t="n"/>
      <c r="AP30" s="527" t="n"/>
      <c r="AQ30" s="527" t="n"/>
      <c r="AR30" s="527" t="n"/>
      <c r="AS30" s="527" t="n"/>
      <c r="AT30" s="527" t="n"/>
      <c r="AU30" s="527" t="n"/>
      <c r="AV30" s="527" t="n"/>
    </row>
    <row r="31">
      <c r="AG31" s="1119" t="n"/>
      <c r="AH31" s="527" t="n"/>
      <c r="AI31" s="527" t="n"/>
      <c r="AJ31" s="527" t="n"/>
      <c r="AK31" s="527" t="n"/>
      <c r="AL31" s="527" t="n"/>
      <c r="AM31" s="527" t="n"/>
      <c r="AN31" s="527" t="n"/>
      <c r="AO31" s="527" t="n"/>
      <c r="AP31" s="527" t="n"/>
      <c r="AQ31" s="527" t="n"/>
      <c r="AR31" s="527" t="n"/>
      <c r="AS31" s="527" t="n"/>
      <c r="AT31" s="527" t="n"/>
      <c r="AU31" s="527" t="n"/>
      <c r="AV31" s="527" t="n"/>
    </row>
    <row r="32">
      <c r="AG32" s="1119" t="n"/>
      <c r="AH32" s="527" t="n"/>
      <c r="AI32" s="527" t="n"/>
      <c r="AJ32" s="527" t="n"/>
      <c r="AK32" s="527" t="n"/>
      <c r="AL32" s="527" t="n"/>
      <c r="AM32" s="527" t="n"/>
      <c r="AN32" s="527" t="n"/>
      <c r="AO32" s="527" t="n"/>
      <c r="AP32" s="527" t="n"/>
      <c r="AQ32" s="527" t="n"/>
      <c r="AR32" s="527" t="n"/>
      <c r="AS32" s="527" t="n"/>
      <c r="AT32" s="527" t="n"/>
      <c r="AU32" s="527" t="n"/>
      <c r="AV32" s="527" t="n"/>
    </row>
    <row r="33">
      <c r="AG33" s="1119" t="n"/>
      <c r="AH33" s="527" t="n"/>
      <c r="AI33" s="527" t="n"/>
      <c r="AJ33" s="527" t="n"/>
      <c r="AK33" s="527" t="n"/>
      <c r="AL33" s="527" t="n"/>
      <c r="AM33" s="527" t="n"/>
      <c r="AN33" s="527" t="n"/>
      <c r="AO33" s="527" t="n"/>
      <c r="AP33" s="527" t="n"/>
      <c r="AQ33" s="527" t="n"/>
      <c r="AR33" s="527" t="n"/>
      <c r="AS33" s="527" t="n"/>
      <c r="AT33" s="527" t="n"/>
      <c r="AU33" s="527" t="n"/>
      <c r="AV33" s="527" t="n"/>
    </row>
    <row r="34">
      <c r="AG34" s="1119" t="n"/>
      <c r="AH34" s="527" t="n"/>
      <c r="AI34" s="527" t="n"/>
      <c r="AJ34" s="527" t="n"/>
      <c r="AK34" s="527" t="n"/>
      <c r="AL34" s="527" t="n"/>
      <c r="AM34" s="527" t="n"/>
      <c r="AN34" s="527" t="n"/>
      <c r="AO34" s="527" t="n"/>
      <c r="AP34" s="527" t="n"/>
      <c r="AQ34" s="527" t="n"/>
      <c r="AR34" s="527" t="n"/>
      <c r="AS34" s="527" t="n"/>
      <c r="AT34" s="527" t="n"/>
      <c r="AU34" s="527" t="n"/>
      <c r="AV34" s="527" t="n"/>
    </row>
    <row r="35">
      <c r="AG35" s="1119" t="n"/>
      <c r="AH35" s="527" t="n"/>
      <c r="AI35" s="527" t="n"/>
      <c r="AJ35" s="527" t="n"/>
      <c r="AK35" s="527" t="n"/>
      <c r="AL35" s="527" t="n"/>
      <c r="AM35" s="527" t="n"/>
      <c r="AN35" s="527" t="n"/>
      <c r="AO35" s="527" t="n"/>
      <c r="AP35" s="527" t="n"/>
      <c r="AQ35" s="527" t="n"/>
      <c r="AR35" s="527" t="n"/>
      <c r="AS35" s="527" t="n"/>
      <c r="AT35" s="527" t="n"/>
      <c r="AU35" s="527" t="n"/>
      <c r="AV35" s="527" t="n"/>
    </row>
    <row r="36">
      <c r="AG36" s="1119" t="n"/>
      <c r="AH36" s="527" t="n"/>
      <c r="AI36" s="527" t="n"/>
      <c r="AJ36" s="527" t="n"/>
      <c r="AK36" s="527" t="n"/>
      <c r="AL36" s="527" t="n"/>
      <c r="AM36" s="527" t="n"/>
      <c r="AN36" s="527" t="n"/>
      <c r="AO36" s="527" t="n"/>
      <c r="AP36" s="527" t="n"/>
      <c r="AQ36" s="527" t="n"/>
      <c r="AR36" s="527" t="n"/>
      <c r="AS36" s="527" t="n"/>
      <c r="AT36" s="527" t="n"/>
      <c r="AU36" s="527" t="n"/>
      <c r="AV36" s="527" t="n"/>
    </row>
    <row r="37">
      <c r="AG37" s="1119" t="n"/>
      <c r="AH37" s="527" t="n"/>
      <c r="AI37" s="527" t="n"/>
      <c r="AJ37" s="527" t="n"/>
      <c r="AK37" s="527" t="n"/>
      <c r="AL37" s="527" t="n"/>
      <c r="AM37" s="527" t="n"/>
      <c r="AN37" s="527" t="n"/>
      <c r="AO37" s="527" t="n"/>
      <c r="AP37" s="527" t="n"/>
      <c r="AQ37" s="527" t="n"/>
      <c r="AR37" s="527" t="n"/>
      <c r="AS37" s="527" t="n"/>
      <c r="AT37" s="527" t="n"/>
      <c r="AU37" s="527" t="n"/>
      <c r="AV37" s="527" t="n"/>
    </row>
    <row r="38">
      <c r="AG38" s="1119" t="n"/>
      <c r="AH38" s="527" t="n"/>
      <c r="AI38" s="527" t="n"/>
      <c r="AJ38" s="527" t="n"/>
      <c r="AK38" s="527" t="n"/>
      <c r="AL38" s="527" t="n"/>
      <c r="AM38" s="527" t="n"/>
      <c r="AN38" s="527" t="n"/>
      <c r="AO38" s="527" t="n"/>
      <c r="AP38" s="527" t="n"/>
      <c r="AQ38" s="527" t="n"/>
      <c r="AR38" s="527" t="n"/>
      <c r="AS38" s="527" t="n"/>
      <c r="AT38" s="527" t="n"/>
      <c r="AU38" s="527" t="n"/>
      <c r="AV38" s="527" t="n"/>
    </row>
    <row r="39">
      <c r="AG39" s="1119" t="n"/>
      <c r="AH39" s="527" t="n"/>
      <c r="AI39" s="527" t="n"/>
      <c r="AJ39" s="527" t="n"/>
      <c r="AK39" s="527" t="n"/>
      <c r="AL39" s="527" t="n"/>
      <c r="AM39" s="527" t="n"/>
      <c r="AN39" s="527" t="n"/>
      <c r="AO39" s="527" t="n"/>
      <c r="AP39" s="527" t="n"/>
      <c r="AQ39" s="527" t="n"/>
      <c r="AR39" s="527" t="n"/>
      <c r="AS39" s="527" t="n"/>
      <c r="AT39" s="527" t="n"/>
      <c r="AU39" s="527" t="n"/>
      <c r="AV39" s="527" t="n"/>
    </row>
    <row r="40">
      <c r="AG40" s="1119" t="n"/>
      <c r="AH40" s="527" t="n"/>
      <c r="AI40" s="527" t="n"/>
      <c r="AJ40" s="527" t="n"/>
      <c r="AK40" s="527" t="n"/>
      <c r="AL40" s="527" t="n"/>
      <c r="AM40" s="527" t="n"/>
      <c r="AN40" s="527" t="n"/>
      <c r="AO40" s="527" t="n"/>
      <c r="AP40" s="527" t="n"/>
      <c r="AQ40" s="527" t="n"/>
      <c r="AR40" s="527" t="n"/>
      <c r="AS40" s="527" t="n"/>
      <c r="AT40" s="527" t="n"/>
      <c r="AU40" s="527" t="n"/>
      <c r="AV40" s="527" t="n"/>
    </row>
    <row r="41">
      <c r="AG41" s="1119" t="n"/>
      <c r="AH41" s="527" t="n"/>
      <c r="AI41" s="527" t="n"/>
      <c r="AJ41" s="527" t="n"/>
      <c r="AK41" s="527" t="n"/>
      <c r="AL41" s="527" t="n"/>
      <c r="AM41" s="527" t="n"/>
      <c r="AN41" s="527" t="n"/>
      <c r="AO41" s="527" t="n"/>
      <c r="AP41" s="527" t="n"/>
      <c r="AQ41" s="527" t="n"/>
      <c r="AR41" s="527" t="n"/>
      <c r="AS41" s="527" t="n"/>
      <c r="AT41" s="527" t="n"/>
      <c r="AU41" s="527" t="n"/>
      <c r="AV41" s="527" t="n"/>
    </row>
    <row r="42">
      <c r="AG42" s="1119" t="n"/>
      <c r="AH42" s="527" t="n"/>
      <c r="AI42" s="527" t="n"/>
      <c r="AJ42" s="527" t="n"/>
      <c r="AK42" s="527" t="n"/>
      <c r="AL42" s="527" t="n"/>
      <c r="AM42" s="527" t="n"/>
      <c r="AN42" s="527" t="n"/>
      <c r="AO42" s="527" t="n"/>
      <c r="AP42" s="527" t="n"/>
      <c r="AQ42" s="527" t="n"/>
      <c r="AR42" s="527" t="n"/>
      <c r="AS42" s="527" t="n"/>
      <c r="AT42" s="527" t="n"/>
      <c r="AU42" s="527" t="n"/>
      <c r="AV42" s="527" t="n"/>
    </row>
    <row r="43">
      <c r="AG43" s="1119" t="n"/>
      <c r="AH43" s="527" t="n"/>
      <c r="AI43" s="527" t="n"/>
      <c r="AJ43" s="527" t="n"/>
      <c r="AK43" s="527" t="n"/>
      <c r="AL43" s="527" t="n"/>
      <c r="AM43" s="527" t="n"/>
      <c r="AN43" s="527" t="n"/>
      <c r="AO43" s="527" t="n"/>
      <c r="AP43" s="527" t="n"/>
      <c r="AQ43" s="527" t="n"/>
      <c r="AR43" s="527" t="n"/>
      <c r="AS43" s="527" t="n"/>
      <c r="AT43" s="527" t="n"/>
      <c r="AU43" s="527" t="n"/>
      <c r="AV43" s="527" t="n"/>
    </row>
    <row r="44">
      <c r="AG44" s="1119" t="n"/>
      <c r="AH44" s="527" t="n"/>
      <c r="AI44" s="527" t="n"/>
      <c r="AJ44" s="527" t="n"/>
      <c r="AK44" s="527" t="n"/>
      <c r="AL44" s="527" t="n"/>
      <c r="AM44" s="527" t="n"/>
      <c r="AN44" s="527" t="n"/>
      <c r="AO44" s="527" t="n"/>
      <c r="AP44" s="527" t="n"/>
      <c r="AQ44" s="527" t="n"/>
      <c r="AR44" s="527" t="n"/>
      <c r="AS44" s="527" t="n"/>
      <c r="AT44" s="527" t="n"/>
      <c r="AU44" s="527" t="n"/>
      <c r="AV44" s="527" t="n"/>
    </row>
    <row r="45">
      <c r="AG45" s="1119" t="n"/>
      <c r="AH45" s="527" t="n"/>
      <c r="AI45" s="527" t="n"/>
      <c r="AJ45" s="527" t="n"/>
      <c r="AK45" s="527" t="n"/>
      <c r="AL45" s="527" t="n"/>
      <c r="AM45" s="527" t="n"/>
      <c r="AN45" s="527" t="n"/>
      <c r="AO45" s="527" t="n"/>
      <c r="AP45" s="527" t="n"/>
      <c r="AQ45" s="527" t="n"/>
      <c r="AR45" s="527" t="n"/>
      <c r="AS45" s="527" t="n"/>
      <c r="AT45" s="527" t="n"/>
      <c r="AU45" s="527" t="n"/>
      <c r="AV45" s="527" t="n"/>
    </row>
    <row r="46">
      <c r="AG46" s="1119" t="n"/>
      <c r="AH46" s="527" t="n"/>
      <c r="AI46" s="527" t="n"/>
      <c r="AJ46" s="527" t="n"/>
      <c r="AK46" s="527" t="n"/>
      <c r="AL46" s="527" t="n"/>
      <c r="AM46" s="527" t="n"/>
      <c r="AN46" s="527" t="n"/>
      <c r="AO46" s="527" t="n"/>
      <c r="AP46" s="527" t="n"/>
      <c r="AQ46" s="527" t="n"/>
      <c r="AR46" s="527" t="n"/>
      <c r="AS46" s="527" t="n"/>
      <c r="AT46" s="527" t="n"/>
      <c r="AU46" s="527" t="n"/>
      <c r="AV46" s="527" t="n"/>
    </row>
    <row r="47">
      <c r="AG47" s="1119" t="n"/>
      <c r="AH47" s="527" t="n"/>
      <c r="AI47" s="527" t="n"/>
      <c r="AJ47" s="527" t="n"/>
      <c r="AK47" s="527" t="n"/>
      <c r="AL47" s="527" t="n"/>
      <c r="AM47" s="527" t="n"/>
      <c r="AN47" s="527" t="n"/>
      <c r="AO47" s="527" t="n"/>
      <c r="AP47" s="527" t="n"/>
      <c r="AQ47" s="527" t="n"/>
      <c r="AR47" s="527" t="n"/>
      <c r="AS47" s="527" t="n"/>
      <c r="AT47" s="527" t="n"/>
      <c r="AU47" s="527" t="n"/>
      <c r="AV47" s="527" t="n"/>
    </row>
    <row r="48">
      <c r="AG48" s="1119" t="n"/>
      <c r="AH48" s="527" t="n"/>
      <c r="AI48" s="527" t="n"/>
      <c r="AJ48" s="527" t="n"/>
      <c r="AK48" s="527" t="n"/>
      <c r="AL48" s="527" t="n"/>
      <c r="AM48" s="527" t="n"/>
      <c r="AN48" s="527" t="n"/>
      <c r="AO48" s="527" t="n"/>
      <c r="AP48" s="527" t="n"/>
      <c r="AQ48" s="527" t="n"/>
      <c r="AR48" s="527" t="n"/>
      <c r="AS48" s="527" t="n"/>
      <c r="AT48" s="527" t="n"/>
      <c r="AU48" s="527" t="n"/>
      <c r="AV48" s="527" t="n"/>
    </row>
    <row r="49">
      <c r="AG49" s="1119" t="n"/>
      <c r="AH49" s="527" t="n"/>
      <c r="AI49" s="527" t="n"/>
      <c r="AJ49" s="527" t="n"/>
      <c r="AK49" s="527" t="n"/>
      <c r="AL49" s="527" t="n"/>
      <c r="AM49" s="527" t="n"/>
      <c r="AN49" s="527" t="n"/>
      <c r="AO49" s="527" t="n"/>
      <c r="AP49" s="527" t="n"/>
      <c r="AQ49" s="527" t="n"/>
      <c r="AR49" s="527" t="n"/>
      <c r="AS49" s="527" t="n"/>
      <c r="AT49" s="527" t="n"/>
      <c r="AU49" s="527" t="n"/>
      <c r="AV49" s="527" t="n"/>
    </row>
    <row r="50">
      <c r="AG50" s="1119" t="n"/>
      <c r="AH50" s="527" t="n"/>
      <c r="AI50" s="527" t="n"/>
      <c r="AJ50" s="527" t="n"/>
      <c r="AK50" s="527" t="n"/>
      <c r="AL50" s="527" t="n"/>
      <c r="AM50" s="527" t="n"/>
      <c r="AN50" s="527" t="n"/>
      <c r="AO50" s="527" t="n"/>
      <c r="AP50" s="527" t="n"/>
      <c r="AQ50" s="527" t="n"/>
      <c r="AR50" s="527" t="n"/>
      <c r="AS50" s="527" t="n"/>
      <c r="AT50" s="527" t="n"/>
      <c r="AU50" s="527" t="n"/>
      <c r="AV50" s="527" t="n"/>
    </row>
    <row r="51">
      <c r="AH51" s="527" t="n"/>
      <c r="AI51" s="527" t="n"/>
      <c r="AJ51" s="527" t="n"/>
      <c r="AK51" s="527" t="n"/>
      <c r="AL51" s="527" t="n"/>
      <c r="AM51" s="527" t="n"/>
      <c r="AN51" s="527" t="n"/>
      <c r="AO51" s="527" t="n"/>
      <c r="AP51" s="527" t="n"/>
      <c r="AQ51" s="527" t="n"/>
      <c r="AR51" s="527" t="n"/>
      <c r="AS51" s="527" t="n"/>
      <c r="AT51" s="527" t="n"/>
      <c r="AU51" s="527" t="n"/>
      <c r="AV51" s="527" t="n"/>
    </row>
    <row r="52">
      <c r="AH52" s="527" t="n"/>
      <c r="AI52" s="527" t="n"/>
      <c r="AJ52" s="527" t="n"/>
      <c r="AK52" s="527" t="n"/>
      <c r="AL52" s="527" t="n"/>
      <c r="AM52" s="527" t="n"/>
      <c r="AN52" s="527" t="n"/>
      <c r="AO52" s="527" t="n"/>
      <c r="AP52" s="527" t="n"/>
      <c r="AQ52" s="527" t="n"/>
      <c r="AR52" s="527" t="n"/>
      <c r="AS52" s="527" t="n"/>
      <c r="AT52" s="527" t="n"/>
      <c r="AU52" s="527" t="n"/>
      <c r="AV52" s="527" t="n"/>
    </row>
    <row r="53">
      <c r="AH53" s="527" t="n"/>
      <c r="AI53" s="527" t="n"/>
      <c r="AJ53" s="527" t="n"/>
      <c r="AK53" s="527" t="n"/>
      <c r="AL53" s="527" t="n"/>
      <c r="AM53" s="527" t="n"/>
      <c r="AN53" s="527" t="n"/>
      <c r="AO53" s="527" t="n"/>
      <c r="AP53" s="527" t="n"/>
      <c r="AQ53" s="527" t="n"/>
      <c r="AR53" s="527" t="n"/>
      <c r="AS53" s="527" t="n"/>
      <c r="AT53" s="527" t="n"/>
      <c r="AU53" s="527" t="n"/>
      <c r="AV53" s="527" t="n"/>
    </row>
    <row r="54">
      <c r="AH54" s="527" t="n"/>
      <c r="AI54" s="527" t="n"/>
      <c r="AJ54" s="527" t="n"/>
      <c r="AK54" s="527" t="n"/>
      <c r="AL54" s="527" t="n"/>
      <c r="AM54" s="527" t="n"/>
      <c r="AN54" s="527" t="n"/>
      <c r="AO54" s="527" t="n"/>
      <c r="AP54" s="527" t="n"/>
      <c r="AQ54" s="527" t="n"/>
      <c r="AR54" s="527" t="n"/>
      <c r="AS54" s="527" t="n"/>
      <c r="AT54" s="527" t="n"/>
      <c r="AU54" s="527" t="n"/>
      <c r="AV54" s="527" t="n"/>
    </row>
    <row r="55">
      <c r="AH55" s="527" t="n"/>
      <c r="AI55" s="527" t="n"/>
      <c r="AJ55" s="527" t="n"/>
      <c r="AK55" s="527" t="n"/>
      <c r="AL55" s="527" t="n"/>
      <c r="AM55" s="527" t="n"/>
      <c r="AN55" s="527" t="n"/>
      <c r="AO55" s="527" t="n"/>
      <c r="AP55" s="527" t="n"/>
      <c r="AQ55" s="527" t="n"/>
      <c r="AR55" s="527" t="n"/>
      <c r="AS55" s="527" t="n"/>
      <c r="AT55" s="527" t="n"/>
      <c r="AU55" s="527" t="n"/>
      <c r="AV55" s="527" t="n"/>
    </row>
    <row r="56">
      <c r="AH56" s="527" t="n"/>
      <c r="AI56" s="527" t="n"/>
      <c r="AJ56" s="527" t="n"/>
      <c r="AK56" s="527" t="n"/>
      <c r="AL56" s="527" t="n"/>
      <c r="AM56" s="527" t="n"/>
      <c r="AN56" s="527" t="n"/>
      <c r="AO56" s="527" t="n"/>
      <c r="AP56" s="527" t="n"/>
      <c r="AQ56" s="527" t="n"/>
      <c r="AR56" s="527" t="n"/>
      <c r="AS56" s="527" t="n"/>
      <c r="AT56" s="527" t="n"/>
      <c r="AU56" s="527" t="n"/>
      <c r="AV56" s="527" t="n"/>
    </row>
    <row r="57">
      <c r="AH57" s="527" t="n"/>
      <c r="AI57" s="527" t="n"/>
      <c r="AJ57" s="527" t="n"/>
      <c r="AK57" s="527" t="n"/>
      <c r="AL57" s="527" t="n"/>
      <c r="AM57" s="527" t="n"/>
      <c r="AN57" s="527" t="n"/>
      <c r="AO57" s="527" t="n"/>
      <c r="AP57" s="527" t="n"/>
      <c r="AQ57" s="527" t="n"/>
      <c r="AR57" s="527" t="n"/>
      <c r="AS57" s="527" t="n"/>
      <c r="AT57" s="527" t="n"/>
      <c r="AU57" s="527" t="n"/>
      <c r="AV57" s="527" t="n"/>
    </row>
    <row r="58">
      <c r="AH58" s="527" t="n"/>
      <c r="AI58" s="527" t="n"/>
      <c r="AJ58" s="527" t="n"/>
      <c r="AK58" s="527" t="n"/>
      <c r="AL58" s="527" t="n"/>
      <c r="AM58" s="527" t="n"/>
      <c r="AN58" s="527" t="n"/>
      <c r="AO58" s="527" t="n"/>
      <c r="AP58" s="527" t="n"/>
      <c r="AQ58" s="527" t="n"/>
      <c r="AR58" s="527" t="n"/>
      <c r="AS58" s="527" t="n"/>
      <c r="AT58" s="527" t="n"/>
      <c r="AU58" s="527" t="n"/>
      <c r="AV58" s="527" t="n"/>
    </row>
    <row r="59">
      <c r="AH59" s="527" t="n"/>
      <c r="AI59" s="527" t="n"/>
      <c r="AJ59" s="527" t="n"/>
      <c r="AK59" s="527" t="n"/>
      <c r="AL59" s="527" t="n"/>
      <c r="AM59" s="527" t="n"/>
      <c r="AN59" s="527" t="n"/>
      <c r="AO59" s="527" t="n"/>
      <c r="AP59" s="527" t="n"/>
      <c r="AQ59" s="527" t="n"/>
      <c r="AR59" s="527" t="n"/>
      <c r="AS59" s="527" t="n"/>
      <c r="AT59" s="527" t="n"/>
      <c r="AU59" s="527" t="n"/>
      <c r="AV59" s="527" t="n"/>
    </row>
    <row r="60">
      <c r="AH60" s="527" t="n"/>
      <c r="AI60" s="527" t="n"/>
      <c r="AJ60" s="527" t="n"/>
      <c r="AK60" s="527" t="n"/>
      <c r="AL60" s="527" t="n"/>
      <c r="AM60" s="527" t="n"/>
      <c r="AN60" s="527" t="n"/>
      <c r="AO60" s="527" t="n"/>
      <c r="AP60" s="527" t="n"/>
      <c r="AQ60" s="527" t="n"/>
      <c r="AR60" s="527" t="n"/>
      <c r="AS60" s="527" t="n"/>
      <c r="AT60" s="527" t="n"/>
      <c r="AU60" s="527" t="n"/>
      <c r="AV60" s="527" t="n"/>
    </row>
    <row r="61">
      <c r="AH61" s="527" t="n"/>
      <c r="AI61" s="527" t="n"/>
      <c r="AJ61" s="527" t="n"/>
      <c r="AK61" s="527" t="n"/>
      <c r="AL61" s="527" t="n"/>
      <c r="AM61" s="527" t="n"/>
      <c r="AN61" s="527" t="n"/>
      <c r="AO61" s="527" t="n"/>
      <c r="AP61" s="527" t="n"/>
      <c r="AQ61" s="527" t="n"/>
      <c r="AR61" s="527" t="n"/>
      <c r="AS61" s="527" t="n"/>
      <c r="AT61" s="527" t="n"/>
      <c r="AU61" s="527" t="n"/>
      <c r="AV61" s="527" t="n"/>
    </row>
    <row r="62">
      <c r="AH62" s="527" t="n"/>
      <c r="AI62" s="527" t="n"/>
      <c r="AJ62" s="527" t="n"/>
      <c r="AK62" s="527" t="n"/>
      <c r="AL62" s="527" t="n"/>
      <c r="AM62" s="527" t="n"/>
      <c r="AN62" s="527" t="n"/>
      <c r="AO62" s="527" t="n"/>
      <c r="AP62" s="527" t="n"/>
      <c r="AQ62" s="527" t="n"/>
      <c r="AR62" s="527" t="n"/>
      <c r="AS62" s="527" t="n"/>
      <c r="AT62" s="527" t="n"/>
      <c r="AU62" s="527" t="n"/>
      <c r="AV62" s="527" t="n"/>
    </row>
    <row r="63">
      <c r="AH63" s="527" t="n"/>
      <c r="AI63" s="527" t="n"/>
      <c r="AJ63" s="527" t="n"/>
      <c r="AK63" s="527" t="n"/>
      <c r="AL63" s="527" t="n"/>
      <c r="AM63" s="527" t="n"/>
      <c r="AN63" s="527" t="n"/>
      <c r="AO63" s="527" t="n"/>
      <c r="AP63" s="527" t="n"/>
      <c r="AQ63" s="527" t="n"/>
      <c r="AR63" s="527" t="n"/>
      <c r="AS63" s="527" t="n"/>
      <c r="AT63" s="527" t="n"/>
      <c r="AU63" s="527" t="n"/>
      <c r="AV63" s="527" t="n"/>
    </row>
    <row r="64">
      <c r="AH64" s="527" t="n"/>
      <c r="AI64" s="527" t="n"/>
      <c r="AJ64" s="527" t="n"/>
      <c r="AK64" s="527" t="n"/>
      <c r="AL64" s="527" t="n"/>
      <c r="AM64" s="527" t="n"/>
      <c r="AN64" s="527" t="n"/>
      <c r="AO64" s="527" t="n"/>
      <c r="AP64" s="527" t="n"/>
      <c r="AQ64" s="527" t="n"/>
      <c r="AR64" s="527" t="n"/>
      <c r="AS64" s="527" t="n"/>
      <c r="AT64" s="527" t="n"/>
      <c r="AU64" s="527" t="n"/>
      <c r="AV64" s="527" t="n"/>
    </row>
    <row r="65">
      <c r="AH65" s="527" t="n"/>
      <c r="AI65" s="527" t="n"/>
      <c r="AJ65" s="527" t="n"/>
      <c r="AK65" s="527" t="n"/>
      <c r="AL65" s="527" t="n"/>
      <c r="AM65" s="527" t="n"/>
      <c r="AN65" s="527" t="n"/>
      <c r="AO65" s="527" t="n"/>
      <c r="AP65" s="527" t="n"/>
      <c r="AQ65" s="527" t="n"/>
      <c r="AR65" s="527" t="n"/>
      <c r="AS65" s="527" t="n"/>
      <c r="AT65" s="527" t="n"/>
      <c r="AU65" s="527" t="n"/>
      <c r="AV65" s="527" t="n"/>
    </row>
    <row r="66">
      <c r="AH66" s="527" t="n"/>
      <c r="AI66" s="527" t="n"/>
      <c r="AJ66" s="527" t="n"/>
      <c r="AK66" s="527" t="n"/>
      <c r="AL66" s="527" t="n"/>
      <c r="AM66" s="527" t="n"/>
      <c r="AN66" s="527" t="n"/>
      <c r="AO66" s="527" t="n"/>
      <c r="AP66" s="527" t="n"/>
      <c r="AQ66" s="527" t="n"/>
      <c r="AR66" s="527" t="n"/>
      <c r="AS66" s="527" t="n"/>
      <c r="AT66" s="527" t="n"/>
      <c r="AU66" s="527" t="n"/>
      <c r="AV66" s="527" t="n"/>
    </row>
    <row r="67">
      <c r="AH67" s="527" t="n"/>
      <c r="AI67" s="527" t="n"/>
      <c r="AJ67" s="527" t="n"/>
      <c r="AK67" s="527" t="n"/>
      <c r="AL67" s="527" t="n"/>
      <c r="AM67" s="527" t="n"/>
      <c r="AN67" s="527" t="n"/>
      <c r="AO67" s="527" t="n"/>
      <c r="AP67" s="527" t="n"/>
      <c r="AQ67" s="527" t="n"/>
      <c r="AR67" s="527" t="n"/>
      <c r="AS67" s="527" t="n"/>
      <c r="AT67" s="527" t="n"/>
      <c r="AU67" s="527" t="n"/>
      <c r="AV67" s="527" t="n"/>
    </row>
    <row r="68">
      <c r="AH68" s="527" t="n"/>
      <c r="AI68" s="527" t="n"/>
      <c r="AJ68" s="527" t="n"/>
      <c r="AK68" s="527" t="n"/>
      <c r="AL68" s="527" t="n"/>
      <c r="AM68" s="527" t="n"/>
      <c r="AN68" s="527" t="n"/>
      <c r="AO68" s="527" t="n"/>
      <c r="AP68" s="527" t="n"/>
      <c r="AQ68" s="527" t="n"/>
      <c r="AR68" s="527" t="n"/>
      <c r="AS68" s="527" t="n"/>
      <c r="AT68" s="527" t="n"/>
      <c r="AU68" s="527" t="n"/>
      <c r="AV68" s="527" t="n"/>
    </row>
    <row r="69">
      <c r="AH69" s="527" t="n"/>
      <c r="AI69" s="527" t="n"/>
      <c r="AJ69" s="527" t="n"/>
      <c r="AK69" s="527" t="n"/>
      <c r="AL69" s="527" t="n"/>
      <c r="AM69" s="527" t="n"/>
      <c r="AN69" s="527" t="n"/>
      <c r="AO69" s="527" t="n"/>
      <c r="AP69" s="527" t="n"/>
      <c r="AQ69" s="527" t="n"/>
      <c r="AR69" s="527" t="n"/>
      <c r="AS69" s="527" t="n"/>
      <c r="AT69" s="527" t="n"/>
      <c r="AU69" s="527" t="n"/>
      <c r="AV69" s="527" t="n"/>
    </row>
    <row r="70">
      <c r="AH70" s="527" t="n"/>
      <c r="AI70" s="527" t="n"/>
      <c r="AJ70" s="527" t="n"/>
      <c r="AK70" s="527" t="n"/>
      <c r="AL70" s="527" t="n"/>
      <c r="AM70" s="527" t="n"/>
      <c r="AN70" s="527" t="n"/>
      <c r="AO70" s="527" t="n"/>
      <c r="AP70" s="527" t="n"/>
      <c r="AQ70" s="527" t="n"/>
      <c r="AR70" s="527" t="n"/>
      <c r="AS70" s="527" t="n"/>
      <c r="AT70" s="527" t="n"/>
      <c r="AU70" s="527" t="n"/>
      <c r="AV70" s="527" t="n"/>
    </row>
    <row r="71">
      <c r="AH71" s="527" t="n"/>
      <c r="AI71" s="527" t="n"/>
      <c r="AJ71" s="527" t="n"/>
      <c r="AK71" s="527" t="n"/>
      <c r="AL71" s="527" t="n"/>
      <c r="AM71" s="527" t="n"/>
      <c r="AN71" s="527" t="n"/>
      <c r="AO71" s="527" t="n"/>
      <c r="AP71" s="527" t="n"/>
      <c r="AQ71" s="527" t="n"/>
      <c r="AR71" s="527" t="n"/>
      <c r="AS71" s="527" t="n"/>
      <c r="AT71" s="527" t="n"/>
      <c r="AU71" s="527" t="n"/>
      <c r="AV71" s="527" t="n"/>
    </row>
    <row r="72">
      <c r="AH72" s="527" t="n"/>
      <c r="AI72" s="527" t="n"/>
      <c r="AJ72" s="527" t="n"/>
      <c r="AK72" s="527" t="n"/>
      <c r="AL72" s="527" t="n"/>
      <c r="AM72" s="527" t="n"/>
      <c r="AN72" s="527" t="n"/>
      <c r="AO72" s="527" t="n"/>
      <c r="AP72" s="527" t="n"/>
      <c r="AQ72" s="527" t="n"/>
      <c r="AR72" s="527" t="n"/>
      <c r="AS72" s="527" t="n"/>
      <c r="AT72" s="527" t="n"/>
      <c r="AU72" s="527" t="n"/>
      <c r="AV72" s="527" t="n"/>
    </row>
    <row r="73">
      <c r="AH73" s="527" t="n"/>
      <c r="AI73" s="527" t="n"/>
      <c r="AJ73" s="527" t="n"/>
      <c r="AK73" s="527" t="n"/>
      <c r="AL73" s="527" t="n"/>
      <c r="AM73" s="527" t="n"/>
      <c r="AN73" s="527" t="n"/>
      <c r="AO73" s="527" t="n"/>
      <c r="AP73" s="527" t="n"/>
      <c r="AQ73" s="527" t="n"/>
      <c r="AR73" s="527" t="n"/>
      <c r="AS73" s="527" t="n"/>
      <c r="AT73" s="527" t="n"/>
      <c r="AU73" s="527" t="n"/>
      <c r="AV73" s="527" t="n"/>
    </row>
    <row r="74">
      <c r="AH74" s="527" t="n"/>
      <c r="AI74" s="527" t="n"/>
      <c r="AJ74" s="527" t="n"/>
      <c r="AK74" s="527" t="n"/>
      <c r="AL74" s="527" t="n"/>
      <c r="AM74" s="527" t="n"/>
      <c r="AN74" s="527" t="n"/>
      <c r="AO74" s="527" t="n"/>
      <c r="AP74" s="527" t="n"/>
      <c r="AQ74" s="527" t="n"/>
      <c r="AR74" s="527" t="n"/>
      <c r="AS74" s="527" t="n"/>
      <c r="AT74" s="527" t="n"/>
      <c r="AU74" s="527" t="n"/>
      <c r="AV74" s="527" t="n"/>
    </row>
    <row r="75">
      <c r="AH75" s="527" t="n"/>
      <c r="AI75" s="527" t="n"/>
      <c r="AJ75" s="527" t="n"/>
      <c r="AK75" s="527" t="n"/>
      <c r="AL75" s="527" t="n"/>
      <c r="AM75" s="527" t="n"/>
      <c r="AN75" s="527" t="n"/>
      <c r="AO75" s="527" t="n"/>
      <c r="AP75" s="527" t="n"/>
      <c r="AQ75" s="527" t="n"/>
      <c r="AR75" s="527" t="n"/>
      <c r="AS75" s="527" t="n"/>
      <c r="AT75" s="527" t="n"/>
      <c r="AU75" s="527" t="n"/>
      <c r="AV75" s="527" t="n"/>
    </row>
    <row r="76">
      <c r="AH76" s="527" t="n"/>
      <c r="AI76" s="527" t="n"/>
      <c r="AJ76" s="527" t="n"/>
      <c r="AK76" s="527" t="n"/>
      <c r="AL76" s="527" t="n"/>
      <c r="AM76" s="527" t="n"/>
      <c r="AN76" s="527" t="n"/>
      <c r="AO76" s="527" t="n"/>
      <c r="AP76" s="527" t="n"/>
      <c r="AQ76" s="527" t="n"/>
      <c r="AR76" s="527" t="n"/>
      <c r="AS76" s="527" t="n"/>
      <c r="AT76" s="527" t="n"/>
      <c r="AU76" s="527" t="n"/>
      <c r="AV76" s="527" t="n"/>
    </row>
    <row r="77">
      <c r="AH77" s="527" t="n"/>
      <c r="AI77" s="527" t="n"/>
      <c r="AJ77" s="527" t="n"/>
      <c r="AK77" s="527" t="n"/>
      <c r="AL77" s="527" t="n"/>
      <c r="AM77" s="527" t="n"/>
      <c r="AN77" s="527" t="n"/>
      <c r="AO77" s="527" t="n"/>
      <c r="AP77" s="527" t="n"/>
      <c r="AQ77" s="527" t="n"/>
      <c r="AR77" s="527" t="n"/>
      <c r="AS77" s="527" t="n"/>
      <c r="AT77" s="527" t="n"/>
      <c r="AU77" s="527" t="n"/>
      <c r="AV77" s="527" t="n"/>
    </row>
    <row r="78">
      <c r="AH78" s="527" t="n"/>
      <c r="AI78" s="527" t="n"/>
      <c r="AJ78" s="527" t="n"/>
      <c r="AK78" s="527" t="n"/>
      <c r="AL78" s="527" t="n"/>
      <c r="AM78" s="527" t="n"/>
      <c r="AN78" s="527" t="n"/>
      <c r="AO78" s="527" t="n"/>
      <c r="AP78" s="527" t="n"/>
      <c r="AQ78" s="527" t="n"/>
      <c r="AR78" s="527" t="n"/>
      <c r="AS78" s="527" t="n"/>
      <c r="AT78" s="527" t="n"/>
      <c r="AU78" s="527" t="n"/>
      <c r="AV78" s="527" t="n"/>
    </row>
    <row r="79">
      <c r="AH79" s="527" t="n"/>
      <c r="AI79" s="527" t="n"/>
      <c r="AJ79" s="527" t="n"/>
      <c r="AK79" s="527" t="n"/>
      <c r="AL79" s="527" t="n"/>
      <c r="AM79" s="527" t="n"/>
      <c r="AN79" s="527" t="n"/>
      <c r="AO79" s="527" t="n"/>
      <c r="AP79" s="527" t="n"/>
      <c r="AQ79" s="527" t="n"/>
      <c r="AR79" s="527" t="n"/>
      <c r="AS79" s="527" t="n"/>
      <c r="AT79" s="527" t="n"/>
      <c r="AU79" s="527" t="n"/>
      <c r="AV79" s="527" t="n"/>
    </row>
    <row r="80">
      <c r="AH80" s="527" t="n"/>
      <c r="AI80" s="527" t="n"/>
      <c r="AJ80" s="527" t="n"/>
      <c r="AK80" s="527" t="n"/>
      <c r="AL80" s="527" t="n"/>
      <c r="AM80" s="527" t="n"/>
      <c r="AN80" s="527" t="n"/>
      <c r="AO80" s="527" t="n"/>
      <c r="AP80" s="527" t="n"/>
      <c r="AQ80" s="527" t="n"/>
      <c r="AR80" s="527" t="n"/>
      <c r="AS80" s="527" t="n"/>
      <c r="AT80" s="527" t="n"/>
      <c r="AU80" s="527" t="n"/>
      <c r="AV80" s="527" t="n"/>
    </row>
    <row r="81">
      <c r="AH81" s="527" t="n"/>
      <c r="AI81" s="527" t="n"/>
      <c r="AJ81" s="527" t="n"/>
      <c r="AK81" s="527" t="n"/>
      <c r="AL81" s="527" t="n"/>
      <c r="AM81" s="527" t="n"/>
      <c r="AN81" s="527" t="n"/>
      <c r="AO81" s="527" t="n"/>
      <c r="AP81" s="527" t="n"/>
      <c r="AQ81" s="527" t="n"/>
      <c r="AR81" s="527" t="n"/>
      <c r="AS81" s="527" t="n"/>
      <c r="AT81" s="527" t="n"/>
      <c r="AU81" s="527" t="n"/>
      <c r="AV81" s="527" t="n"/>
    </row>
    <row r="82">
      <c r="AH82" s="527" t="n"/>
      <c r="AI82" s="527" t="n"/>
      <c r="AJ82" s="527" t="n"/>
      <c r="AK82" s="527" t="n"/>
      <c r="AL82" s="527" t="n"/>
      <c r="AM82" s="527" t="n"/>
      <c r="AN82" s="527" t="n"/>
      <c r="AO82" s="527" t="n"/>
      <c r="AP82" s="527" t="n"/>
      <c r="AQ82" s="527" t="n"/>
      <c r="AR82" s="527" t="n"/>
      <c r="AS82" s="527" t="n"/>
      <c r="AT82" s="527" t="n"/>
      <c r="AU82" s="527" t="n"/>
      <c r="AV82" s="527" t="n"/>
    </row>
    <row r="83">
      <c r="AH83" s="527" t="n"/>
      <c r="AI83" s="527" t="n"/>
      <c r="AJ83" s="527" t="n"/>
      <c r="AK83" s="527" t="n"/>
      <c r="AL83" s="527" t="n"/>
      <c r="AM83" s="527" t="n"/>
      <c r="AN83" s="527" t="n"/>
      <c r="AO83" s="527" t="n"/>
      <c r="AP83" s="527" t="n"/>
      <c r="AQ83" s="527" t="n"/>
      <c r="AR83" s="527" t="n"/>
      <c r="AS83" s="527" t="n"/>
      <c r="AT83" s="527" t="n"/>
      <c r="AU83" s="527" t="n"/>
      <c r="AV83" s="527" t="n"/>
    </row>
    <row r="84">
      <c r="AH84" s="527" t="n"/>
      <c r="AI84" s="527" t="n"/>
      <c r="AJ84" s="527" t="n"/>
      <c r="AK84" s="527" t="n"/>
      <c r="AL84" s="527" t="n"/>
      <c r="AM84" s="527" t="n"/>
      <c r="AN84" s="527" t="n"/>
      <c r="AO84" s="527" t="n"/>
      <c r="AP84" s="527" t="n"/>
      <c r="AQ84" s="527" t="n"/>
      <c r="AR84" s="527" t="n"/>
      <c r="AS84" s="527" t="n"/>
      <c r="AT84" s="527" t="n"/>
      <c r="AU84" s="527" t="n"/>
      <c r="AV84" s="527" t="n"/>
    </row>
    <row r="85">
      <c r="AH85" s="527" t="n"/>
      <c r="AI85" s="527" t="n"/>
      <c r="AJ85" s="527" t="n"/>
      <c r="AK85" s="527" t="n"/>
      <c r="AL85" s="527" t="n"/>
      <c r="AM85" s="527" t="n"/>
      <c r="AN85" s="527" t="n"/>
      <c r="AO85" s="527" t="n"/>
      <c r="AP85" s="527" t="n"/>
      <c r="AQ85" s="527" t="n"/>
      <c r="AR85" s="527" t="n"/>
      <c r="AS85" s="527" t="n"/>
      <c r="AT85" s="527" t="n"/>
      <c r="AU85" s="527" t="n"/>
      <c r="AV85" s="527" t="n"/>
    </row>
    <row r="86">
      <c r="AH86" s="527" t="n"/>
      <c r="AI86" s="527" t="n"/>
      <c r="AJ86" s="527" t="n"/>
      <c r="AK86" s="527" t="n"/>
      <c r="AL86" s="527" t="n"/>
      <c r="AM86" s="527" t="n"/>
      <c r="AN86" s="527" t="n"/>
      <c r="AO86" s="527" t="n"/>
      <c r="AP86" s="527" t="n"/>
      <c r="AQ86" s="527" t="n"/>
      <c r="AR86" s="527" t="n"/>
      <c r="AS86" s="527" t="n"/>
      <c r="AT86" s="527" t="n"/>
      <c r="AU86" s="527" t="n"/>
      <c r="AV86" s="527" t="n"/>
    </row>
    <row r="87">
      <c r="AH87" s="527" t="n"/>
      <c r="AI87" s="527" t="n"/>
      <c r="AJ87" s="527" t="n"/>
      <c r="AK87" s="527" t="n"/>
      <c r="AL87" s="527" t="n"/>
      <c r="AM87" s="527" t="n"/>
      <c r="AN87" s="527" t="n"/>
      <c r="AO87" s="527" t="n"/>
      <c r="AP87" s="527" t="n"/>
      <c r="AQ87" s="527" t="n"/>
      <c r="AR87" s="527" t="n"/>
      <c r="AS87" s="527" t="n"/>
      <c r="AT87" s="527" t="n"/>
      <c r="AU87" s="527" t="n"/>
      <c r="AV87" s="527" t="n"/>
    </row>
    <row r="88">
      <c r="AH88" s="527" t="n"/>
      <c r="AI88" s="527" t="n"/>
      <c r="AJ88" s="527" t="n"/>
      <c r="AK88" s="527" t="n"/>
      <c r="AL88" s="527" t="n"/>
      <c r="AM88" s="527" t="n"/>
      <c r="AN88" s="527" t="n"/>
      <c r="AO88" s="527" t="n"/>
      <c r="AP88" s="527" t="n"/>
      <c r="AQ88" s="527" t="n"/>
      <c r="AR88" s="527" t="n"/>
      <c r="AS88" s="527" t="n"/>
      <c r="AT88" s="527" t="n"/>
      <c r="AU88" s="527" t="n"/>
      <c r="AV88" s="527" t="n"/>
    </row>
    <row r="89">
      <c r="AH89" s="527" t="n"/>
      <c r="AI89" s="527" t="n"/>
      <c r="AJ89" s="527" t="n"/>
      <c r="AK89" s="527" t="n"/>
      <c r="AL89" s="527" t="n"/>
      <c r="AM89" s="527" t="n"/>
      <c r="AN89" s="527" t="n"/>
      <c r="AO89" s="527" t="n"/>
      <c r="AP89" s="527" t="n"/>
      <c r="AQ89" s="527" t="n"/>
      <c r="AR89" s="527" t="n"/>
      <c r="AS89" s="527" t="n"/>
      <c r="AT89" s="527" t="n"/>
      <c r="AU89" s="527" t="n"/>
      <c r="AV89" s="527" t="n"/>
    </row>
    <row r="90">
      <c r="AH90" s="527" t="n"/>
      <c r="AI90" s="527" t="n"/>
      <c r="AJ90" s="527" t="n"/>
      <c r="AK90" s="527" t="n"/>
      <c r="AL90" s="527" t="n"/>
      <c r="AM90" s="527" t="n"/>
      <c r="AN90" s="527" t="n"/>
      <c r="AO90" s="527" t="n"/>
      <c r="AP90" s="527" t="n"/>
      <c r="AQ90" s="527" t="n"/>
      <c r="AR90" s="527" t="n"/>
      <c r="AS90" s="527" t="n"/>
      <c r="AT90" s="527" t="n"/>
      <c r="AU90" s="527" t="n"/>
      <c r="AV90" s="527" t="n"/>
    </row>
    <row r="91">
      <c r="AH91" s="527" t="n"/>
      <c r="AI91" s="527" t="n"/>
      <c r="AJ91" s="527" t="n"/>
      <c r="AK91" s="527" t="n"/>
      <c r="AL91" s="527" t="n"/>
      <c r="AM91" s="527" t="n"/>
      <c r="AN91" s="527" t="n"/>
      <c r="AO91" s="527" t="n"/>
      <c r="AP91" s="527" t="n"/>
      <c r="AQ91" s="527" t="n"/>
      <c r="AR91" s="527" t="n"/>
      <c r="AS91" s="527" t="n"/>
      <c r="AT91" s="527" t="n"/>
      <c r="AU91" s="527" t="n"/>
      <c r="AV91" s="527" t="n"/>
    </row>
    <row r="92">
      <c r="AH92" s="527" t="n"/>
      <c r="AI92" s="527" t="n"/>
      <c r="AJ92" s="527" t="n"/>
      <c r="AK92" s="527" t="n"/>
      <c r="AL92" s="527" t="n"/>
      <c r="AM92" s="527" t="n"/>
      <c r="AN92" s="527" t="n"/>
      <c r="AO92" s="527" t="n"/>
      <c r="AP92" s="527" t="n"/>
      <c r="AQ92" s="527" t="n"/>
      <c r="AR92" s="527" t="n"/>
      <c r="AS92" s="527" t="n"/>
      <c r="AT92" s="527" t="n"/>
      <c r="AU92" s="527" t="n"/>
      <c r="AV92" s="527" t="n"/>
    </row>
    <row r="93">
      <c r="AH93" s="527" t="n"/>
      <c r="AI93" s="527" t="n"/>
      <c r="AJ93" s="527" t="n"/>
      <c r="AK93" s="527" t="n"/>
      <c r="AL93" s="527" t="n"/>
      <c r="AM93" s="527" t="n"/>
      <c r="AN93" s="527" t="n"/>
      <c r="AO93" s="527" t="n"/>
      <c r="AP93" s="527" t="n"/>
      <c r="AQ93" s="527" t="n"/>
      <c r="AR93" s="527" t="n"/>
      <c r="AS93" s="527" t="n"/>
      <c r="AT93" s="527" t="n"/>
      <c r="AU93" s="527" t="n"/>
      <c r="AV93" s="527" t="n"/>
    </row>
    <row r="94">
      <c r="AH94" s="527" t="n"/>
      <c r="AI94" s="527" t="n"/>
      <c r="AJ94" s="527" t="n"/>
      <c r="AK94" s="527" t="n"/>
      <c r="AL94" s="527" t="n"/>
      <c r="AM94" s="527" t="n"/>
      <c r="AN94" s="527" t="n"/>
      <c r="AO94" s="527" t="n"/>
      <c r="AP94" s="527" t="n"/>
      <c r="AQ94" s="527" t="n"/>
      <c r="AR94" s="527" t="n"/>
      <c r="AS94" s="527" t="n"/>
      <c r="AT94" s="527" t="n"/>
      <c r="AU94" s="527" t="n"/>
      <c r="AV94" s="527" t="n"/>
    </row>
    <row r="95">
      <c r="AH95" s="527" t="n"/>
      <c r="AI95" s="527" t="n"/>
      <c r="AJ95" s="527" t="n"/>
      <c r="AK95" s="527" t="n"/>
      <c r="AL95" s="527" t="n"/>
      <c r="AM95" s="527" t="n"/>
      <c r="AN95" s="527" t="n"/>
      <c r="AO95" s="527" t="n"/>
      <c r="AP95" s="527" t="n"/>
      <c r="AQ95" s="527" t="n"/>
      <c r="AR95" s="527" t="n"/>
      <c r="AS95" s="527" t="n"/>
      <c r="AT95" s="527" t="n"/>
      <c r="AU95" s="527" t="n"/>
      <c r="AV95" s="527" t="n"/>
    </row>
    <row r="96">
      <c r="AH96" s="527" t="n"/>
      <c r="AI96" s="527" t="n"/>
      <c r="AJ96" s="527" t="n"/>
      <c r="AK96" s="527" t="n"/>
      <c r="AL96" s="527" t="n"/>
      <c r="AM96" s="527" t="n"/>
      <c r="AN96" s="527" t="n"/>
      <c r="AO96" s="527" t="n"/>
      <c r="AP96" s="527" t="n"/>
      <c r="AQ96" s="527" t="n"/>
      <c r="AR96" s="527" t="n"/>
      <c r="AS96" s="527" t="n"/>
      <c r="AT96" s="527" t="n"/>
      <c r="AU96" s="527" t="n"/>
      <c r="AV96" s="527" t="n"/>
    </row>
    <row r="97">
      <c r="AH97" s="527" t="n"/>
      <c r="AI97" s="527" t="n"/>
      <c r="AJ97" s="527" t="n"/>
      <c r="AK97" s="527" t="n"/>
      <c r="AL97" s="527" t="n"/>
      <c r="AM97" s="527" t="n"/>
      <c r="AN97" s="527" t="n"/>
      <c r="AO97" s="527" t="n"/>
      <c r="AP97" s="527" t="n"/>
      <c r="AQ97" s="527" t="n"/>
      <c r="AR97" s="527" t="n"/>
      <c r="AS97" s="527" t="n"/>
      <c r="AT97" s="527" t="n"/>
      <c r="AU97" s="527" t="n"/>
      <c r="AV97" s="527" t="n"/>
    </row>
    <row r="98">
      <c r="AH98" s="527" t="n"/>
      <c r="AI98" s="527" t="n"/>
      <c r="AJ98" s="527" t="n"/>
      <c r="AK98" s="527" t="n"/>
      <c r="AL98" s="527" t="n"/>
      <c r="AM98" s="527" t="n"/>
      <c r="AN98" s="527" t="n"/>
      <c r="AO98" s="527" t="n"/>
      <c r="AP98" s="527" t="n"/>
      <c r="AQ98" s="527" t="n"/>
      <c r="AR98" s="527" t="n"/>
      <c r="AS98" s="527" t="n"/>
      <c r="AT98" s="527" t="n"/>
      <c r="AU98" s="527" t="n"/>
      <c r="AV98" s="527" t="n"/>
    </row>
    <row r="99">
      <c r="AH99" s="527" t="n"/>
      <c r="AI99" s="527" t="n"/>
      <c r="AJ99" s="527" t="n"/>
      <c r="AK99" s="527" t="n"/>
      <c r="AL99" s="527" t="n"/>
      <c r="AM99" s="527" t="n"/>
      <c r="AN99" s="527" t="n"/>
      <c r="AO99" s="527" t="n"/>
      <c r="AP99" s="527" t="n"/>
      <c r="AQ99" s="527" t="n"/>
      <c r="AR99" s="527" t="n"/>
      <c r="AS99" s="527" t="n"/>
      <c r="AT99" s="527" t="n"/>
      <c r="AU99" s="527" t="n"/>
      <c r="AV99" s="527" t="n"/>
    </row>
    <row r="100">
      <c r="AH100" s="527" t="n"/>
      <c r="AI100" s="527" t="n"/>
      <c r="AJ100" s="527" t="n"/>
      <c r="AK100" s="527" t="n"/>
      <c r="AL100" s="527" t="n"/>
      <c r="AM100" s="527" t="n"/>
      <c r="AN100" s="527" t="n"/>
      <c r="AO100" s="527" t="n"/>
      <c r="AP100" s="527" t="n"/>
      <c r="AQ100" s="527" t="n"/>
      <c r="AR100" s="527" t="n"/>
      <c r="AS100" s="527" t="n"/>
      <c r="AT100" s="527" t="n"/>
      <c r="AU100" s="527" t="n"/>
      <c r="AV100" s="527" t="n"/>
    </row>
    <row r="101">
      <c r="AH101" s="527" t="n"/>
      <c r="AI101" s="527" t="n"/>
      <c r="AJ101" s="527" t="n"/>
      <c r="AK101" s="527" t="n"/>
      <c r="AL101" s="527" t="n"/>
      <c r="AM101" s="527" t="n"/>
      <c r="AN101" s="527" t="n"/>
      <c r="AO101" s="527" t="n"/>
      <c r="AP101" s="527" t="n"/>
      <c r="AQ101" s="527" t="n"/>
      <c r="AR101" s="527" t="n"/>
      <c r="AS101" s="527" t="n"/>
      <c r="AT101" s="527" t="n"/>
      <c r="AU101" s="527" t="n"/>
      <c r="AV101" s="527" t="n"/>
    </row>
    <row r="102">
      <c r="AH102" s="527" t="n"/>
      <c r="AI102" s="527" t="n"/>
      <c r="AJ102" s="527" t="n"/>
      <c r="AK102" s="527" t="n"/>
      <c r="AL102" s="527" t="n"/>
      <c r="AM102" s="527" t="n"/>
      <c r="AN102" s="527" t="n"/>
      <c r="AO102" s="527" t="n"/>
      <c r="AP102" s="527" t="n"/>
      <c r="AQ102" s="527" t="n"/>
      <c r="AR102" s="527" t="n"/>
      <c r="AS102" s="527" t="n"/>
      <c r="AT102" s="527" t="n"/>
      <c r="AU102" s="527" t="n"/>
      <c r="AV102" s="527" t="n"/>
    </row>
    <row r="103">
      <c r="AH103" s="527" t="n"/>
      <c r="AI103" s="527" t="n"/>
      <c r="AJ103" s="527" t="n"/>
      <c r="AK103" s="527" t="n"/>
      <c r="AL103" s="527" t="n"/>
      <c r="AM103" s="527" t="n"/>
      <c r="AN103" s="527" t="n"/>
      <c r="AO103" s="527" t="n"/>
      <c r="AP103" s="527" t="n"/>
      <c r="AQ103" s="527" t="n"/>
      <c r="AR103" s="527" t="n"/>
      <c r="AS103" s="527" t="n"/>
      <c r="AT103" s="527" t="n"/>
      <c r="AU103" s="527" t="n"/>
      <c r="AV103" s="527" t="n"/>
    </row>
    <row r="104">
      <c r="AH104" s="527" t="n"/>
      <c r="AI104" s="527" t="n"/>
      <c r="AJ104" s="527" t="n"/>
      <c r="AK104" s="527" t="n"/>
      <c r="AL104" s="527" t="n"/>
      <c r="AM104" s="527" t="n"/>
      <c r="AN104" s="527" t="n"/>
      <c r="AO104" s="527" t="n"/>
      <c r="AP104" s="527" t="n"/>
      <c r="AQ104" s="527" t="n"/>
      <c r="AR104" s="527" t="n"/>
      <c r="AS104" s="527" t="n"/>
      <c r="AT104" s="527" t="n"/>
      <c r="AU104" s="527" t="n"/>
      <c r="AV104" s="527" t="n"/>
    </row>
    <row r="105">
      <c r="AH105" s="527" t="n"/>
      <c r="AI105" s="527" t="n"/>
      <c r="AJ105" s="527" t="n"/>
      <c r="AK105" s="527" t="n"/>
      <c r="AL105" s="527" t="n"/>
      <c r="AM105" s="527" t="n"/>
      <c r="AN105" s="527" t="n"/>
      <c r="AO105" s="527" t="n"/>
      <c r="AP105" s="527" t="n"/>
      <c r="AQ105" s="527" t="n"/>
      <c r="AR105" s="527" t="n"/>
      <c r="AS105" s="527" t="n"/>
      <c r="AT105" s="527" t="n"/>
      <c r="AU105" s="527" t="n"/>
      <c r="AV105" s="527" t="n"/>
    </row>
    <row r="106">
      <c r="AH106" s="527" t="n"/>
      <c r="AI106" s="527" t="n"/>
      <c r="AJ106" s="527" t="n"/>
      <c r="AK106" s="527" t="n"/>
      <c r="AL106" s="527" t="n"/>
      <c r="AM106" s="527" t="n"/>
      <c r="AN106" s="527" t="n"/>
      <c r="AO106" s="527" t="n"/>
      <c r="AP106" s="527" t="n"/>
      <c r="AQ106" s="527" t="n"/>
      <c r="AR106" s="527" t="n"/>
      <c r="AS106" s="527" t="n"/>
      <c r="AT106" s="527" t="n"/>
      <c r="AU106" s="527" t="n"/>
      <c r="AV106" s="527" t="n"/>
    </row>
    <row r="107">
      <c r="AH107" s="527" t="n"/>
      <c r="AI107" s="527" t="n"/>
      <c r="AJ107" s="527" t="n"/>
      <c r="AK107" s="527" t="n"/>
      <c r="AL107" s="527" t="n"/>
      <c r="AM107" s="527" t="n"/>
      <c r="AN107" s="527" t="n"/>
      <c r="AO107" s="527" t="n"/>
      <c r="AP107" s="527" t="n"/>
      <c r="AQ107" s="527" t="n"/>
      <c r="AR107" s="527" t="n"/>
      <c r="AS107" s="527" t="n"/>
      <c r="AT107" s="527" t="n"/>
      <c r="AU107" s="527" t="n"/>
      <c r="AV107" s="527" t="n"/>
    </row>
    <row r="108">
      <c r="AH108" s="527" t="n"/>
      <c r="AI108" s="527" t="n"/>
      <c r="AJ108" s="527" t="n"/>
      <c r="AK108" s="527" t="n"/>
      <c r="AL108" s="527" t="n"/>
      <c r="AM108" s="527" t="n"/>
      <c r="AN108" s="527" t="n"/>
      <c r="AO108" s="527" t="n"/>
      <c r="AP108" s="527" t="n"/>
      <c r="AQ108" s="527" t="n"/>
      <c r="AR108" s="527" t="n"/>
      <c r="AS108" s="527" t="n"/>
      <c r="AT108" s="527" t="n"/>
      <c r="AU108" s="527" t="n"/>
      <c r="AV108" s="527" t="n"/>
    </row>
    <row r="109">
      <c r="AH109" s="527" t="n"/>
      <c r="AI109" s="527" t="n"/>
      <c r="AJ109" s="527" t="n"/>
      <c r="AK109" s="527" t="n"/>
      <c r="AL109" s="527" t="n"/>
      <c r="AM109" s="527" t="n"/>
      <c r="AN109" s="527" t="n"/>
      <c r="AO109" s="527" t="n"/>
      <c r="AP109" s="527" t="n"/>
      <c r="AQ109" s="527" t="n"/>
      <c r="AR109" s="527" t="n"/>
      <c r="AS109" s="527" t="n"/>
      <c r="AT109" s="527" t="n"/>
      <c r="AU109" s="527" t="n"/>
      <c r="AV109" s="527" t="n"/>
    </row>
    <row r="110">
      <c r="AH110" s="527" t="n"/>
      <c r="AI110" s="527" t="n"/>
      <c r="AJ110" s="527" t="n"/>
      <c r="AK110" s="527" t="n"/>
      <c r="AL110" s="527" t="n"/>
      <c r="AM110" s="527" t="n"/>
      <c r="AN110" s="527" t="n"/>
      <c r="AO110" s="527" t="n"/>
      <c r="AP110" s="527" t="n"/>
      <c r="AQ110" s="527" t="n"/>
      <c r="AR110" s="527" t="n"/>
      <c r="AS110" s="527" t="n"/>
      <c r="AT110" s="527" t="n"/>
      <c r="AU110" s="527" t="n"/>
      <c r="AV110" s="527" t="n"/>
    </row>
    <row r="111">
      <c r="AH111" s="527" t="n"/>
      <c r="AI111" s="527" t="n"/>
      <c r="AJ111" s="527" t="n"/>
      <c r="AK111" s="527" t="n"/>
      <c r="AL111" s="527" t="n"/>
      <c r="AM111" s="527" t="n"/>
      <c r="AN111" s="527" t="n"/>
      <c r="AO111" s="527" t="n"/>
      <c r="AP111" s="527" t="n"/>
      <c r="AQ111" s="527" t="n"/>
      <c r="AR111" s="527" t="n"/>
      <c r="AS111" s="527" t="n"/>
      <c r="AT111" s="527" t="n"/>
      <c r="AU111" s="527" t="n"/>
      <c r="AV111" s="527" t="n"/>
    </row>
    <row r="112">
      <c r="AH112" s="527" t="n"/>
      <c r="AI112" s="527" t="n"/>
      <c r="AJ112" s="527" t="n"/>
      <c r="AK112" s="527" t="n"/>
      <c r="AL112" s="527" t="n"/>
      <c r="AM112" s="527" t="n"/>
      <c r="AN112" s="527" t="n"/>
      <c r="AO112" s="527" t="n"/>
      <c r="AP112" s="527" t="n"/>
      <c r="AQ112" s="527" t="n"/>
      <c r="AR112" s="527" t="n"/>
      <c r="AS112" s="527" t="n"/>
      <c r="AT112" s="527" t="n"/>
      <c r="AU112" s="527" t="n"/>
      <c r="AV112" s="527" t="n"/>
    </row>
    <row r="113">
      <c r="AH113" s="527" t="n"/>
      <c r="AI113" s="527" t="n"/>
      <c r="AJ113" s="527" t="n"/>
      <c r="AK113" s="527" t="n"/>
      <c r="AL113" s="527" t="n"/>
      <c r="AM113" s="527" t="n"/>
      <c r="AN113" s="527" t="n"/>
      <c r="AO113" s="527" t="n"/>
      <c r="AP113" s="527" t="n"/>
      <c r="AQ113" s="527" t="n"/>
      <c r="AR113" s="527" t="n"/>
      <c r="AS113" s="527" t="n"/>
      <c r="AT113" s="527" t="n"/>
      <c r="AU113" s="527" t="n"/>
      <c r="AV113" s="527" t="n"/>
    </row>
    <row r="114">
      <c r="AH114" s="527" t="n"/>
      <c r="AI114" s="527" t="n"/>
      <c r="AJ114" s="527" t="n"/>
      <c r="AK114" s="527" t="n"/>
      <c r="AL114" s="527" t="n"/>
      <c r="AM114" s="527" t="n"/>
      <c r="AN114" s="527" t="n"/>
      <c r="AO114" s="527" t="n"/>
      <c r="AP114" s="527" t="n"/>
      <c r="AQ114" s="527" t="n"/>
      <c r="AR114" s="527" t="n"/>
      <c r="AS114" s="527" t="n"/>
      <c r="AT114" s="527" t="n"/>
      <c r="AU114" s="527" t="n"/>
      <c r="AV114" s="527" t="n"/>
    </row>
    <row r="115">
      <c r="AH115" s="527" t="n"/>
      <c r="AI115" s="527" t="n"/>
      <c r="AJ115" s="527" t="n"/>
      <c r="AK115" s="527" t="n"/>
      <c r="AL115" s="527" t="n"/>
      <c r="AM115" s="527" t="n"/>
      <c r="AN115" s="527" t="n"/>
      <c r="AO115" s="527" t="n"/>
      <c r="AP115" s="527" t="n"/>
      <c r="AQ115" s="527" t="n"/>
      <c r="AR115" s="527" t="n"/>
      <c r="AS115" s="527" t="n"/>
      <c r="AT115" s="527" t="n"/>
      <c r="AU115" s="527" t="n"/>
      <c r="AV115" s="527" t="n"/>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codeName="Sayfa4" published="0">
    <outlinePr summaryBelow="1" summaryRight="1"/>
    <pageSetUpPr/>
  </sheetPr>
  <dimension ref="A2:AV168"/>
  <sheetViews>
    <sheetView topLeftCell="B47" zoomScale="85" zoomScaleNormal="85" workbookViewId="0">
      <selection activeCell="D53" sqref="D53:F53"/>
    </sheetView>
  </sheetViews>
  <sheetFormatPr baseColWidth="8" defaultRowHeight="15"/>
  <cols>
    <col width="6.72265625" bestFit="1" customWidth="1" style="510" min="1" max="1"/>
    <col width="8.47265625" bestFit="1" customWidth="1" style="510" min="2" max="2"/>
    <col width="3.359375" bestFit="1" customWidth="1" style="510" min="3" max="3"/>
    <col width="5.6484375" customWidth="1" style="510" min="4" max="47"/>
    <col width="15.6015625" bestFit="1" customWidth="1" style="510" min="48" max="48"/>
  </cols>
  <sheetData>
    <row r="1" hidden="1" s="510"/>
    <row r="2" hidden="1" s="510">
      <c r="D2" s="290" t="n">
        <v>0.125</v>
      </c>
      <c r="E2" s="291" t="n">
        <v>1.24</v>
      </c>
      <c r="F2" s="291" t="n">
        <v>1.45</v>
      </c>
      <c r="G2" s="291" t="n">
        <v>1.73</v>
      </c>
      <c r="H2" s="291" t="n">
        <v>2.41</v>
      </c>
      <c r="I2" s="291" t="n"/>
      <c r="J2" s="291" t="n"/>
      <c r="K2" s="291" t="n"/>
      <c r="L2" s="291" t="n"/>
      <c r="M2" s="291" t="n"/>
      <c r="N2" s="291" t="n"/>
      <c r="O2" s="291" t="n"/>
      <c r="P2" s="291" t="n"/>
      <c r="Q2" s="291" t="n"/>
      <c r="R2" s="291" t="n"/>
      <c r="S2" s="291" t="n"/>
      <c r="T2" s="291" t="n"/>
      <c r="U2" s="291" t="n"/>
      <c r="V2" s="291" t="n"/>
      <c r="W2" s="291" t="n"/>
      <c r="X2" s="291" t="n"/>
      <c r="Y2" s="291" t="n"/>
      <c r="Z2" s="291" t="n"/>
      <c r="AA2" s="291" t="n"/>
      <c r="AB2" s="291" t="n"/>
      <c r="AC2" s="291" t="n"/>
      <c r="AD2" s="291" t="n"/>
      <c r="AE2" s="291" t="n"/>
      <c r="AF2" s="291" t="n"/>
      <c r="AG2" s="291" t="n"/>
      <c r="AH2" s="291" t="n"/>
      <c r="AI2" s="291" t="n"/>
      <c r="AJ2" s="291" t="n"/>
      <c r="AK2" s="291" t="n"/>
    </row>
    <row r="3" hidden="1" s="510">
      <c r="D3" s="290" t="n">
        <v>0.25</v>
      </c>
      <c r="E3" s="291" t="n">
        <v>1.65</v>
      </c>
      <c r="F3" s="291" t="n">
        <v>1.85</v>
      </c>
      <c r="G3" s="291" t="n">
        <v>2.24</v>
      </c>
      <c r="H3" s="291" t="n">
        <v>3.02</v>
      </c>
      <c r="I3" s="291" t="n"/>
      <c r="J3" s="291" t="n"/>
      <c r="K3" s="291" t="n"/>
      <c r="L3" s="291" t="n"/>
      <c r="M3" s="291" t="n"/>
      <c r="N3" s="291" t="n"/>
      <c r="O3" s="291" t="n"/>
      <c r="P3" s="291" t="n"/>
      <c r="Q3" s="291" t="n"/>
      <c r="R3" s="291" t="n"/>
      <c r="S3" s="291" t="n"/>
      <c r="T3" s="291" t="n"/>
      <c r="U3" s="291" t="n"/>
      <c r="V3" s="291" t="n"/>
      <c r="W3" s="291" t="n"/>
      <c r="X3" s="291" t="n"/>
      <c r="Y3" s="291" t="n"/>
      <c r="Z3" s="291" t="n"/>
      <c r="AA3" s="291" t="n"/>
      <c r="AB3" s="291" t="n"/>
      <c r="AC3" s="291" t="n"/>
      <c r="AD3" s="291" t="n"/>
      <c r="AE3" s="291" t="n"/>
      <c r="AF3" s="291" t="n"/>
      <c r="AG3" s="291" t="n"/>
      <c r="AH3" s="291" t="n"/>
      <c r="AI3" s="291" t="n"/>
      <c r="AJ3" s="291" t="n"/>
      <c r="AK3" s="291" t="n"/>
    </row>
    <row r="4" hidden="1" s="510">
      <c r="D4" s="290" t="n">
        <v>0.375</v>
      </c>
      <c r="E4" s="292" t="n">
        <v>1.65</v>
      </c>
      <c r="F4" s="292" t="n">
        <v>1.85</v>
      </c>
      <c r="G4" s="291" t="n">
        <v>2.31</v>
      </c>
      <c r="H4" s="291" t="n">
        <v>3.2</v>
      </c>
      <c r="I4" s="291" t="n"/>
      <c r="J4" s="291" t="n"/>
      <c r="K4" s="291" t="n"/>
      <c r="L4" s="291" t="n"/>
      <c r="M4" s="291" t="n"/>
      <c r="N4" s="291" t="n"/>
      <c r="O4" s="291" t="n"/>
      <c r="P4" s="291" t="n"/>
      <c r="Q4" s="291" t="n"/>
      <c r="R4" s="291" t="n"/>
      <c r="S4" s="291" t="n"/>
      <c r="T4" s="291" t="n"/>
      <c r="U4" s="291" t="n"/>
      <c r="V4" s="291" t="n"/>
      <c r="W4" s="291" t="n"/>
      <c r="X4" s="291" t="n"/>
      <c r="Y4" s="291" t="n"/>
      <c r="Z4" s="291" t="n"/>
      <c r="AA4" s="291" t="n"/>
      <c r="AB4" s="291" t="n"/>
      <c r="AC4" s="291" t="n"/>
      <c r="AD4" s="291" t="n"/>
      <c r="AE4" s="291" t="n"/>
      <c r="AF4" s="291" t="n"/>
      <c r="AG4" s="291" t="n"/>
      <c r="AH4" s="291" t="n"/>
      <c r="AI4" s="291" t="n"/>
      <c r="AJ4" s="291" t="n"/>
      <c r="AK4" s="291" t="n"/>
    </row>
    <row r="5" hidden="1" s="510">
      <c r="D5" s="290" t="n">
        <v>0.5</v>
      </c>
      <c r="E5" s="292" t="n">
        <v>1.65</v>
      </c>
      <c r="F5" s="291" t="n">
        <v>2.11</v>
      </c>
      <c r="G5" s="291" t="n">
        <v>2.41</v>
      </c>
      <c r="H5" s="291" t="n">
        <v>2.77</v>
      </c>
      <c r="I5" s="291" t="n">
        <v>3.73</v>
      </c>
      <c r="J5" s="291" t="n">
        <v>4.78</v>
      </c>
      <c r="K5" s="291" t="n">
        <v>7.47</v>
      </c>
      <c r="L5" s="291" t="n"/>
      <c r="M5" s="291" t="n"/>
      <c r="N5" s="291" t="n"/>
      <c r="O5" s="291" t="n"/>
      <c r="P5" s="291" t="n"/>
      <c r="Q5" s="291" t="n"/>
      <c r="R5" s="291" t="n"/>
      <c r="S5" s="291" t="n"/>
      <c r="T5" s="291" t="n"/>
      <c r="U5" s="291" t="n"/>
      <c r="V5" s="291" t="n"/>
      <c r="W5" s="291" t="n"/>
      <c r="X5" s="291" t="n"/>
      <c r="Y5" s="291" t="n"/>
      <c r="Z5" s="291" t="n"/>
      <c r="AA5" s="291" t="n"/>
      <c r="AB5" s="291" t="n"/>
      <c r="AC5" s="291" t="n"/>
      <c r="AD5" s="291" t="n"/>
      <c r="AE5" s="291" t="n"/>
      <c r="AF5" s="291" t="n"/>
      <c r="AG5" s="291" t="n"/>
      <c r="AH5" s="291" t="n"/>
      <c r="AI5" s="291" t="n"/>
      <c r="AJ5" s="291" t="n"/>
      <c r="AK5" s="291" t="n"/>
    </row>
    <row r="6" hidden="1" s="510">
      <c r="D6" s="290" t="n">
        <v>0.75</v>
      </c>
      <c r="E6" s="292" t="n">
        <v>1.65</v>
      </c>
      <c r="F6" s="292" t="n">
        <v>2.11</v>
      </c>
      <c r="G6" s="291" t="n">
        <v>2.41</v>
      </c>
      <c r="H6" s="291" t="n">
        <v>2.87</v>
      </c>
      <c r="I6" s="291" t="n">
        <v>3.91</v>
      </c>
      <c r="J6" s="291" t="n">
        <v>5.56</v>
      </c>
      <c r="K6" s="291" t="n">
        <v>7.82</v>
      </c>
      <c r="L6" s="291" t="n"/>
      <c r="M6" s="291" t="n"/>
      <c r="N6" s="291" t="n"/>
      <c r="O6" s="291" t="n"/>
      <c r="P6" s="291" t="n"/>
      <c r="Q6" s="291" t="n"/>
      <c r="R6" s="291" t="n"/>
      <c r="S6" s="291" t="n"/>
      <c r="T6" s="291" t="n"/>
      <c r="U6" s="291" t="n"/>
      <c r="V6" s="291" t="n"/>
      <c r="W6" s="291" t="n"/>
      <c r="X6" s="291" t="n"/>
      <c r="Y6" s="291" t="n"/>
      <c r="Z6" s="291" t="n"/>
      <c r="AA6" s="291" t="n"/>
      <c r="AB6" s="291" t="n"/>
      <c r="AC6" s="291" t="n"/>
      <c r="AD6" s="291" t="n"/>
      <c r="AE6" s="291" t="n"/>
      <c r="AF6" s="291" t="n"/>
      <c r="AG6" s="291" t="n"/>
      <c r="AH6" s="291" t="n"/>
      <c r="AI6" s="291" t="n"/>
      <c r="AJ6" s="291" t="n"/>
      <c r="AK6" s="291" t="n"/>
    </row>
    <row r="7" hidden="1" s="510">
      <c r="D7" s="290" t="n">
        <v>1</v>
      </c>
      <c r="E7" s="292" t="n">
        <v>1.65</v>
      </c>
      <c r="F7" s="291" t="n">
        <v>2.77</v>
      </c>
      <c r="G7" s="291" t="n">
        <v>2.9</v>
      </c>
      <c r="H7" s="291" t="n">
        <v>3.38</v>
      </c>
      <c r="I7" s="291" t="n">
        <v>4.55</v>
      </c>
      <c r="J7" s="291" t="n">
        <v>6.35</v>
      </c>
      <c r="K7" s="291" t="n">
        <v>9.09</v>
      </c>
      <c r="L7" s="291" t="n"/>
      <c r="M7" s="291" t="n"/>
      <c r="N7" s="291" t="n"/>
      <c r="O7" s="291" t="n"/>
      <c r="P7" s="291" t="n"/>
      <c r="Q7" s="291" t="n"/>
      <c r="R7" s="291" t="n"/>
      <c r="S7" s="291" t="n"/>
      <c r="T7" s="291" t="n"/>
      <c r="U7" s="291" t="n"/>
      <c r="V7" s="291" t="n"/>
      <c r="W7" s="291" t="n"/>
      <c r="X7" s="291" t="n"/>
      <c r="Y7" s="291" t="n"/>
      <c r="Z7" s="291" t="n"/>
      <c r="AA7" s="291" t="n"/>
      <c r="AB7" s="291" t="n"/>
      <c r="AC7" s="291" t="n"/>
      <c r="AD7" s="291" t="n"/>
      <c r="AE7" s="291" t="n"/>
      <c r="AF7" s="291" t="n"/>
      <c r="AG7" s="291" t="n"/>
      <c r="AH7" s="291" t="n"/>
      <c r="AI7" s="291" t="n"/>
      <c r="AJ7" s="291" t="n"/>
      <c r="AK7" s="291" t="n"/>
    </row>
    <row r="8" hidden="1" s="510">
      <c r="D8" s="290" t="n">
        <v>1.25</v>
      </c>
      <c r="E8" s="292" t="n">
        <v>1.65</v>
      </c>
      <c r="F8" s="292" t="n">
        <v>2.77</v>
      </c>
      <c r="G8" s="291" t="n">
        <v>2.97</v>
      </c>
      <c r="H8" s="291" t="n">
        <v>3.56</v>
      </c>
      <c r="I8" s="291" t="n">
        <v>4.85</v>
      </c>
      <c r="J8" s="291" t="n">
        <v>6.35</v>
      </c>
      <c r="K8" s="291" t="n">
        <v>9.699999999999999</v>
      </c>
      <c r="L8" s="291" t="n"/>
      <c r="M8" s="291" t="n"/>
      <c r="N8" s="291" t="n"/>
      <c r="O8" s="291" t="n"/>
      <c r="P8" s="291" t="n"/>
      <c r="Q8" s="291" t="n"/>
      <c r="R8" s="291" t="n"/>
      <c r="S8" s="291" t="n"/>
      <c r="T8" s="291" t="n"/>
      <c r="U8" s="291" t="n"/>
      <c r="V8" s="291" t="n"/>
      <c r="W8" s="291" t="n"/>
      <c r="X8" s="291" t="n"/>
      <c r="Y8" s="291" t="n"/>
      <c r="Z8" s="291" t="n"/>
      <c r="AA8" s="291" t="n"/>
      <c r="AB8" s="291" t="n"/>
      <c r="AC8" s="291" t="n"/>
      <c r="AD8" s="291" t="n"/>
      <c r="AE8" s="291" t="n"/>
      <c r="AF8" s="291" t="n"/>
      <c r="AG8" s="291" t="n"/>
      <c r="AH8" s="291" t="n"/>
      <c r="AI8" s="291" t="n"/>
      <c r="AJ8" s="291" t="n"/>
      <c r="AK8" s="291" t="n"/>
    </row>
    <row r="9" hidden="1" s="510">
      <c r="D9" s="290" t="n">
        <v>1.5</v>
      </c>
      <c r="E9" s="292" t="n">
        <v>1.65</v>
      </c>
      <c r="F9" s="292" t="n">
        <v>2.77</v>
      </c>
      <c r="G9" s="291" t="n">
        <v>3.18</v>
      </c>
      <c r="H9" s="291" t="n">
        <v>3.68</v>
      </c>
      <c r="I9" s="291" t="n">
        <v>5.08</v>
      </c>
      <c r="J9" s="291" t="n">
        <v>7.14</v>
      </c>
      <c r="K9" s="291" t="n">
        <v>10.15</v>
      </c>
      <c r="L9" s="291" t="n"/>
      <c r="M9" s="291" t="n"/>
      <c r="N9" s="291" t="n"/>
      <c r="O9" s="291" t="n"/>
      <c r="P9" s="291" t="n"/>
      <c r="Q9" s="291" t="n"/>
      <c r="R9" s="291" t="n"/>
      <c r="S9" s="291" t="n"/>
      <c r="T9" s="291" t="n"/>
      <c r="U9" s="291" t="n"/>
      <c r="V9" s="291" t="n"/>
      <c r="W9" s="291" t="n"/>
      <c r="X9" s="291" t="n"/>
      <c r="Y9" s="291" t="n"/>
      <c r="Z9" s="291" t="n"/>
      <c r="AA9" s="291" t="n"/>
      <c r="AB9" s="291" t="n"/>
      <c r="AC9" s="291" t="n"/>
      <c r="AD9" s="291" t="n"/>
      <c r="AE9" s="291" t="n"/>
      <c r="AF9" s="291" t="n"/>
      <c r="AG9" s="291" t="n"/>
      <c r="AH9" s="291" t="n"/>
      <c r="AI9" s="291" t="n"/>
      <c r="AJ9" s="291" t="n"/>
      <c r="AK9" s="291" t="n"/>
    </row>
    <row r="10" hidden="1" s="510">
      <c r="D10" s="290" t="n">
        <v>2</v>
      </c>
      <c r="E10" s="292" t="n">
        <v>1.65</v>
      </c>
      <c r="F10" s="291" t="n">
        <v>2.11</v>
      </c>
      <c r="G10" s="291" t="n">
        <v>2.77</v>
      </c>
      <c r="H10" s="291" t="n">
        <v>3.18</v>
      </c>
      <c r="I10" s="291" t="n">
        <v>3.91</v>
      </c>
      <c r="J10" s="291" t="n">
        <v>4.37</v>
      </c>
      <c r="K10" s="291" t="n">
        <v>4.78</v>
      </c>
      <c r="L10" s="291" t="n">
        <v>5.54</v>
      </c>
      <c r="M10" s="291" t="n">
        <v>6.35</v>
      </c>
      <c r="N10" s="291" t="n">
        <v>7.14</v>
      </c>
      <c r="O10" s="291" t="n">
        <v>8.74</v>
      </c>
      <c r="P10" s="291" t="n">
        <v>11.07</v>
      </c>
      <c r="Q10" s="291" t="n"/>
      <c r="R10" s="291" t="n"/>
      <c r="S10" s="291" t="n"/>
      <c r="T10" s="291" t="n"/>
      <c r="U10" s="291" t="n"/>
      <c r="V10" s="291" t="n"/>
      <c r="W10" s="291" t="n"/>
      <c r="X10" s="291" t="n"/>
      <c r="Y10" s="291" t="n"/>
      <c r="Z10" s="291" t="n"/>
      <c r="AA10" s="291" t="n"/>
      <c r="AB10" s="291" t="n"/>
      <c r="AC10" s="291" t="n"/>
      <c r="AD10" s="291" t="n"/>
      <c r="AE10" s="291" t="n"/>
      <c r="AF10" s="291" t="n"/>
      <c r="AG10" s="291" t="n"/>
      <c r="AH10" s="291" t="n"/>
      <c r="AI10" s="291" t="n"/>
      <c r="AJ10" s="291" t="n"/>
      <c r="AK10" s="291" t="n"/>
    </row>
    <row r="11" hidden="1" s="510">
      <c r="D11" s="290" t="n">
        <v>2.5</v>
      </c>
      <c r="E11" s="291" t="n">
        <v>2.11</v>
      </c>
      <c r="F11" s="291" t="n">
        <v>2.77</v>
      </c>
      <c r="G11" s="291" t="n">
        <v>3.05</v>
      </c>
      <c r="H11" s="291" t="n">
        <v>3.18</v>
      </c>
      <c r="I11" s="291" t="n">
        <v>3.58</v>
      </c>
      <c r="J11" s="291" t="n">
        <v>3.96</v>
      </c>
      <c r="K11" s="291" t="n">
        <v>4.37</v>
      </c>
      <c r="L11" s="291" t="n">
        <v>4.78</v>
      </c>
      <c r="M11" s="291" t="n">
        <v>5.16</v>
      </c>
      <c r="N11" s="291" t="n">
        <v>5.49</v>
      </c>
      <c r="O11" s="291" t="n">
        <v>6.35</v>
      </c>
      <c r="P11" s="291" t="n">
        <v>7.01</v>
      </c>
      <c r="Q11" s="291" t="n">
        <v>9.529999999999999</v>
      </c>
      <c r="R11" s="291" t="n">
        <v>14.02</v>
      </c>
      <c r="S11" s="291" t="n"/>
      <c r="T11" s="291" t="n"/>
      <c r="U11" s="291" t="n"/>
      <c r="V11" s="291" t="n"/>
      <c r="W11" s="291" t="n"/>
      <c r="X11" s="291" t="n"/>
      <c r="Y11" s="291" t="n"/>
      <c r="Z11" s="291" t="n"/>
      <c r="AA11" s="291" t="n"/>
      <c r="AB11" s="291" t="n"/>
      <c r="AC11" s="291" t="n"/>
      <c r="AD11" s="291" t="n"/>
      <c r="AE11" s="291" t="n"/>
      <c r="AF11" s="291" t="n"/>
      <c r="AG11" s="291" t="n"/>
      <c r="AH11" s="291" t="n"/>
      <c r="AI11" s="291" t="n"/>
      <c r="AJ11" s="291" t="n"/>
      <c r="AK11" s="291" t="n"/>
    </row>
    <row r="12" hidden="1" s="510">
      <c r="D12" s="290" t="n">
        <v>3</v>
      </c>
      <c r="E12" s="292" t="n">
        <v>2.11</v>
      </c>
      <c r="F12" s="292" t="n">
        <v>2.77</v>
      </c>
      <c r="G12" s="292" t="n">
        <v>3.05</v>
      </c>
      <c r="H12" s="291" t="n">
        <v>3.18</v>
      </c>
      <c r="I12" s="292" t="n">
        <v>3.58</v>
      </c>
      <c r="J12" s="292" t="n">
        <v>3.96</v>
      </c>
      <c r="K12" s="292" t="n">
        <v>4.37</v>
      </c>
      <c r="L12" s="292" t="n">
        <v>4.78</v>
      </c>
      <c r="M12" s="291" t="n">
        <v>5.49</v>
      </c>
      <c r="N12" s="291" t="n">
        <v>6.35</v>
      </c>
      <c r="O12" s="291" t="n">
        <v>7.14</v>
      </c>
      <c r="P12" s="291" t="n">
        <v>7.62</v>
      </c>
      <c r="Q12" s="291" t="n">
        <v>11.13</v>
      </c>
      <c r="R12" s="291" t="n">
        <v>15.24</v>
      </c>
      <c r="S12" s="291" t="n"/>
      <c r="T12" s="291" t="n"/>
      <c r="U12" s="291" t="n"/>
      <c r="V12" s="291" t="n"/>
      <c r="W12" s="291" t="n"/>
      <c r="X12" s="291" t="n"/>
      <c r="Y12" s="291" t="n"/>
      <c r="Z12" s="291" t="n"/>
      <c r="AA12" s="291" t="n"/>
      <c r="AB12" s="291" t="n"/>
      <c r="AC12" s="291" t="n"/>
      <c r="AD12" s="291" t="n"/>
      <c r="AE12" s="291" t="n"/>
      <c r="AF12" s="291" t="n"/>
      <c r="AG12" s="291" t="n"/>
      <c r="AH12" s="291" t="n"/>
      <c r="AI12" s="291" t="n"/>
      <c r="AJ12" s="291" t="n"/>
      <c r="AK12" s="291" t="n"/>
    </row>
    <row r="13" hidden="1" s="510">
      <c r="D13" s="290" t="n">
        <v>3.5</v>
      </c>
      <c r="E13" s="292" t="n">
        <v>2.11</v>
      </c>
      <c r="F13" s="292" t="n">
        <v>2.77</v>
      </c>
      <c r="G13" s="292" t="n">
        <v>3.05</v>
      </c>
      <c r="H13" s="291" t="n">
        <v>3.18</v>
      </c>
      <c r="I13" s="292" t="n">
        <v>3.58</v>
      </c>
      <c r="J13" s="292" t="n">
        <v>3.96</v>
      </c>
      <c r="K13" s="292" t="n">
        <v>4.37</v>
      </c>
      <c r="L13" s="292" t="n">
        <v>4.78</v>
      </c>
      <c r="M13" s="291" t="n">
        <v>5.74</v>
      </c>
      <c r="N13" s="291" t="n">
        <v>6.35</v>
      </c>
      <c r="O13" s="291" t="n">
        <v>7.14</v>
      </c>
      <c r="P13" s="291" t="n">
        <v>8.08</v>
      </c>
      <c r="Q13" s="291" t="n"/>
      <c r="R13" s="291" t="n"/>
      <c r="S13" s="291" t="n"/>
      <c r="T13" s="291" t="n"/>
      <c r="U13" s="291" t="n"/>
      <c r="V13" s="291" t="n"/>
      <c r="W13" s="291" t="n"/>
      <c r="X13" s="291" t="n"/>
      <c r="Y13" s="291" t="n"/>
      <c r="Z13" s="291" t="n"/>
      <c r="AA13" s="291" t="n"/>
      <c r="AB13" s="291" t="n"/>
      <c r="AC13" s="291" t="n"/>
      <c r="AD13" s="291" t="n"/>
      <c r="AE13" s="291" t="n"/>
      <c r="AF13" s="291" t="n"/>
      <c r="AG13" s="291" t="n"/>
      <c r="AH13" s="291" t="n"/>
      <c r="AI13" s="291" t="n"/>
      <c r="AJ13" s="291" t="n"/>
      <c r="AK13" s="291" t="n"/>
    </row>
    <row r="14" hidden="1" s="510">
      <c r="D14" s="290" t="n">
        <v>4</v>
      </c>
      <c r="E14" s="291" t="n">
        <v>2.11</v>
      </c>
      <c r="F14" s="291" t="n">
        <v>2.77</v>
      </c>
      <c r="G14" s="291" t="n">
        <v>3.05</v>
      </c>
      <c r="H14" s="291" t="n">
        <v>3.18</v>
      </c>
      <c r="I14" s="291" t="n">
        <v>3.58</v>
      </c>
      <c r="J14" s="291" t="n">
        <v>3.96</v>
      </c>
      <c r="K14" s="291" t="n">
        <v>4.37</v>
      </c>
      <c r="L14" s="291" t="n">
        <v>4.78</v>
      </c>
      <c r="M14" s="291" t="n">
        <v>5.16</v>
      </c>
      <c r="N14" s="291" t="n">
        <v>5.56</v>
      </c>
      <c r="O14" s="291" t="n">
        <v>6.02</v>
      </c>
      <c r="P14" s="291" t="n">
        <v>6.35</v>
      </c>
      <c r="Q14" s="291" t="n">
        <v>7.14</v>
      </c>
      <c r="R14" s="291" t="n">
        <v>7.92</v>
      </c>
      <c r="S14" s="291" t="n">
        <v>8.56</v>
      </c>
      <c r="T14" s="291" t="n">
        <v>1.13</v>
      </c>
      <c r="U14" s="291" t="n">
        <v>13.49</v>
      </c>
      <c r="V14" s="291" t="n">
        <v>17.12</v>
      </c>
      <c r="W14" s="291" t="n"/>
      <c r="X14" s="291" t="n"/>
      <c r="Y14" s="291" t="n"/>
      <c r="Z14" s="291" t="n"/>
      <c r="AA14" s="291" t="n"/>
      <c r="AB14" s="291" t="n"/>
      <c r="AC14" s="291" t="n"/>
      <c r="AD14" s="291" t="n"/>
      <c r="AE14" s="291" t="n"/>
      <c r="AF14" s="291" t="n"/>
      <c r="AG14" s="291" t="n"/>
      <c r="AH14" s="291" t="n"/>
      <c r="AI14" s="291" t="n"/>
      <c r="AJ14" s="291" t="n"/>
      <c r="AK14" s="291" t="n"/>
    </row>
    <row r="15" hidden="1" s="510">
      <c r="D15" s="290" t="n">
        <v>5</v>
      </c>
      <c r="E15" s="291" t="n">
        <v>2.11</v>
      </c>
      <c r="F15" s="291" t="n">
        <v>2.77</v>
      </c>
      <c r="G15" s="291" t="n">
        <v>3.18</v>
      </c>
      <c r="H15" s="291" t="n">
        <v>3.4</v>
      </c>
      <c r="I15" s="291" t="n">
        <v>3.96</v>
      </c>
      <c r="J15" s="291" t="n">
        <v>4.78</v>
      </c>
      <c r="K15" s="291" t="n">
        <v>5.56</v>
      </c>
      <c r="L15" s="291" t="n">
        <v>6.55</v>
      </c>
      <c r="M15" s="291" t="n">
        <v>7.14</v>
      </c>
      <c r="N15" s="291" t="n">
        <v>7.92</v>
      </c>
      <c r="O15" s="291" t="n">
        <v>8.74</v>
      </c>
      <c r="P15" s="291" t="n">
        <v>9.529999999999999</v>
      </c>
      <c r="Q15" s="291" t="n">
        <v>12.7</v>
      </c>
      <c r="R15" s="291" t="n">
        <v>15.88</v>
      </c>
      <c r="S15" s="291" t="n">
        <v>19.05</v>
      </c>
      <c r="T15" s="291" t="n"/>
      <c r="U15" s="291" t="n"/>
      <c r="V15" s="291" t="n"/>
      <c r="W15" s="291" t="n"/>
      <c r="X15" s="291" t="n"/>
      <c r="Y15" s="291" t="n"/>
      <c r="Z15" s="291" t="n"/>
      <c r="AA15" s="291" t="n"/>
      <c r="AB15" s="291" t="n"/>
      <c r="AC15" s="291" t="n"/>
      <c r="AD15" s="291" t="n"/>
      <c r="AE15" s="291" t="n"/>
      <c r="AF15" s="291" t="n"/>
      <c r="AG15" s="291" t="n"/>
      <c r="AH15" s="291" t="n"/>
      <c r="AI15" s="291" t="n"/>
      <c r="AJ15" s="291" t="n"/>
      <c r="AK15" s="291" t="n"/>
    </row>
    <row r="16" hidden="1" s="510">
      <c r="D16" s="290" t="n">
        <v>6</v>
      </c>
      <c r="E16" s="291" t="n">
        <v>2.11</v>
      </c>
      <c r="F16" s="291" t="n">
        <v>2.77</v>
      </c>
      <c r="G16" s="291" t="n">
        <v>3.18</v>
      </c>
      <c r="H16" s="291" t="n">
        <v>3.4</v>
      </c>
      <c r="I16" s="291" t="n">
        <v>3.58</v>
      </c>
      <c r="J16" s="291" t="n">
        <v>3.96</v>
      </c>
      <c r="K16" s="291" t="n">
        <v>4.37</v>
      </c>
      <c r="L16" s="291" t="n">
        <v>4.78</v>
      </c>
      <c r="M16" s="291" t="n">
        <v>5.16</v>
      </c>
      <c r="N16" s="291" t="n">
        <v>5.56</v>
      </c>
      <c r="O16" s="291" t="n">
        <v>6.35</v>
      </c>
      <c r="P16" s="291" t="n">
        <v>7.11</v>
      </c>
      <c r="Q16" s="291" t="n">
        <v>7.92</v>
      </c>
      <c r="R16" s="291" t="n">
        <v>8.74</v>
      </c>
      <c r="S16" s="291" t="n">
        <v>9.529999999999999</v>
      </c>
      <c r="T16" s="291" t="n">
        <v>10.97</v>
      </c>
      <c r="U16" s="291" t="n">
        <v>12.7</v>
      </c>
      <c r="V16" s="291" t="n">
        <v>14.27</v>
      </c>
      <c r="W16" s="291" t="n">
        <v>15.88</v>
      </c>
      <c r="X16" s="291" t="n">
        <v>18.26</v>
      </c>
      <c r="Y16" s="291" t="n">
        <v>19.05</v>
      </c>
      <c r="Z16" s="291" t="n">
        <v>21.95</v>
      </c>
      <c r="AA16" s="291" t="n">
        <v>22.23</v>
      </c>
      <c r="AB16" s="291" t="n"/>
      <c r="AC16" s="291" t="n"/>
      <c r="AD16" s="291" t="n"/>
      <c r="AE16" s="291" t="n"/>
      <c r="AF16" s="291" t="n"/>
      <c r="AG16" s="291" t="n"/>
      <c r="AH16" s="291" t="n"/>
      <c r="AI16" s="291" t="n"/>
      <c r="AJ16" s="291" t="n"/>
      <c r="AK16" s="291" t="n"/>
    </row>
    <row r="17" hidden="1" s="510">
      <c r="D17" s="290" t="n">
        <v>8</v>
      </c>
      <c r="E17" s="291" t="n">
        <v>2.77</v>
      </c>
      <c r="F17" s="291" t="n">
        <v>3.18</v>
      </c>
      <c r="G17" s="291" t="n">
        <v>3.76</v>
      </c>
      <c r="H17" s="291" t="n">
        <v>3.96</v>
      </c>
      <c r="I17" s="291" t="n">
        <v>4.78</v>
      </c>
      <c r="J17" s="291" t="n">
        <v>5.16</v>
      </c>
      <c r="K17" s="291" t="n">
        <v>5.56</v>
      </c>
      <c r="L17" s="291" t="n">
        <v>6.35</v>
      </c>
      <c r="M17" s="291" t="n">
        <v>7.04</v>
      </c>
      <c r="N17" s="291" t="n">
        <v>7.92</v>
      </c>
      <c r="O17" s="291" t="n">
        <v>8.18</v>
      </c>
      <c r="P17" s="291" t="n">
        <v>8.74</v>
      </c>
      <c r="Q17" s="291" t="n">
        <v>9.529999999999999</v>
      </c>
      <c r="R17" s="291" t="n">
        <v>10.31</v>
      </c>
      <c r="S17" s="291" t="n">
        <v>11.13</v>
      </c>
      <c r="T17" s="291" t="n">
        <v>12.7</v>
      </c>
      <c r="U17" s="291" t="n">
        <v>14.27</v>
      </c>
      <c r="V17" s="291" t="n">
        <v>15.09</v>
      </c>
      <c r="W17" s="291" t="n">
        <v>15.88</v>
      </c>
      <c r="X17" s="291" t="n">
        <v>18.26</v>
      </c>
      <c r="Y17" s="291" t="n">
        <v>19.05</v>
      </c>
      <c r="Z17" s="291" t="n">
        <v>20.62</v>
      </c>
      <c r="AA17" s="292" t="n">
        <v>22.23</v>
      </c>
      <c r="AB17" s="291" t="n">
        <v>23.01</v>
      </c>
      <c r="AC17" s="291" t="n">
        <v>25.4</v>
      </c>
      <c r="AD17" s="291" t="n"/>
      <c r="AE17" s="291" t="n"/>
      <c r="AF17" s="291" t="n"/>
      <c r="AG17" s="291" t="n"/>
      <c r="AH17" s="291" t="n"/>
      <c r="AI17" s="291" t="n"/>
      <c r="AJ17" s="291" t="n"/>
      <c r="AK17" s="291" t="n"/>
    </row>
    <row r="18" hidden="1" s="510">
      <c r="D18" s="290" t="n">
        <v>10</v>
      </c>
      <c r="E18" s="291" t="n">
        <v>3.4</v>
      </c>
      <c r="F18" s="291" t="n">
        <v>3.96</v>
      </c>
      <c r="G18" s="291" t="n">
        <v>4.19</v>
      </c>
      <c r="H18" s="291" t="n">
        <v>4.78</v>
      </c>
      <c r="I18" s="291" t="n">
        <v>5.16</v>
      </c>
      <c r="J18" s="291" t="n">
        <v>5.56</v>
      </c>
      <c r="K18" s="291" t="n">
        <v>6.35</v>
      </c>
      <c r="L18" s="291" t="n">
        <v>7.09</v>
      </c>
      <c r="M18" s="291" t="n">
        <v>7.8</v>
      </c>
      <c r="N18" s="291" t="n">
        <v>8.74</v>
      </c>
      <c r="O18" s="291" t="n">
        <v>9.27</v>
      </c>
      <c r="P18" s="291" t="n">
        <v>11.13</v>
      </c>
      <c r="Q18" s="291" t="n">
        <v>12.7</v>
      </c>
      <c r="R18" s="291" t="n">
        <v>14.27</v>
      </c>
      <c r="S18" s="291" t="n">
        <v>15.09</v>
      </c>
      <c r="T18" s="291" t="n">
        <v>15.88</v>
      </c>
      <c r="U18" s="291" t="n">
        <v>18.26</v>
      </c>
      <c r="V18" s="291" t="n">
        <v>20.62</v>
      </c>
      <c r="W18" s="291" t="n">
        <v>21.44</v>
      </c>
      <c r="X18" s="291" t="n">
        <v>22.23</v>
      </c>
      <c r="Y18" s="291" t="n">
        <v>23.83</v>
      </c>
      <c r="Z18" s="291" t="n">
        <v>25.4</v>
      </c>
      <c r="AA18" s="291" t="n">
        <v>28.58</v>
      </c>
      <c r="AB18" s="291" t="n">
        <v>31.75</v>
      </c>
      <c r="AC18" s="291" t="n"/>
      <c r="AD18" s="291" t="n"/>
      <c r="AE18" s="291" t="n"/>
      <c r="AF18" s="291" t="n"/>
      <c r="AG18" s="291" t="n"/>
      <c r="AH18" s="291" t="n"/>
      <c r="AI18" s="291" t="n"/>
      <c r="AJ18" s="291" t="n"/>
      <c r="AK18" s="291" t="n"/>
    </row>
    <row r="19" hidden="1" s="510">
      <c r="D19" s="290" t="n">
        <v>12</v>
      </c>
      <c r="E19" s="291" t="n">
        <v>3.96</v>
      </c>
      <c r="F19" s="291" t="n">
        <v>4.37</v>
      </c>
      <c r="G19" s="291" t="n">
        <v>4.57</v>
      </c>
      <c r="H19" s="291" t="n">
        <v>4.78</v>
      </c>
      <c r="I19" s="291" t="n">
        <v>5.16</v>
      </c>
      <c r="J19" s="291" t="n">
        <v>5.56</v>
      </c>
      <c r="K19" s="291" t="n">
        <v>6.35</v>
      </c>
      <c r="L19" s="291" t="n">
        <v>7.14</v>
      </c>
      <c r="M19" s="291" t="n">
        <v>7.92</v>
      </c>
      <c r="N19" s="291" t="n">
        <v>8.380000000000001</v>
      </c>
      <c r="O19" s="291" t="n">
        <v>8.74</v>
      </c>
      <c r="P19" s="291" t="n">
        <v>9.529999999999999</v>
      </c>
      <c r="Q19" s="291" t="n">
        <v>10.31</v>
      </c>
      <c r="R19" s="291" t="n">
        <v>11.13</v>
      </c>
      <c r="S19" s="291" t="n">
        <v>12.7</v>
      </c>
      <c r="T19" s="291" t="n">
        <v>14.27</v>
      </c>
      <c r="U19" s="291" t="n">
        <v>15.88</v>
      </c>
      <c r="V19" s="291" t="n">
        <v>17.48</v>
      </c>
      <c r="W19" s="291" t="n">
        <v>19.05</v>
      </c>
      <c r="X19" s="291" t="n">
        <v>20.62</v>
      </c>
      <c r="Y19" s="291" t="n">
        <v>21.44</v>
      </c>
      <c r="Z19" s="291" t="n">
        <v>22.23</v>
      </c>
      <c r="AA19" s="291" t="n">
        <v>23.83</v>
      </c>
      <c r="AB19" s="291" t="n">
        <v>25.4</v>
      </c>
      <c r="AC19" s="291" t="n">
        <v>26.97</v>
      </c>
      <c r="AD19" s="291" t="n">
        <v>28.58</v>
      </c>
      <c r="AE19" s="291" t="n">
        <v>31.75</v>
      </c>
      <c r="AF19" s="291" t="n">
        <v>33.32</v>
      </c>
      <c r="AG19" s="291" t="n"/>
      <c r="AH19" s="291" t="n"/>
      <c r="AI19" s="291" t="n"/>
      <c r="AJ19" s="291" t="n"/>
      <c r="AK19" s="291" t="n"/>
    </row>
    <row r="20" hidden="1" s="510">
      <c r="D20" s="290" t="n">
        <v>14</v>
      </c>
      <c r="E20" s="291" t="n">
        <v>3.96</v>
      </c>
      <c r="F20" s="291" t="n">
        <v>4.78</v>
      </c>
      <c r="G20" s="291" t="n">
        <v>5.16</v>
      </c>
      <c r="H20" s="291" t="n">
        <v>5.33</v>
      </c>
      <c r="I20" s="291" t="n">
        <v>5.56</v>
      </c>
      <c r="J20" s="291" t="n">
        <v>6.35</v>
      </c>
      <c r="K20" s="291" t="n">
        <v>7.14</v>
      </c>
      <c r="L20" s="291" t="n">
        <v>7.92</v>
      </c>
      <c r="M20" s="291" t="n">
        <v>8.74</v>
      </c>
      <c r="N20" s="291" t="n">
        <v>9.529999999999999</v>
      </c>
      <c r="O20" s="291" t="n">
        <v>10.31</v>
      </c>
      <c r="P20" s="291" t="n">
        <v>11.13</v>
      </c>
      <c r="Q20" s="291" t="n">
        <v>11.91</v>
      </c>
      <c r="R20" s="291" t="n">
        <v>12.7</v>
      </c>
      <c r="S20" s="291" t="n">
        <v>14.27</v>
      </c>
      <c r="T20" s="291" t="n">
        <v>15.09</v>
      </c>
      <c r="U20" s="291" t="n">
        <v>15.88</v>
      </c>
      <c r="V20" s="291" t="n">
        <v>17.48</v>
      </c>
      <c r="W20" s="291" t="n">
        <v>19.05</v>
      </c>
      <c r="X20" s="291" t="n">
        <v>20.62</v>
      </c>
      <c r="Y20" s="291" t="n">
        <v>22.23</v>
      </c>
      <c r="Z20" s="291" t="n">
        <v>23.83</v>
      </c>
      <c r="AA20" s="291" t="n">
        <v>25.4</v>
      </c>
      <c r="AB20" s="291" t="n">
        <v>26.97</v>
      </c>
      <c r="AC20" s="291" t="n">
        <v>27.79</v>
      </c>
      <c r="AD20" s="291" t="n">
        <v>28.58</v>
      </c>
      <c r="AE20" s="291" t="n">
        <v>31.75</v>
      </c>
      <c r="AF20" s="291" t="n">
        <v>35.71</v>
      </c>
      <c r="AG20" s="291" t="n">
        <v>50.8</v>
      </c>
      <c r="AH20" s="291" t="n">
        <v>53.98</v>
      </c>
      <c r="AI20" s="291" t="n">
        <v>55.88</v>
      </c>
      <c r="AJ20" s="291" t="n">
        <v>63.5</v>
      </c>
      <c r="AK20" s="291" t="n"/>
    </row>
    <row r="21" hidden="1" s="510">
      <c r="D21" s="290" t="n">
        <v>16</v>
      </c>
      <c r="E21" s="291" t="n">
        <v>4.19</v>
      </c>
      <c r="F21" s="291" t="n">
        <v>4.78</v>
      </c>
      <c r="G21" s="291" t="n">
        <v>5.16</v>
      </c>
      <c r="H21" s="291" t="n">
        <v>5.56</v>
      </c>
      <c r="I21" s="291" t="n">
        <v>6.35</v>
      </c>
      <c r="J21" s="291" t="n">
        <v>7.14</v>
      </c>
      <c r="K21" s="291" t="n">
        <v>7.92</v>
      </c>
      <c r="L21" s="291" t="n">
        <v>8.74</v>
      </c>
      <c r="M21" s="291" t="n">
        <v>9.529999999999999</v>
      </c>
      <c r="N21" s="291" t="n">
        <v>10.31</v>
      </c>
      <c r="O21" s="291" t="n">
        <v>11.13</v>
      </c>
      <c r="P21" s="291" t="n">
        <v>11.91</v>
      </c>
      <c r="Q21" s="291" t="n">
        <v>12.7</v>
      </c>
      <c r="R21" s="291" t="n">
        <v>14.27</v>
      </c>
      <c r="S21" s="291" t="n">
        <v>15.88</v>
      </c>
      <c r="T21" s="291" t="n">
        <v>16.66</v>
      </c>
      <c r="U21" s="291" t="n">
        <v>17.48</v>
      </c>
      <c r="V21" s="291" t="n">
        <v>19.05</v>
      </c>
      <c r="W21" s="291" t="n">
        <v>20.62</v>
      </c>
      <c r="X21" s="291" t="n">
        <v>21.44</v>
      </c>
      <c r="Y21" s="292" t="n">
        <v>22.23</v>
      </c>
      <c r="Z21" s="291" t="n">
        <v>23.83</v>
      </c>
      <c r="AA21" s="291" t="n">
        <v>25.4</v>
      </c>
      <c r="AB21" s="291" t="n">
        <v>26.19</v>
      </c>
      <c r="AC21" s="291" t="n">
        <v>26.97</v>
      </c>
      <c r="AD21" s="291" t="n">
        <v>28.58</v>
      </c>
      <c r="AE21" s="291" t="n">
        <v>30.18</v>
      </c>
      <c r="AF21" s="291" t="n">
        <v>30.96</v>
      </c>
      <c r="AG21" s="291" t="n">
        <v>31.73</v>
      </c>
      <c r="AH21" s="291" t="n">
        <v>36.53</v>
      </c>
      <c r="AI21" s="291" t="n">
        <v>40.49</v>
      </c>
      <c r="AJ21" s="291" t="n"/>
      <c r="AK21" s="291" t="n"/>
    </row>
    <row r="22" hidden="1" s="510">
      <c r="D22" s="290" t="n">
        <v>18</v>
      </c>
      <c r="E22" s="291" t="n">
        <v>4.19</v>
      </c>
      <c r="F22" s="291" t="n">
        <v>4.78</v>
      </c>
      <c r="G22" s="291" t="n">
        <v>5.56</v>
      </c>
      <c r="H22" s="291" t="n">
        <v>6.35</v>
      </c>
      <c r="I22" s="291" t="n">
        <v>7.14</v>
      </c>
      <c r="J22" s="291" t="n">
        <v>7.92</v>
      </c>
      <c r="K22" s="291" t="n">
        <v>8.74</v>
      </c>
      <c r="L22" s="291" t="n">
        <v>9.529999999999999</v>
      </c>
      <c r="M22" s="291" t="n">
        <v>10.31</v>
      </c>
      <c r="N22" s="291" t="n">
        <v>11.13</v>
      </c>
      <c r="O22" s="291" t="n">
        <v>11.91</v>
      </c>
      <c r="P22" s="291" t="n">
        <v>12.7</v>
      </c>
      <c r="Q22" s="291" t="n">
        <v>14.27</v>
      </c>
      <c r="R22" s="291" t="n">
        <v>15.88</v>
      </c>
      <c r="S22" s="291" t="n">
        <v>17.48</v>
      </c>
      <c r="T22" s="291" t="n">
        <v>19.05</v>
      </c>
      <c r="U22" s="291" t="n">
        <v>20.62</v>
      </c>
      <c r="V22" s="291" t="n">
        <v>22.23</v>
      </c>
      <c r="W22" s="291" t="n">
        <v>23.83</v>
      </c>
      <c r="X22" s="291" t="n">
        <v>25.4</v>
      </c>
      <c r="Y22" s="291" t="n">
        <v>26.97</v>
      </c>
      <c r="Z22" s="291" t="n">
        <v>28.58</v>
      </c>
      <c r="AA22" s="291" t="n">
        <v>29.36</v>
      </c>
      <c r="AB22" s="291" t="n">
        <v>30.18</v>
      </c>
      <c r="AC22" s="291" t="n">
        <v>31.75</v>
      </c>
      <c r="AD22" s="291" t="n">
        <v>34.93</v>
      </c>
      <c r="AE22" s="291" t="n">
        <v>39.67</v>
      </c>
      <c r="AF22" s="291" t="n">
        <v>45.24</v>
      </c>
      <c r="AG22" s="291" t="n"/>
      <c r="AH22" s="291" t="n"/>
      <c r="AI22" s="291" t="n"/>
      <c r="AJ22" s="291" t="n"/>
      <c r="AK22" s="291" t="n"/>
    </row>
    <row r="23" hidden="1" s="510">
      <c r="D23" s="290" t="n">
        <v>20</v>
      </c>
      <c r="E23" s="291" t="n">
        <v>4.78</v>
      </c>
      <c r="F23" s="291" t="n">
        <v>5.56</v>
      </c>
      <c r="G23" s="291" t="n">
        <v>6.35</v>
      </c>
      <c r="H23" s="291" t="n">
        <v>7.14</v>
      </c>
      <c r="I23" s="291" t="n">
        <v>7.92</v>
      </c>
      <c r="J23" s="291" t="n">
        <v>8.74</v>
      </c>
      <c r="K23" s="291" t="n">
        <v>9.529999999999999</v>
      </c>
      <c r="L23" s="291" t="n">
        <v>10.31</v>
      </c>
      <c r="M23" s="291" t="n">
        <v>11.13</v>
      </c>
      <c r="N23" s="291" t="n">
        <v>11.91</v>
      </c>
      <c r="O23" s="291" t="n">
        <v>12.7</v>
      </c>
      <c r="P23" s="291" t="n">
        <v>14.27</v>
      </c>
      <c r="Q23" s="291" t="n">
        <v>15.09</v>
      </c>
      <c r="R23" s="292" t="n">
        <v>15.88</v>
      </c>
      <c r="S23" s="292" t="n">
        <v>17.48</v>
      </c>
      <c r="T23" s="292" t="n">
        <v>19.05</v>
      </c>
      <c r="U23" s="292" t="n">
        <v>20.62</v>
      </c>
      <c r="V23" s="292" t="n">
        <v>22.23</v>
      </c>
      <c r="W23" s="292" t="n">
        <v>23.83</v>
      </c>
      <c r="X23" s="292" t="n">
        <v>25.4</v>
      </c>
      <c r="Y23" s="291" t="n">
        <v>26.19</v>
      </c>
      <c r="Z23" s="291" t="n">
        <v>26.97</v>
      </c>
      <c r="AA23" s="291" t="n">
        <v>28.58</v>
      </c>
      <c r="AB23" s="291" t="n">
        <v>30.18</v>
      </c>
      <c r="AC23" s="291" t="n">
        <v>31.75</v>
      </c>
      <c r="AD23" s="291" t="n">
        <v>32.54</v>
      </c>
      <c r="AE23" s="291" t="n">
        <v>33.32</v>
      </c>
      <c r="AF23" s="291" t="n">
        <v>34.93</v>
      </c>
      <c r="AG23" s="291" t="n">
        <v>38.1</v>
      </c>
      <c r="AH23" s="291" t="n">
        <v>44.45</v>
      </c>
      <c r="AI23" s="291" t="n">
        <v>50.01</v>
      </c>
      <c r="AJ23" s="291" t="n"/>
      <c r="AK23" s="291" t="n"/>
    </row>
    <row r="24" hidden="1" s="510">
      <c r="D24" s="290" t="n">
        <v>22</v>
      </c>
      <c r="E24" s="292" t="n">
        <v>4.78</v>
      </c>
      <c r="F24" s="292" t="n">
        <v>5.56</v>
      </c>
      <c r="G24" s="292" t="n">
        <v>6.35</v>
      </c>
      <c r="H24" s="292" t="n">
        <v>7.14</v>
      </c>
      <c r="I24" s="292" t="n">
        <v>7.92</v>
      </c>
      <c r="J24" s="292" t="n">
        <v>8.74</v>
      </c>
      <c r="K24" s="292" t="n">
        <v>9.529999999999999</v>
      </c>
      <c r="L24" s="292" t="n">
        <v>10.31</v>
      </c>
      <c r="M24" s="292" t="n">
        <v>11.13</v>
      </c>
      <c r="N24" s="292" t="n">
        <v>11.91</v>
      </c>
      <c r="O24" s="292" t="n">
        <v>12.7</v>
      </c>
      <c r="P24" s="292" t="n">
        <v>14.27</v>
      </c>
      <c r="Q24" s="291" t="n">
        <v>15.88</v>
      </c>
      <c r="R24" s="291" t="n">
        <v>17.48</v>
      </c>
      <c r="S24" s="291" t="n">
        <v>19.05</v>
      </c>
      <c r="T24" s="291" t="n">
        <v>20.62</v>
      </c>
      <c r="U24" s="291" t="n">
        <v>22.23</v>
      </c>
      <c r="V24" s="291" t="n">
        <v>23.83</v>
      </c>
      <c r="W24" s="291" t="n">
        <v>25.4</v>
      </c>
      <c r="X24" s="291" t="n">
        <v>26.97</v>
      </c>
      <c r="Y24" s="291" t="n">
        <v>28.58</v>
      </c>
      <c r="Z24" s="291" t="n">
        <v>30.18</v>
      </c>
      <c r="AA24" s="291" t="n">
        <v>31.75</v>
      </c>
      <c r="AB24" s="291" t="n">
        <v>33.92</v>
      </c>
      <c r="AC24" s="291" t="n">
        <v>34.93</v>
      </c>
      <c r="AD24" s="291" t="n">
        <v>36.53</v>
      </c>
      <c r="AE24" s="291" t="n">
        <v>38.1</v>
      </c>
      <c r="AF24" s="291" t="n">
        <v>41.28</v>
      </c>
      <c r="AG24" s="291" t="n">
        <v>47.63</v>
      </c>
      <c r="AH24" s="291" t="n">
        <v>53.98</v>
      </c>
      <c r="AI24" s="291" t="n"/>
      <c r="AJ24" s="291" t="n"/>
      <c r="AK24" s="291" t="n"/>
    </row>
    <row r="25" hidden="1" s="510">
      <c r="D25" s="290" t="n">
        <v>24</v>
      </c>
      <c r="E25" s="291" t="n">
        <v>5.54</v>
      </c>
      <c r="F25" s="291" t="n">
        <v>6.35</v>
      </c>
      <c r="G25" s="291" t="n">
        <v>7.14</v>
      </c>
      <c r="H25" s="291" t="n">
        <v>7.92</v>
      </c>
      <c r="I25" s="291" t="n">
        <v>8.74</v>
      </c>
      <c r="J25" s="291" t="n">
        <v>9.529999999999999</v>
      </c>
      <c r="K25" s="291" t="n">
        <v>10.31</v>
      </c>
      <c r="L25" s="291" t="n">
        <v>11.13</v>
      </c>
      <c r="M25" s="291" t="n">
        <v>11.91</v>
      </c>
      <c r="N25" s="291" t="n">
        <v>12.7</v>
      </c>
      <c r="O25" s="291" t="n">
        <v>14.27</v>
      </c>
      <c r="P25" s="291" t="n">
        <v>15.88</v>
      </c>
      <c r="Q25" s="291" t="n">
        <v>17.48</v>
      </c>
      <c r="R25" s="291" t="n">
        <v>19.05</v>
      </c>
      <c r="S25" s="291" t="n">
        <v>20.62</v>
      </c>
      <c r="T25" s="291" t="n">
        <v>22.23</v>
      </c>
      <c r="U25" s="291" t="n">
        <v>23.83</v>
      </c>
      <c r="V25" s="291" t="n">
        <v>24.61</v>
      </c>
      <c r="W25" s="292" t="n">
        <v>25.4</v>
      </c>
      <c r="X25" s="292" t="n">
        <v>26.97</v>
      </c>
      <c r="Y25" s="292" t="n">
        <v>28.58</v>
      </c>
      <c r="Z25" s="292" t="n">
        <v>30.18</v>
      </c>
      <c r="AA25" s="291" t="n">
        <v>30.96</v>
      </c>
      <c r="AB25" s="291" t="n">
        <v>31.75</v>
      </c>
      <c r="AC25" s="291" t="n">
        <v>33.32</v>
      </c>
      <c r="AD25" s="291" t="n">
        <v>34.93</v>
      </c>
      <c r="AE25" s="291" t="n">
        <v>36.53</v>
      </c>
      <c r="AF25" s="291" t="n">
        <v>38.1</v>
      </c>
      <c r="AG25" s="291" t="n">
        <v>38.89</v>
      </c>
      <c r="AH25" s="291" t="n">
        <v>39.67</v>
      </c>
      <c r="AI25" s="291" t="n">
        <v>46.02</v>
      </c>
      <c r="AJ25" s="291" t="n">
        <v>52.37</v>
      </c>
      <c r="AK25" s="291" t="n">
        <v>59.54</v>
      </c>
    </row>
    <row r="26" hidden="1" s="510">
      <c r="D26" s="290" t="n">
        <v>26</v>
      </c>
      <c r="E26" s="291" t="n">
        <v>6.35</v>
      </c>
      <c r="F26" s="291" t="n">
        <v>7.14</v>
      </c>
      <c r="G26" s="291" t="n">
        <v>7.92</v>
      </c>
      <c r="H26" s="291" t="n">
        <v>8.74</v>
      </c>
      <c r="I26" s="291" t="n">
        <v>9.529999999999999</v>
      </c>
      <c r="J26" s="291" t="n">
        <v>10.31</v>
      </c>
      <c r="K26" s="291" t="n">
        <v>11.13</v>
      </c>
      <c r="L26" s="291" t="n">
        <v>11.91</v>
      </c>
      <c r="M26" s="291" t="n">
        <v>12.7</v>
      </c>
      <c r="N26" s="291" t="n">
        <v>14.27</v>
      </c>
      <c r="O26" s="291" t="n">
        <v>15.88</v>
      </c>
      <c r="P26" s="291" t="n">
        <v>17.48</v>
      </c>
      <c r="Q26" s="291" t="n">
        <v>19.05</v>
      </c>
      <c r="R26" s="291" t="n">
        <v>20.62</v>
      </c>
      <c r="S26" s="291" t="n">
        <v>22.23</v>
      </c>
      <c r="T26" s="291" t="n">
        <v>23.83</v>
      </c>
      <c r="U26" s="291" t="n">
        <v>25.4</v>
      </c>
      <c r="V26" s="291" t="n"/>
      <c r="W26" s="291" t="n"/>
      <c r="X26" s="291" t="n"/>
      <c r="Y26" s="291" t="n"/>
      <c r="Z26" s="291" t="n"/>
      <c r="AA26" s="291" t="n"/>
      <c r="AB26" s="291" t="n"/>
      <c r="AC26" s="291" t="n"/>
      <c r="AD26" s="291" t="n"/>
      <c r="AE26" s="291" t="n"/>
      <c r="AF26" s="291" t="n"/>
      <c r="AG26" s="291" t="n"/>
      <c r="AH26" s="291" t="n"/>
      <c r="AI26" s="291" t="n"/>
      <c r="AJ26" s="291" t="n"/>
      <c r="AK26" s="291" t="n"/>
    </row>
    <row r="27" hidden="1" s="510">
      <c r="D27" s="290" t="n">
        <v>28</v>
      </c>
      <c r="E27" s="292" t="n">
        <v>6.35</v>
      </c>
      <c r="F27" s="292" t="n">
        <v>7.14</v>
      </c>
      <c r="G27" s="292" t="n">
        <v>7.92</v>
      </c>
      <c r="H27" s="292" t="n">
        <v>8.74</v>
      </c>
      <c r="I27" s="292" t="n">
        <v>9.529999999999999</v>
      </c>
      <c r="J27" s="292" t="n">
        <v>10.31</v>
      </c>
      <c r="K27" s="292" t="n">
        <v>11.13</v>
      </c>
      <c r="L27" s="292" t="n">
        <v>11.91</v>
      </c>
      <c r="M27" s="292" t="n">
        <v>12.7</v>
      </c>
      <c r="N27" s="292" t="n">
        <v>14.27</v>
      </c>
      <c r="O27" s="292" t="n">
        <v>15.88</v>
      </c>
      <c r="P27" s="292" t="n">
        <v>17.48</v>
      </c>
      <c r="Q27" s="292" t="n">
        <v>19.05</v>
      </c>
      <c r="R27" s="292" t="n">
        <v>20.62</v>
      </c>
      <c r="S27" s="292" t="n">
        <v>22.23</v>
      </c>
      <c r="T27" s="292" t="n">
        <v>23.83</v>
      </c>
      <c r="U27" s="292" t="n">
        <v>25.4</v>
      </c>
      <c r="V27" s="291" t="n"/>
      <c r="W27" s="291" t="n"/>
      <c r="X27" s="291" t="n"/>
      <c r="Y27" s="291" t="n"/>
      <c r="Z27" s="291" t="n"/>
      <c r="AA27" s="291" t="n"/>
      <c r="AB27" s="291" t="n"/>
      <c r="AC27" s="291" t="n"/>
      <c r="AD27" s="291" t="n"/>
      <c r="AE27" s="291" t="n"/>
      <c r="AF27" s="291" t="n"/>
      <c r="AG27" s="291" t="n"/>
      <c r="AH27" s="291" t="n"/>
      <c r="AI27" s="291" t="n"/>
      <c r="AJ27" s="291" t="n"/>
      <c r="AK27" s="291" t="n"/>
    </row>
    <row r="28" hidden="1" s="510">
      <c r="D28" s="290" t="n">
        <v>30</v>
      </c>
      <c r="E28" s="292" t="n">
        <v>6.35</v>
      </c>
      <c r="F28" s="292" t="n">
        <v>7.14</v>
      </c>
      <c r="G28" s="292" t="n">
        <v>7.92</v>
      </c>
      <c r="H28" s="292" t="n">
        <v>8.74</v>
      </c>
      <c r="I28" s="292" t="n">
        <v>9.529999999999999</v>
      </c>
      <c r="J28" s="292" t="n">
        <v>10.31</v>
      </c>
      <c r="K28" s="292" t="n">
        <v>11.13</v>
      </c>
      <c r="L28" s="292" t="n">
        <v>11.91</v>
      </c>
      <c r="M28" s="292" t="n">
        <v>12.7</v>
      </c>
      <c r="N28" s="292" t="n">
        <v>14.27</v>
      </c>
      <c r="O28" s="292" t="n">
        <v>15.88</v>
      </c>
      <c r="P28" s="292" t="n">
        <v>17.48</v>
      </c>
      <c r="Q28" s="292" t="n">
        <v>19.05</v>
      </c>
      <c r="R28" s="292" t="n">
        <v>20.62</v>
      </c>
      <c r="S28" s="292" t="n">
        <v>22.23</v>
      </c>
      <c r="T28" s="292" t="n">
        <v>23.83</v>
      </c>
      <c r="U28" s="292" t="n">
        <v>25.4</v>
      </c>
      <c r="V28" s="291" t="n">
        <v>26.97</v>
      </c>
      <c r="W28" s="291" t="n">
        <v>28.58</v>
      </c>
      <c r="X28" s="291" t="n">
        <v>30.18</v>
      </c>
      <c r="Y28" s="291" t="n">
        <v>31.75</v>
      </c>
      <c r="Z28" s="291" t="n"/>
      <c r="AA28" s="291" t="n"/>
      <c r="AB28" s="291" t="n"/>
      <c r="AC28" s="291" t="n"/>
      <c r="AD28" s="291" t="n"/>
      <c r="AE28" s="291" t="n"/>
      <c r="AF28" s="291" t="n"/>
      <c r="AG28" s="291" t="n"/>
      <c r="AH28" s="291" t="n"/>
      <c r="AI28" s="291" t="n"/>
      <c r="AJ28" s="291" t="n"/>
      <c r="AK28" s="291" t="n"/>
    </row>
    <row r="29" hidden="1" s="510">
      <c r="D29" s="290" t="n">
        <v>32</v>
      </c>
      <c r="E29" s="292" t="n">
        <v>6.35</v>
      </c>
      <c r="F29" s="292" t="n">
        <v>7.14</v>
      </c>
      <c r="G29" s="292" t="n">
        <v>7.92</v>
      </c>
      <c r="H29" s="292" t="n">
        <v>8.74</v>
      </c>
      <c r="I29" s="292" t="n">
        <v>9.529999999999999</v>
      </c>
      <c r="J29" s="292" t="n">
        <v>10.31</v>
      </c>
      <c r="K29" s="292" t="n">
        <v>11.13</v>
      </c>
      <c r="L29" s="292" t="n">
        <v>11.91</v>
      </c>
      <c r="M29" s="292" t="n">
        <v>12.7</v>
      </c>
      <c r="N29" s="292" t="n">
        <v>14.27</v>
      </c>
      <c r="O29" s="292" t="n">
        <v>15.88</v>
      </c>
      <c r="P29" s="292" t="n">
        <v>17.48</v>
      </c>
      <c r="Q29" s="292" t="n">
        <v>19.05</v>
      </c>
      <c r="R29" s="292" t="n">
        <v>20.62</v>
      </c>
      <c r="S29" s="292" t="n">
        <v>22.23</v>
      </c>
      <c r="T29" s="292" t="n">
        <v>23.83</v>
      </c>
      <c r="U29" s="292" t="n">
        <v>25.4</v>
      </c>
      <c r="V29" s="292" t="n">
        <v>26.97</v>
      </c>
      <c r="W29" s="292" t="n">
        <v>28.58</v>
      </c>
      <c r="X29" s="292" t="n">
        <v>30.18</v>
      </c>
      <c r="Y29" s="292" t="n">
        <v>31.75</v>
      </c>
      <c r="Z29" s="291" t="n"/>
      <c r="AA29" s="291" t="n"/>
      <c r="AB29" s="291" t="n"/>
      <c r="AC29" s="291" t="n"/>
      <c r="AD29" s="291" t="n"/>
      <c r="AE29" s="291" t="n"/>
      <c r="AF29" s="291" t="n"/>
      <c r="AG29" s="291" t="n"/>
      <c r="AH29" s="291" t="n"/>
      <c r="AI29" s="291" t="n"/>
      <c r="AJ29" s="291" t="n"/>
      <c r="AK29" s="291" t="n"/>
    </row>
    <row r="30" hidden="1" s="510">
      <c r="D30" s="290" t="n">
        <v>34</v>
      </c>
      <c r="E30" s="292" t="n">
        <v>6.35</v>
      </c>
      <c r="F30" s="292" t="n">
        <v>7.14</v>
      </c>
      <c r="G30" s="292" t="n">
        <v>7.92</v>
      </c>
      <c r="H30" s="292" t="n">
        <v>8.74</v>
      </c>
      <c r="I30" s="292" t="n">
        <v>9.529999999999999</v>
      </c>
      <c r="J30" s="292" t="n">
        <v>10.31</v>
      </c>
      <c r="K30" s="292" t="n">
        <v>11.13</v>
      </c>
      <c r="L30" s="292" t="n">
        <v>11.91</v>
      </c>
      <c r="M30" s="292" t="n">
        <v>12.7</v>
      </c>
      <c r="N30" s="292" t="n">
        <v>14.27</v>
      </c>
      <c r="O30" s="292" t="n">
        <v>15.88</v>
      </c>
      <c r="P30" s="292" t="n">
        <v>17.48</v>
      </c>
      <c r="Q30" s="292" t="n">
        <v>19.05</v>
      </c>
      <c r="R30" s="292" t="n">
        <v>20.62</v>
      </c>
      <c r="S30" s="292" t="n">
        <v>22.23</v>
      </c>
      <c r="T30" s="292" t="n">
        <v>23.83</v>
      </c>
      <c r="U30" s="292" t="n">
        <v>25.4</v>
      </c>
      <c r="V30" s="292" t="n">
        <v>26.97</v>
      </c>
      <c r="W30" s="292" t="n">
        <v>28.58</v>
      </c>
      <c r="X30" s="292" t="n">
        <v>30.18</v>
      </c>
      <c r="Y30" s="292" t="n">
        <v>31.75</v>
      </c>
      <c r="Z30" s="291" t="n"/>
      <c r="AA30" s="291" t="n"/>
      <c r="AB30" s="291" t="n"/>
      <c r="AC30" s="291" t="n"/>
      <c r="AD30" s="291" t="n"/>
      <c r="AE30" s="291" t="n"/>
      <c r="AF30" s="291" t="n"/>
      <c r="AG30" s="291" t="n"/>
      <c r="AH30" s="291" t="n"/>
      <c r="AI30" s="291" t="n"/>
      <c r="AJ30" s="291" t="n"/>
      <c r="AK30" s="291" t="n"/>
    </row>
    <row r="31" hidden="1" s="510">
      <c r="D31" s="290" t="n">
        <v>36</v>
      </c>
      <c r="E31" s="292" t="n">
        <v>6.35</v>
      </c>
      <c r="F31" s="292" t="n">
        <v>7.14</v>
      </c>
      <c r="G31" s="292" t="n">
        <v>7.92</v>
      </c>
      <c r="H31" s="292" t="n">
        <v>8.74</v>
      </c>
      <c r="I31" s="292" t="n">
        <v>9.529999999999999</v>
      </c>
      <c r="J31" s="292" t="n">
        <v>10.31</v>
      </c>
      <c r="K31" s="292" t="n">
        <v>11.13</v>
      </c>
      <c r="L31" s="292" t="n">
        <v>11.91</v>
      </c>
      <c r="M31" s="292" t="n">
        <v>12.7</v>
      </c>
      <c r="N31" s="292" t="n">
        <v>14.27</v>
      </c>
      <c r="O31" s="292" t="n">
        <v>15.88</v>
      </c>
      <c r="P31" s="292" t="n">
        <v>17.48</v>
      </c>
      <c r="Q31" s="292" t="n">
        <v>19.05</v>
      </c>
      <c r="R31" s="292" t="n">
        <v>20.62</v>
      </c>
      <c r="S31" s="292" t="n">
        <v>22.23</v>
      </c>
      <c r="T31" s="292" t="n">
        <v>23.83</v>
      </c>
      <c r="U31" s="292" t="n">
        <v>25.4</v>
      </c>
      <c r="V31" s="292" t="n">
        <v>26.97</v>
      </c>
      <c r="W31" s="292" t="n">
        <v>28.58</v>
      </c>
      <c r="X31" s="292" t="n">
        <v>30.18</v>
      </c>
      <c r="Y31" s="292" t="n">
        <v>31.75</v>
      </c>
      <c r="Z31" s="291" t="n"/>
      <c r="AA31" s="291" t="n"/>
      <c r="AB31" s="291" t="n"/>
      <c r="AC31" s="291" t="n"/>
      <c r="AD31" s="291" t="n"/>
      <c r="AE31" s="291" t="n"/>
      <c r="AF31" s="291" t="n"/>
      <c r="AG31" s="291" t="n"/>
      <c r="AH31" s="291" t="n"/>
      <c r="AI31" s="291" t="n"/>
      <c r="AJ31" s="291" t="n"/>
      <c r="AK31" s="291" t="n"/>
    </row>
    <row r="32" hidden="1" s="510">
      <c r="D32" s="290" t="n">
        <v>38</v>
      </c>
      <c r="E32" s="291" t="n">
        <v>7.92</v>
      </c>
      <c r="F32" s="291" t="n">
        <v>8.74</v>
      </c>
      <c r="G32" s="291" t="n">
        <v>9.529999999999999</v>
      </c>
      <c r="H32" s="291" t="n">
        <v>10.31</v>
      </c>
      <c r="I32" s="291" t="n">
        <v>11.13</v>
      </c>
      <c r="J32" s="291" t="n">
        <v>11.91</v>
      </c>
      <c r="K32" s="291" t="n">
        <v>12.7</v>
      </c>
      <c r="L32" s="291" t="n">
        <v>14.27</v>
      </c>
      <c r="M32" s="291" t="n">
        <v>15.88</v>
      </c>
      <c r="N32" s="291" t="n">
        <v>17.48</v>
      </c>
      <c r="O32" s="291" t="n">
        <v>19.05</v>
      </c>
      <c r="P32" s="291" t="n">
        <v>20.62</v>
      </c>
      <c r="Q32" s="291" t="n">
        <v>22.23</v>
      </c>
      <c r="R32" s="291" t="n">
        <v>23.83</v>
      </c>
      <c r="S32" s="291" t="n">
        <v>25.4</v>
      </c>
      <c r="T32" s="291" t="n">
        <v>26.97</v>
      </c>
      <c r="U32" s="291" t="n">
        <v>28.58</v>
      </c>
      <c r="V32" s="291" t="n">
        <v>30.18</v>
      </c>
      <c r="W32" s="291" t="n">
        <v>31.75</v>
      </c>
      <c r="X32" s="291" t="n"/>
      <c r="Y32" s="291" t="n"/>
      <c r="Z32" s="291" t="n"/>
      <c r="AA32" s="291" t="n"/>
      <c r="AB32" s="291" t="n"/>
      <c r="AC32" s="291" t="n"/>
      <c r="AD32" s="291" t="n"/>
      <c r="AE32" s="291" t="n"/>
      <c r="AF32" s="291" t="n"/>
      <c r="AG32" s="291" t="n"/>
      <c r="AH32" s="291" t="n"/>
      <c r="AI32" s="291" t="n"/>
      <c r="AJ32" s="291" t="n"/>
      <c r="AK32" s="291" t="n"/>
    </row>
    <row r="33" hidden="1" s="510">
      <c r="D33" s="290" t="n">
        <v>40</v>
      </c>
      <c r="E33" s="291" t="n">
        <v>7.92</v>
      </c>
      <c r="F33" s="291" t="n">
        <v>8.74</v>
      </c>
      <c r="G33" s="291" t="n">
        <v>9.529999999999999</v>
      </c>
      <c r="H33" s="291" t="n">
        <v>10.31</v>
      </c>
      <c r="I33" s="291" t="n">
        <v>11.13</v>
      </c>
      <c r="J33" s="291" t="n">
        <v>11.91</v>
      </c>
      <c r="K33" s="291" t="n">
        <v>12.7</v>
      </c>
      <c r="L33" s="291" t="n">
        <v>14.27</v>
      </c>
      <c r="M33" s="291" t="n">
        <v>15.88</v>
      </c>
      <c r="N33" s="291" t="n">
        <v>17.48</v>
      </c>
      <c r="O33" s="291" t="n">
        <v>19.05</v>
      </c>
      <c r="P33" s="291" t="n">
        <v>20.62</v>
      </c>
      <c r="Q33" s="291" t="n">
        <v>22.23</v>
      </c>
      <c r="R33" s="291" t="n">
        <v>23.83</v>
      </c>
      <c r="S33" s="291" t="n">
        <v>25.4</v>
      </c>
      <c r="T33" s="291" t="n">
        <v>26.97</v>
      </c>
      <c r="U33" s="291" t="n">
        <v>28.58</v>
      </c>
      <c r="V33" s="291" t="n">
        <v>30.18</v>
      </c>
      <c r="W33" s="291" t="n">
        <v>31.75</v>
      </c>
      <c r="X33" s="291" t="n"/>
      <c r="Y33" s="291" t="n"/>
      <c r="Z33" s="291" t="n"/>
      <c r="AA33" s="291" t="n"/>
      <c r="AB33" s="291" t="n"/>
      <c r="AC33" s="291" t="n"/>
      <c r="AD33" s="291" t="n"/>
      <c r="AE33" s="291" t="n"/>
      <c r="AF33" s="291" t="n"/>
      <c r="AG33" s="291" t="n"/>
      <c r="AH33" s="291" t="n"/>
      <c r="AI33" s="291" t="n"/>
      <c r="AJ33" s="291" t="n"/>
      <c r="AK33" s="291" t="n"/>
    </row>
    <row r="34" hidden="1" s="510">
      <c r="D34" s="290" t="n">
        <v>42</v>
      </c>
      <c r="E34" s="291" t="n">
        <v>8.74</v>
      </c>
      <c r="F34" s="291" t="n">
        <v>9.529999999999999</v>
      </c>
      <c r="G34" s="291" t="n">
        <v>10.31</v>
      </c>
      <c r="H34" s="291" t="n">
        <v>11.13</v>
      </c>
      <c r="I34" s="291" t="n">
        <v>11.91</v>
      </c>
      <c r="J34" s="291" t="n">
        <v>12.7</v>
      </c>
      <c r="K34" s="291" t="n">
        <v>14.27</v>
      </c>
      <c r="L34" s="291" t="n">
        <v>15.88</v>
      </c>
      <c r="M34" s="291" t="n">
        <v>17.48</v>
      </c>
      <c r="N34" s="291" t="n">
        <v>19.05</v>
      </c>
      <c r="O34" s="291" t="n">
        <v>20.62</v>
      </c>
      <c r="P34" s="291" t="n">
        <v>22.23</v>
      </c>
      <c r="Q34" s="291" t="n">
        <v>23.83</v>
      </c>
      <c r="R34" s="291" t="n">
        <v>25.4</v>
      </c>
      <c r="S34" s="291" t="n">
        <v>26.97</v>
      </c>
      <c r="T34" s="291" t="n">
        <v>28.58</v>
      </c>
      <c r="U34" s="291" t="n">
        <v>30.18</v>
      </c>
      <c r="V34" s="291" t="n">
        <v>31.75</v>
      </c>
      <c r="W34" s="291" t="n"/>
      <c r="X34" s="291" t="n"/>
      <c r="Y34" s="291" t="n"/>
      <c r="Z34" s="291" t="n"/>
      <c r="AA34" s="291" t="n"/>
      <c r="AB34" s="291" t="n"/>
      <c r="AC34" s="291" t="n"/>
      <c r="AD34" s="291" t="n"/>
      <c r="AE34" s="291" t="n"/>
      <c r="AF34" s="291" t="n"/>
      <c r="AG34" s="291" t="n"/>
      <c r="AH34" s="291" t="n"/>
      <c r="AI34" s="291" t="n"/>
      <c r="AJ34" s="291" t="n"/>
      <c r="AK34" s="291" t="n"/>
    </row>
    <row r="35" hidden="1" s="510">
      <c r="D35" s="290" t="n">
        <v>44</v>
      </c>
      <c r="E35" s="291" t="n">
        <v>8.74</v>
      </c>
      <c r="F35" s="291" t="n">
        <v>9.529999999999999</v>
      </c>
      <c r="G35" s="291" t="n">
        <v>10.31</v>
      </c>
      <c r="H35" s="291" t="n">
        <v>11.13</v>
      </c>
      <c r="I35" s="291" t="n">
        <v>11.91</v>
      </c>
      <c r="J35" s="291" t="n">
        <v>12.7</v>
      </c>
      <c r="K35" s="291" t="n">
        <v>14.27</v>
      </c>
      <c r="L35" s="291" t="n">
        <v>15.88</v>
      </c>
      <c r="M35" s="291" t="n">
        <v>17.48</v>
      </c>
      <c r="N35" s="291" t="n">
        <v>19.05</v>
      </c>
      <c r="O35" s="291" t="n">
        <v>20.62</v>
      </c>
      <c r="P35" s="291" t="n">
        <v>22.23</v>
      </c>
      <c r="Q35" s="291" t="n">
        <v>23.83</v>
      </c>
      <c r="R35" s="291" t="n">
        <v>25.4</v>
      </c>
      <c r="S35" s="291" t="n">
        <v>26.97</v>
      </c>
      <c r="T35" s="291" t="n">
        <v>28.58</v>
      </c>
      <c r="U35" s="291" t="n">
        <v>30.18</v>
      </c>
      <c r="V35" s="291" t="n">
        <v>31.75</v>
      </c>
      <c r="W35" s="291" t="n"/>
      <c r="X35" s="291" t="n"/>
      <c r="Y35" s="291" t="n"/>
      <c r="Z35" s="291" t="n"/>
      <c r="AA35" s="291" t="n"/>
      <c r="AB35" s="291" t="n"/>
      <c r="AC35" s="291" t="n"/>
      <c r="AD35" s="291" t="n"/>
      <c r="AE35" s="291" t="n"/>
      <c r="AF35" s="291" t="n"/>
      <c r="AG35" s="291" t="n"/>
      <c r="AH35" s="291" t="n"/>
      <c r="AI35" s="291" t="n"/>
      <c r="AJ35" s="291" t="n"/>
      <c r="AK35" s="291" t="n"/>
    </row>
    <row r="36" hidden="1" s="510">
      <c r="D36" s="290" t="n">
        <v>46</v>
      </c>
      <c r="E36" s="291" t="n">
        <v>8.74</v>
      </c>
      <c r="F36" s="291" t="n">
        <v>9.529999999999999</v>
      </c>
      <c r="G36" s="291" t="n">
        <v>10.31</v>
      </c>
      <c r="H36" s="291" t="n">
        <v>11.13</v>
      </c>
      <c r="I36" s="291" t="n">
        <v>11.91</v>
      </c>
      <c r="J36" s="291" t="n">
        <v>12.7</v>
      </c>
      <c r="K36" s="291" t="n">
        <v>14.27</v>
      </c>
      <c r="L36" s="291" t="n">
        <v>15.88</v>
      </c>
      <c r="M36" s="291" t="n">
        <v>17.48</v>
      </c>
      <c r="N36" s="291" t="n">
        <v>19.05</v>
      </c>
      <c r="O36" s="291" t="n">
        <v>20.62</v>
      </c>
      <c r="P36" s="291" t="n">
        <v>22.23</v>
      </c>
      <c r="Q36" s="291" t="n">
        <v>23.83</v>
      </c>
      <c r="R36" s="291" t="n">
        <v>25.4</v>
      </c>
      <c r="S36" s="291" t="n">
        <v>26.97</v>
      </c>
      <c r="T36" s="291" t="n">
        <v>28.58</v>
      </c>
      <c r="U36" s="291" t="n">
        <v>30.18</v>
      </c>
      <c r="V36" s="291" t="n">
        <v>31.75</v>
      </c>
      <c r="W36" s="291" t="n"/>
      <c r="X36" s="291" t="n"/>
      <c r="Y36" s="291" t="n"/>
      <c r="Z36" s="291" t="n"/>
      <c r="AA36" s="291" t="n"/>
      <c r="AB36" s="291" t="n"/>
      <c r="AC36" s="291" t="n"/>
      <c r="AD36" s="291" t="n"/>
      <c r="AE36" s="291" t="n"/>
      <c r="AF36" s="291" t="n"/>
      <c r="AG36" s="291" t="n"/>
      <c r="AH36" s="291" t="n"/>
      <c r="AI36" s="291" t="n"/>
      <c r="AJ36" s="291" t="n"/>
      <c r="AK36" s="291" t="n"/>
    </row>
    <row r="37" hidden="1" s="510">
      <c r="D37" s="290" t="n">
        <v>48</v>
      </c>
      <c r="E37" s="291" t="n">
        <v>8.74</v>
      </c>
      <c r="F37" s="291" t="n">
        <v>9.529999999999999</v>
      </c>
      <c r="G37" s="291" t="n">
        <v>10.31</v>
      </c>
      <c r="H37" s="291" t="n">
        <v>11.13</v>
      </c>
      <c r="I37" s="291" t="n">
        <v>11.91</v>
      </c>
      <c r="J37" s="291" t="n">
        <v>12.7</v>
      </c>
      <c r="K37" s="291" t="n">
        <v>14.27</v>
      </c>
      <c r="L37" s="291" t="n">
        <v>15.88</v>
      </c>
      <c r="M37" s="291" t="n">
        <v>17.48</v>
      </c>
      <c r="N37" s="291" t="n">
        <v>19.05</v>
      </c>
      <c r="O37" s="291" t="n">
        <v>20.62</v>
      </c>
      <c r="P37" s="291" t="n">
        <v>22.23</v>
      </c>
      <c r="Q37" s="291" t="n">
        <v>23.83</v>
      </c>
      <c r="R37" s="291" t="n">
        <v>25.4</v>
      </c>
      <c r="S37" s="291" t="n">
        <v>26.97</v>
      </c>
      <c r="T37" s="291" t="n">
        <v>28.58</v>
      </c>
      <c r="U37" s="291" t="n">
        <v>30.18</v>
      </c>
      <c r="V37" s="291" t="n">
        <v>31.75</v>
      </c>
      <c r="W37" s="291" t="n"/>
      <c r="X37" s="291" t="n"/>
      <c r="Y37" s="291" t="n"/>
      <c r="Z37" s="291" t="n"/>
      <c r="AA37" s="291" t="n"/>
      <c r="AB37" s="291" t="n"/>
      <c r="AC37" s="291" t="n"/>
      <c r="AD37" s="291" t="n"/>
      <c r="AE37" s="291" t="n"/>
      <c r="AF37" s="291" t="n"/>
      <c r="AG37" s="291" t="n"/>
      <c r="AH37" s="291" t="n"/>
      <c r="AI37" s="291" t="n"/>
      <c r="AJ37" s="291" t="n"/>
      <c r="AK37" s="291" t="n"/>
    </row>
    <row r="38" hidden="1" s="510">
      <c r="D38" s="290" t="n">
        <v>52</v>
      </c>
      <c r="E38" s="291" t="n">
        <v>9.529999999999999</v>
      </c>
      <c r="F38" s="291" t="n">
        <v>10.31</v>
      </c>
      <c r="G38" s="291" t="n">
        <v>11.13</v>
      </c>
      <c r="H38" s="291" t="n">
        <v>11.91</v>
      </c>
      <c r="I38" s="291" t="n">
        <v>12.7</v>
      </c>
      <c r="J38" s="291" t="n">
        <v>14.27</v>
      </c>
      <c r="K38" s="291" t="n">
        <v>15.88</v>
      </c>
      <c r="L38" s="291" t="n">
        <v>17.48</v>
      </c>
      <c r="M38" s="291" t="n">
        <v>19.05</v>
      </c>
      <c r="N38" s="291" t="n">
        <v>20.62</v>
      </c>
      <c r="O38" s="291" t="n">
        <v>22.23</v>
      </c>
      <c r="P38" s="291" t="n">
        <v>23.83</v>
      </c>
      <c r="Q38" s="291" t="n">
        <v>25.4</v>
      </c>
      <c r="R38" s="291" t="n">
        <v>26.97</v>
      </c>
      <c r="S38" s="291" t="n">
        <v>28.58</v>
      </c>
      <c r="T38" s="291" t="n">
        <v>30.18</v>
      </c>
      <c r="U38" s="291" t="n">
        <v>31.75</v>
      </c>
      <c r="V38" s="291" t="n"/>
      <c r="W38" s="291" t="n"/>
      <c r="X38" s="291" t="n"/>
      <c r="Y38" s="291" t="n"/>
      <c r="Z38" s="291" t="n"/>
      <c r="AA38" s="291" t="n"/>
      <c r="AB38" s="291" t="n"/>
      <c r="AC38" s="291" t="n"/>
      <c r="AD38" s="291" t="n"/>
      <c r="AE38" s="291" t="n"/>
      <c r="AF38" s="291" t="n"/>
      <c r="AG38" s="291" t="n"/>
      <c r="AH38" s="291" t="n"/>
      <c r="AI38" s="291" t="n"/>
      <c r="AJ38" s="291" t="n"/>
      <c r="AK38" s="291" t="n"/>
    </row>
    <row r="39" hidden="1" s="510">
      <c r="D39" s="290" t="n">
        <v>56</v>
      </c>
      <c r="E39" s="291" t="n">
        <v>9.529999999999999</v>
      </c>
      <c r="F39" s="291" t="n">
        <v>10.31</v>
      </c>
      <c r="G39" s="291" t="n">
        <v>11.13</v>
      </c>
      <c r="H39" s="291" t="n">
        <v>11.91</v>
      </c>
      <c r="I39" s="291" t="n">
        <v>12.7</v>
      </c>
      <c r="J39" s="291" t="n">
        <v>14.27</v>
      </c>
      <c r="K39" s="291" t="n">
        <v>15.88</v>
      </c>
      <c r="L39" s="291" t="n">
        <v>17.48</v>
      </c>
      <c r="M39" s="291" t="n">
        <v>19.05</v>
      </c>
      <c r="N39" s="291" t="n">
        <v>20.62</v>
      </c>
      <c r="O39" s="291" t="n">
        <v>22.23</v>
      </c>
      <c r="P39" s="291" t="n">
        <v>23.83</v>
      </c>
      <c r="Q39" s="291" t="n">
        <v>25.4</v>
      </c>
      <c r="R39" s="291" t="n">
        <v>26.97</v>
      </c>
      <c r="S39" s="291" t="n">
        <v>28.58</v>
      </c>
      <c r="T39" s="291" t="n">
        <v>30.18</v>
      </c>
      <c r="U39" s="291" t="n">
        <v>31.75</v>
      </c>
      <c r="V39" s="291" t="n"/>
      <c r="W39" s="291" t="n"/>
      <c r="X39" s="291" t="n"/>
      <c r="Y39" s="291" t="n"/>
      <c r="Z39" s="291" t="n"/>
      <c r="AA39" s="291" t="n"/>
      <c r="AB39" s="291" t="n"/>
      <c r="AC39" s="291" t="n"/>
      <c r="AD39" s="291" t="n"/>
      <c r="AE39" s="291" t="n"/>
      <c r="AF39" s="291" t="n"/>
      <c r="AG39" s="291" t="n"/>
      <c r="AH39" s="291" t="n"/>
      <c r="AI39" s="291" t="n"/>
      <c r="AJ39" s="291" t="n"/>
      <c r="AK39" s="291" t="n"/>
    </row>
    <row r="40" hidden="1" s="510">
      <c r="D40" s="290" t="n">
        <v>60</v>
      </c>
      <c r="E40" s="291" t="n">
        <v>9.529999999999999</v>
      </c>
      <c r="F40" s="291" t="n">
        <v>10.31</v>
      </c>
      <c r="G40" s="291" t="n">
        <v>11.13</v>
      </c>
      <c r="H40" s="291" t="n">
        <v>11.91</v>
      </c>
      <c r="I40" s="291" t="n">
        <v>12.7</v>
      </c>
      <c r="J40" s="291" t="n">
        <v>14.27</v>
      </c>
      <c r="K40" s="291" t="n">
        <v>15.88</v>
      </c>
      <c r="L40" s="291" t="n">
        <v>17.48</v>
      </c>
      <c r="M40" s="291" t="n">
        <v>19.05</v>
      </c>
      <c r="N40" s="291" t="n">
        <v>20.62</v>
      </c>
      <c r="O40" s="291" t="n">
        <v>22.23</v>
      </c>
      <c r="P40" s="291" t="n">
        <v>23.83</v>
      </c>
      <c r="Q40" s="291" t="n">
        <v>25.4</v>
      </c>
      <c r="R40" s="291" t="n">
        <v>26.97</v>
      </c>
      <c r="S40" s="291" t="n">
        <v>28.58</v>
      </c>
      <c r="T40" s="291" t="n">
        <v>30.18</v>
      </c>
      <c r="U40" s="291" t="n">
        <v>31.75</v>
      </c>
      <c r="V40" s="291" t="n"/>
      <c r="W40" s="291" t="n"/>
      <c r="X40" s="291" t="n"/>
      <c r="Y40" s="291" t="n"/>
      <c r="Z40" s="291" t="n"/>
      <c r="AA40" s="291" t="n"/>
      <c r="AB40" s="291" t="n"/>
      <c r="AC40" s="291" t="n"/>
      <c r="AD40" s="291" t="n"/>
      <c r="AE40" s="291" t="n"/>
      <c r="AF40" s="291" t="n"/>
      <c r="AG40" s="291" t="n"/>
      <c r="AH40" s="291" t="n"/>
      <c r="AI40" s="291" t="n"/>
      <c r="AJ40" s="291" t="n"/>
      <c r="AK40" s="291" t="n"/>
    </row>
    <row r="41" hidden="1" s="510">
      <c r="D41" s="290" t="n">
        <v>64</v>
      </c>
      <c r="E41" s="291" t="n">
        <v>9.529999999999999</v>
      </c>
      <c r="F41" s="291" t="n">
        <v>10.31</v>
      </c>
      <c r="G41" s="291" t="n">
        <v>11.13</v>
      </c>
      <c r="H41" s="291" t="n">
        <v>11.91</v>
      </c>
      <c r="I41" s="291" t="n">
        <v>12.7</v>
      </c>
      <c r="J41" s="291" t="n">
        <v>14.27</v>
      </c>
      <c r="K41" s="291" t="n">
        <v>15.88</v>
      </c>
      <c r="L41" s="291" t="n">
        <v>17.48</v>
      </c>
      <c r="M41" s="291" t="n">
        <v>19.05</v>
      </c>
      <c r="N41" s="291" t="n">
        <v>20.62</v>
      </c>
      <c r="O41" s="291" t="n">
        <v>22.23</v>
      </c>
      <c r="P41" s="291" t="n">
        <v>23.83</v>
      </c>
      <c r="Q41" s="291" t="n">
        <v>25.4</v>
      </c>
      <c r="R41" s="291" t="n">
        <v>26.97</v>
      </c>
      <c r="S41" s="291" t="n">
        <v>28.58</v>
      </c>
      <c r="T41" s="291" t="n">
        <v>30.18</v>
      </c>
      <c r="U41" s="291" t="n">
        <v>31.75</v>
      </c>
      <c r="V41" s="291" t="n"/>
      <c r="W41" s="291" t="n"/>
      <c r="X41" s="291" t="n"/>
      <c r="Y41" s="291" t="n"/>
      <c r="Z41" s="291" t="n"/>
      <c r="AA41" s="291" t="n"/>
      <c r="AB41" s="291" t="n"/>
      <c r="AC41" s="291" t="n"/>
      <c r="AD41" s="291" t="n"/>
      <c r="AE41" s="291" t="n"/>
      <c r="AF41" s="291" t="n"/>
      <c r="AG41" s="291" t="n"/>
      <c r="AH41" s="291" t="n"/>
      <c r="AI41" s="291" t="n"/>
      <c r="AJ41" s="291" t="n"/>
      <c r="AK41" s="291" t="n"/>
    </row>
    <row r="42" hidden="1" s="510">
      <c r="D42" s="290" t="n">
        <v>68</v>
      </c>
      <c r="E42" s="291" t="n">
        <v>11.91</v>
      </c>
      <c r="F42" s="291" t="n">
        <v>12.7</v>
      </c>
      <c r="G42" s="291" t="n">
        <v>14.27</v>
      </c>
      <c r="H42" s="291" t="n">
        <v>15.88</v>
      </c>
      <c r="I42" s="291" t="n">
        <v>17.48</v>
      </c>
      <c r="J42" s="291" t="n">
        <v>19.05</v>
      </c>
      <c r="K42" s="291" t="n">
        <v>20.62</v>
      </c>
      <c r="L42" s="291" t="n">
        <v>22.23</v>
      </c>
      <c r="M42" s="291" t="n">
        <v>23.83</v>
      </c>
      <c r="N42" s="291" t="n">
        <v>25.4</v>
      </c>
      <c r="O42" s="291" t="n">
        <v>26.97</v>
      </c>
      <c r="P42" s="291" t="n">
        <v>28.58</v>
      </c>
      <c r="Q42" s="291" t="n">
        <v>30.18</v>
      </c>
      <c r="R42" s="291" t="n">
        <v>31.75</v>
      </c>
      <c r="S42" s="291" t="n"/>
      <c r="T42" s="291" t="n"/>
      <c r="U42" s="291" t="n"/>
      <c r="V42" s="291" t="n"/>
      <c r="W42" s="291" t="n"/>
      <c r="X42" s="291" t="n"/>
      <c r="Y42" s="291" t="n"/>
      <c r="Z42" s="291" t="n"/>
      <c r="AA42" s="291" t="n"/>
      <c r="AB42" s="291" t="n"/>
      <c r="AC42" s="291" t="n"/>
      <c r="AD42" s="291" t="n"/>
      <c r="AE42" s="291" t="n"/>
      <c r="AF42" s="291" t="n"/>
      <c r="AG42" s="291" t="n"/>
      <c r="AH42" s="291" t="n"/>
      <c r="AI42" s="291" t="n"/>
      <c r="AJ42" s="291" t="n"/>
      <c r="AK42" s="291" t="n"/>
    </row>
    <row r="43" hidden="1" s="510">
      <c r="D43" s="290" t="n">
        <v>72</v>
      </c>
      <c r="E43" s="291" t="n">
        <v>12.7</v>
      </c>
      <c r="F43" s="291" t="n">
        <v>14.27</v>
      </c>
      <c r="G43" s="291" t="n">
        <v>15.88</v>
      </c>
      <c r="H43" s="291" t="n">
        <v>17.48</v>
      </c>
      <c r="I43" s="291" t="n">
        <v>19.05</v>
      </c>
      <c r="J43" s="291" t="n">
        <v>20.62</v>
      </c>
      <c r="K43" s="291" t="n">
        <v>22.23</v>
      </c>
      <c r="L43" s="291" t="n">
        <v>23.83</v>
      </c>
      <c r="M43" s="291" t="n">
        <v>25.4</v>
      </c>
      <c r="N43" s="291" t="n">
        <v>26.97</v>
      </c>
      <c r="O43" s="291" t="n">
        <v>28.58</v>
      </c>
      <c r="P43" s="291" t="n">
        <v>30.18</v>
      </c>
      <c r="Q43" s="291" t="n">
        <v>31.75</v>
      </c>
      <c r="R43" s="291" t="n"/>
      <c r="S43" s="291" t="n"/>
      <c r="T43" s="291" t="n"/>
      <c r="U43" s="291" t="n"/>
      <c r="V43" s="291" t="n"/>
      <c r="W43" s="291" t="n"/>
      <c r="X43" s="291" t="n"/>
      <c r="Y43" s="291" t="n"/>
      <c r="Z43" s="291" t="n"/>
      <c r="AA43" s="291" t="n"/>
      <c r="AB43" s="291" t="n"/>
      <c r="AC43" s="291" t="n"/>
      <c r="AD43" s="291" t="n"/>
      <c r="AE43" s="291" t="n"/>
      <c r="AF43" s="291" t="n"/>
      <c r="AG43" s="291" t="n"/>
      <c r="AH43" s="291" t="n"/>
      <c r="AI43" s="291" t="n"/>
      <c r="AJ43" s="291" t="n"/>
      <c r="AK43" s="291" t="n"/>
    </row>
    <row r="44" hidden="1" s="510">
      <c r="D44" s="290" t="n">
        <v>76</v>
      </c>
      <c r="E44" s="291" t="n">
        <v>12.7</v>
      </c>
      <c r="F44" s="291" t="n">
        <v>14.27</v>
      </c>
      <c r="G44" s="291" t="n">
        <v>15.88</v>
      </c>
      <c r="H44" s="291" t="n">
        <v>17.48</v>
      </c>
      <c r="I44" s="291" t="n">
        <v>19.05</v>
      </c>
      <c r="J44" s="291" t="n">
        <v>20.62</v>
      </c>
      <c r="K44" s="291" t="n">
        <v>22.23</v>
      </c>
      <c r="L44" s="291" t="n">
        <v>23.83</v>
      </c>
      <c r="M44" s="291" t="n">
        <v>25.4</v>
      </c>
      <c r="N44" s="291" t="n">
        <v>26.97</v>
      </c>
      <c r="O44" s="291" t="n">
        <v>28.58</v>
      </c>
      <c r="P44" s="291" t="n">
        <v>30.18</v>
      </c>
      <c r="Q44" s="291" t="n">
        <v>31.75</v>
      </c>
      <c r="R44" s="291" t="n"/>
      <c r="S44" s="291" t="n"/>
      <c r="T44" s="291" t="n"/>
      <c r="U44" s="291" t="n"/>
      <c r="V44" s="291" t="n"/>
      <c r="W44" s="291" t="n"/>
      <c r="X44" s="291" t="n"/>
      <c r="Y44" s="291" t="n"/>
      <c r="Z44" s="291" t="n"/>
      <c r="AA44" s="291" t="n"/>
      <c r="AB44" s="291" t="n"/>
      <c r="AC44" s="291" t="n"/>
      <c r="AD44" s="291" t="n"/>
      <c r="AE44" s="291" t="n"/>
      <c r="AF44" s="291" t="n"/>
      <c r="AG44" s="291" t="n"/>
      <c r="AH44" s="291" t="n"/>
      <c r="AI44" s="291" t="n"/>
      <c r="AJ44" s="291" t="n"/>
      <c r="AK44" s="291" t="n"/>
    </row>
    <row r="45" hidden="1" s="510">
      <c r="D45" s="290" t="n">
        <v>80</v>
      </c>
      <c r="E45" s="291" t="n">
        <v>12.7</v>
      </c>
      <c r="F45" s="291" t="n">
        <v>14.27</v>
      </c>
      <c r="G45" s="291" t="n">
        <v>15.88</v>
      </c>
      <c r="H45" s="291" t="n">
        <v>17.48</v>
      </c>
      <c r="I45" s="291" t="n">
        <v>19.05</v>
      </c>
      <c r="J45" s="291" t="n">
        <v>20.62</v>
      </c>
      <c r="K45" s="291" t="n">
        <v>22.23</v>
      </c>
      <c r="L45" s="291" t="n">
        <v>23.83</v>
      </c>
      <c r="M45" s="291" t="n">
        <v>25.4</v>
      </c>
      <c r="N45" s="291" t="n">
        <v>26.97</v>
      </c>
      <c r="O45" s="291" t="n">
        <v>28.58</v>
      </c>
      <c r="P45" s="291" t="n">
        <v>30.18</v>
      </c>
      <c r="Q45" s="291" t="n">
        <v>31.75</v>
      </c>
      <c r="R45" s="291" t="n"/>
      <c r="S45" s="291" t="n"/>
      <c r="T45" s="291" t="n"/>
      <c r="U45" s="291" t="n"/>
      <c r="V45" s="291" t="n"/>
      <c r="W45" s="291" t="n"/>
      <c r="X45" s="291" t="n"/>
      <c r="Y45" s="291" t="n"/>
      <c r="Z45" s="291" t="n"/>
      <c r="AA45" s="291" t="n"/>
      <c r="AB45" s="291" t="n"/>
      <c r="AC45" s="291" t="n"/>
      <c r="AD45" s="291" t="n"/>
      <c r="AE45" s="291" t="n"/>
      <c r="AF45" s="291" t="n"/>
      <c r="AG45" s="291" t="n"/>
      <c r="AH45" s="291" t="n"/>
      <c r="AI45" s="291" t="n"/>
      <c r="AJ45" s="291" t="n"/>
      <c r="AK45" s="291" t="n"/>
    </row>
    <row r="46" hidden="1" s="510">
      <c r="D46" s="290" t="n"/>
      <c r="E46" s="291" t="n"/>
      <c r="F46" s="291" t="n"/>
      <c r="G46" s="291" t="n"/>
      <c r="H46" s="291" t="n"/>
      <c r="I46" s="291" t="n"/>
      <c r="J46" s="291" t="n"/>
      <c r="K46" s="291" t="n"/>
      <c r="L46" s="291" t="n"/>
      <c r="M46" s="291" t="n"/>
      <c r="N46" s="291" t="n"/>
      <c r="O46" s="291" t="n"/>
      <c r="P46" s="291" t="n"/>
      <c r="Q46" s="291" t="n"/>
      <c r="R46" s="291" t="n"/>
      <c r="S46" s="291" t="n"/>
      <c r="T46" s="291" t="n"/>
      <c r="U46" s="291" t="n"/>
      <c r="V46" s="291" t="n"/>
      <c r="W46" s="291" t="n"/>
      <c r="X46" s="291" t="n"/>
      <c r="Y46" s="291" t="n"/>
      <c r="Z46" s="291" t="n"/>
      <c r="AA46" s="291" t="n"/>
      <c r="AB46" s="291" t="n"/>
      <c r="AC46" s="291" t="n"/>
      <c r="AD46" s="291" t="n"/>
      <c r="AE46" s="291" t="n"/>
      <c r="AF46" s="291" t="n"/>
      <c r="AG46" s="291" t="n"/>
      <c r="AH46" s="291" t="n"/>
      <c r="AI46" s="291" t="n"/>
      <c r="AJ46" s="291" t="n"/>
      <c r="AK46" s="291" t="n"/>
    </row>
    <row r="47" s="510">
      <c r="B47" s="520">
        <f>'Et Kalınlığı Hesaplama'!$B$14</f>
        <v/>
      </c>
      <c r="C47" s="520" t="n"/>
      <c r="D47" s="492">
        <f>'Et Kalınlığı Hesaplama'!$C$5</f>
        <v/>
      </c>
      <c r="E47" s="492">
        <f>$D$47</f>
        <v/>
      </c>
      <c r="F47" s="492">
        <f>$D$47</f>
        <v/>
      </c>
      <c r="G47" s="492">
        <f>$D$47</f>
        <v/>
      </c>
      <c r="H47" s="492">
        <f>$D$47</f>
        <v/>
      </c>
      <c r="I47" s="492">
        <f>$D$47</f>
        <v/>
      </c>
      <c r="J47" s="492">
        <f>$D$47</f>
        <v/>
      </c>
      <c r="K47" s="492">
        <f>$D$47</f>
        <v/>
      </c>
      <c r="L47" s="492">
        <f>$D$47</f>
        <v/>
      </c>
      <c r="M47" s="492">
        <f>$D$47</f>
        <v/>
      </c>
      <c r="N47" s="492">
        <f>$D$47</f>
        <v/>
      </c>
      <c r="O47" s="492">
        <f>$D$47</f>
        <v/>
      </c>
      <c r="P47" s="492">
        <f>$D$47</f>
        <v/>
      </c>
      <c r="Q47" s="492">
        <f>$D$47</f>
        <v/>
      </c>
      <c r="R47" s="492">
        <f>$D$47</f>
        <v/>
      </c>
      <c r="S47" s="492">
        <f>$D$47</f>
        <v/>
      </c>
      <c r="T47" s="492">
        <f>$D$47</f>
        <v/>
      </c>
      <c r="U47" s="492">
        <f>$D$47</f>
        <v/>
      </c>
      <c r="V47" s="492">
        <f>$D$47</f>
        <v/>
      </c>
      <c r="W47" s="492">
        <f>$D$47</f>
        <v/>
      </c>
      <c r="X47" s="492">
        <f>$D$47</f>
        <v/>
      </c>
      <c r="Y47" s="492">
        <f>$D$47</f>
        <v/>
      </c>
      <c r="Z47" s="492">
        <f>$D$47</f>
        <v/>
      </c>
      <c r="AA47" s="492">
        <f>$D$47</f>
        <v/>
      </c>
      <c r="AB47" s="492">
        <f>$D$47</f>
        <v/>
      </c>
      <c r="AC47" s="492">
        <f>$D$47</f>
        <v/>
      </c>
      <c r="AD47" s="492">
        <f>$D$47</f>
        <v/>
      </c>
      <c r="AE47" s="492">
        <f>$D$47</f>
        <v/>
      </c>
      <c r="AF47" s="492">
        <f>$D$47</f>
        <v/>
      </c>
      <c r="AG47" s="492">
        <f>$D$47</f>
        <v/>
      </c>
      <c r="AH47" s="492">
        <f>$D$47</f>
        <v/>
      </c>
      <c r="AI47" s="492">
        <f>$D$47</f>
        <v/>
      </c>
      <c r="AJ47" s="492">
        <f>$D$47</f>
        <v/>
      </c>
      <c r="AK47" s="492">
        <f>$D$47</f>
        <v/>
      </c>
      <c r="AL47" s="492">
        <f>$D$47</f>
        <v/>
      </c>
      <c r="AM47" s="492">
        <f>$D$47</f>
        <v/>
      </c>
      <c r="AN47" s="492">
        <f>$D$47</f>
        <v/>
      </c>
      <c r="AO47" s="492">
        <f>$D$47</f>
        <v/>
      </c>
      <c r="AP47" s="492">
        <f>$D$47</f>
        <v/>
      </c>
      <c r="AQ47" s="492">
        <f>$D$47</f>
        <v/>
      </c>
      <c r="AR47" s="492">
        <f>$D$47</f>
        <v/>
      </c>
      <c r="AS47" s="492">
        <f>$D$47</f>
        <v/>
      </c>
      <c r="AT47" s="492">
        <f>$D$47</f>
        <v/>
      </c>
      <c r="AU47" s="492">
        <f>$D$47</f>
        <v/>
      </c>
    </row>
    <row r="48">
      <c r="A48">
        <f>MAX(D48:AU48)-1</f>
        <v/>
      </c>
      <c r="B48">
        <f>MIN(B51:B83)</f>
        <v/>
      </c>
      <c r="C48">
        <f>MAX(D48:AU48)-2</f>
        <v/>
      </c>
      <c r="D48">
        <f>IF(D47=EtKalınlığı[[#Headers],[0,125"]],COLUMN(),"")</f>
        <v/>
      </c>
      <c r="E48">
        <f>IF(E47=EtKalınlığı[[#Headers],[0,25"]],COLUMN(),"")</f>
        <v/>
      </c>
      <c r="F48">
        <f>IF(F47=EtKalınlığı[[#Headers],[0,375"]],COLUMN(),"")</f>
        <v/>
      </c>
      <c r="G48">
        <f>IF(G47=EtKalınlığı[[#Headers],[½" ]],COLUMN(),"")</f>
        <v/>
      </c>
      <c r="H48">
        <f>IF(H47=EtKalınlığı[[#Headers],[¾"]],COLUMN(),"")</f>
        <v/>
      </c>
      <c r="I48">
        <f>IF(I47=EtKalınlığı[[#Headers],[1" ]],COLUMN(),"")</f>
        <v/>
      </c>
      <c r="J48">
        <f>IF(J47=EtKalınlığı[[#Headers],[1¼"]],COLUMN(),"")</f>
        <v/>
      </c>
      <c r="K48">
        <f>IF(K47=EtKalınlığı[[#Headers],[1½" ]],COLUMN(),"")</f>
        <v/>
      </c>
      <c r="L48">
        <f>IF(L47=EtKalınlığı[[#Headers],[2" ]],COLUMN(),"")</f>
        <v/>
      </c>
      <c r="M48">
        <f>IF(M47=EtKalınlığı[[#Headers],[2½" ]],COLUMN(),"")</f>
        <v/>
      </c>
      <c r="N48">
        <f>IF(N47=EtKalınlığı[[#Headers],[3"]],COLUMN(),"")</f>
        <v/>
      </c>
      <c r="O48">
        <f>IF(O47=EtKalınlığı[[#Headers],[3,5"]],COLUMN(),"")</f>
        <v/>
      </c>
      <c r="P48">
        <f>IF(P47=EtKalınlığı[[#Headers],[4"]],COLUMN(),"")</f>
        <v/>
      </c>
      <c r="Q48">
        <f>IF(Q47=EtKalınlığı[[#Headers],[5"]],COLUMN(),"")</f>
        <v/>
      </c>
      <c r="R48">
        <f>IF(R47=EtKalınlığı[[#Headers],[6"]],COLUMN(),"")</f>
        <v/>
      </c>
      <c r="S48">
        <f>IF(S47=EtKalınlığı[[#Headers],[8"]],COLUMN(),"")</f>
        <v/>
      </c>
      <c r="T48">
        <f>IF(T47=EtKalınlığı[[#Headers],[10"]],COLUMN(),"")</f>
        <v/>
      </c>
      <c r="U48">
        <f>IF(U47=EtKalınlığı[[#Headers],[12"]],COLUMN(),"")</f>
        <v/>
      </c>
      <c r="V48">
        <f>IF(V47=EtKalınlığı[[#Headers],[14"]],COLUMN(),"")</f>
        <v/>
      </c>
      <c r="W48">
        <f>IF(W47=EtKalınlığı[[#Headers],[16"]],COLUMN(),"")</f>
        <v/>
      </c>
      <c r="X48">
        <f>IF(X47=EtKalınlığı[[#Headers],[18"]],COLUMN(),"")</f>
        <v/>
      </c>
      <c r="Y48">
        <f>IF(Y47=EtKalınlığı[[#Headers],[20"]],COLUMN(),"")</f>
        <v/>
      </c>
      <c r="Z48">
        <f>IF(Z47=EtKalınlığı[[#Headers],[22"]],COLUMN(),"")</f>
        <v/>
      </c>
      <c r="AA48">
        <f>IF(AA47=EtKalınlığı[[#Headers],[24"]],COLUMN(),"")</f>
        <v/>
      </c>
      <c r="AB48">
        <f>IF(AB47=EtKalınlığı[[#Headers],[26"]],COLUMN(),"")</f>
        <v/>
      </c>
      <c r="AC48">
        <f>IF(AC47=EtKalınlığı[[#Headers],[28"]],COLUMN(),"")</f>
        <v/>
      </c>
      <c r="AD48">
        <f>IF(AD47=EtKalınlığı[[#Headers],[30"]],COLUMN(),"")</f>
        <v/>
      </c>
      <c r="AE48">
        <f>IF(AE47=EtKalınlığı[[#Headers],[32"]],COLUMN(),"")</f>
        <v/>
      </c>
      <c r="AF48">
        <f>IF(AF47=EtKalınlığı[[#Headers],[34"]],COLUMN(),"")</f>
        <v/>
      </c>
      <c r="AG48">
        <f>IF(AG47=EtKalınlığı[[#Headers],[36"]],COLUMN(),"")</f>
        <v/>
      </c>
      <c r="AH48">
        <f>IF(AH47=EtKalınlığı[[#Headers],[38"]],COLUMN(),"")</f>
        <v/>
      </c>
      <c r="AI48" s="119">
        <f>IF(AI47=EtKalınlığı[[#Headers],[40"]],COLUMN(),"")</f>
        <v/>
      </c>
      <c r="AJ48">
        <f>IF(AJ47=EtKalınlığı[[#Headers],[42"]],COLUMN(),"")</f>
        <v/>
      </c>
      <c r="AK48">
        <f>IF(AK47=EtKalınlığı[[#Headers],[44"]],COLUMN(),"")</f>
        <v/>
      </c>
      <c r="AL48">
        <f>IF(AL47=EtKalınlığı[[#Headers],[46"]],COLUMN(),"")</f>
        <v/>
      </c>
      <c r="AM48">
        <f>IF(AM47=EtKalınlığı[[#Headers],[48"]],COLUMN(),"")</f>
        <v/>
      </c>
      <c r="AN48">
        <f>IF(AN47=EtKalınlığı[[#Headers],[52"]],COLUMN(),"")</f>
        <v/>
      </c>
      <c r="AO48">
        <f>IF(AO47=EtKalınlığı[[#Headers],[56"]],COLUMN(),"")</f>
        <v/>
      </c>
      <c r="AP48">
        <f>IF(AP47=EtKalınlığı[[#Headers],[60"]],COLUMN(),"")</f>
        <v/>
      </c>
      <c r="AQ48">
        <f>IF(AQ47=EtKalınlığı[[#Headers],[64"]],COLUMN(),"")</f>
        <v/>
      </c>
      <c r="AR48">
        <f>IF(AR47=EtKalınlığı[[#Headers],[68"]],COLUMN(),"")</f>
        <v/>
      </c>
      <c r="AS48">
        <f>IF(AS47=EtKalınlığı[[#Headers],[72"]],COLUMN(),"")</f>
        <v/>
      </c>
      <c r="AT48">
        <f>IF(AT47=EtKalınlığı[[#Headers],[76"]],COLUMN(),"")</f>
        <v/>
      </c>
      <c r="AU48">
        <f>IF(AU47=EtKalınlığı[[#Headers],[80"]],COLUMN(),"")</f>
        <v/>
      </c>
    </row>
    <row r="49" ht="25.5" customHeight="1" s="510">
      <c r="D49" s="1142" t="inlineStr">
        <is>
          <t>ÇAP (Inch)</t>
        </is>
      </c>
    </row>
    <row r="50">
      <c r="D50" s="293" t="inlineStr">
        <is>
          <t>0,125"</t>
        </is>
      </c>
      <c r="E50" s="294" t="inlineStr">
        <is>
          <t>0,25"</t>
        </is>
      </c>
      <c r="F50" s="295" t="inlineStr">
        <is>
          <t>0,375"</t>
        </is>
      </c>
      <c r="G50" s="294" t="inlineStr">
        <is>
          <t xml:space="preserve">½" </t>
        </is>
      </c>
      <c r="H50" s="295" t="inlineStr">
        <is>
          <t>¾"</t>
        </is>
      </c>
      <c r="I50" s="294" t="inlineStr">
        <is>
          <t xml:space="preserve">1" </t>
        </is>
      </c>
      <c r="J50" s="295" t="inlineStr">
        <is>
          <t>1¼"</t>
        </is>
      </c>
      <c r="K50" s="294" t="inlineStr">
        <is>
          <t xml:space="preserve">1½" </t>
        </is>
      </c>
      <c r="L50" s="295" t="inlineStr">
        <is>
          <t xml:space="preserve">2" </t>
        </is>
      </c>
      <c r="M50" s="294" t="inlineStr">
        <is>
          <t xml:space="preserve">2½" </t>
        </is>
      </c>
      <c r="N50" s="295" t="inlineStr">
        <is>
          <t>3"</t>
        </is>
      </c>
      <c r="O50" s="294" t="inlineStr">
        <is>
          <t>3,5"</t>
        </is>
      </c>
      <c r="P50" s="295" t="inlineStr">
        <is>
          <t>4"</t>
        </is>
      </c>
      <c r="Q50" s="294" t="inlineStr">
        <is>
          <t>5"</t>
        </is>
      </c>
      <c r="R50" s="295" t="inlineStr">
        <is>
          <t>6"</t>
        </is>
      </c>
      <c r="S50" s="294" t="inlineStr">
        <is>
          <t>8"</t>
        </is>
      </c>
      <c r="T50" s="295" t="inlineStr">
        <is>
          <t>10"</t>
        </is>
      </c>
      <c r="U50" s="294" t="inlineStr">
        <is>
          <t>12"</t>
        </is>
      </c>
      <c r="V50" s="295" t="inlineStr">
        <is>
          <t>14"</t>
        </is>
      </c>
      <c r="W50" s="294" t="inlineStr">
        <is>
          <t>16"</t>
        </is>
      </c>
      <c r="X50" s="295" t="inlineStr">
        <is>
          <t>18"</t>
        </is>
      </c>
      <c r="Y50" s="294" t="inlineStr">
        <is>
          <t>20"</t>
        </is>
      </c>
      <c r="Z50" s="295" t="inlineStr">
        <is>
          <t>22"</t>
        </is>
      </c>
      <c r="AA50" s="294" t="inlineStr">
        <is>
          <t>24"</t>
        </is>
      </c>
      <c r="AB50" s="295" t="inlineStr">
        <is>
          <t>26"</t>
        </is>
      </c>
      <c r="AC50" s="294" t="inlineStr">
        <is>
          <t>28"</t>
        </is>
      </c>
      <c r="AD50" s="295" t="inlineStr">
        <is>
          <t>30"</t>
        </is>
      </c>
      <c r="AE50" s="294" t="inlineStr">
        <is>
          <t>32"</t>
        </is>
      </c>
      <c r="AF50" s="295" t="inlineStr">
        <is>
          <t>34"</t>
        </is>
      </c>
      <c r="AG50" s="294" t="inlineStr">
        <is>
          <t>36"</t>
        </is>
      </c>
      <c r="AH50" s="295" t="inlineStr">
        <is>
          <t>38"</t>
        </is>
      </c>
      <c r="AI50" s="294" t="inlineStr">
        <is>
          <t>40"</t>
        </is>
      </c>
      <c r="AJ50" s="295" t="inlineStr">
        <is>
          <t>42"</t>
        </is>
      </c>
      <c r="AK50" s="294" t="inlineStr">
        <is>
          <t>44"</t>
        </is>
      </c>
      <c r="AL50" s="295" t="inlineStr">
        <is>
          <t>46"</t>
        </is>
      </c>
      <c r="AM50" s="294" t="inlineStr">
        <is>
          <t>48"</t>
        </is>
      </c>
      <c r="AN50" s="295" t="inlineStr">
        <is>
          <t>52"</t>
        </is>
      </c>
      <c r="AO50" s="294" t="inlineStr">
        <is>
          <t>56"</t>
        </is>
      </c>
      <c r="AP50" s="295" t="inlineStr">
        <is>
          <t>60"</t>
        </is>
      </c>
      <c r="AQ50" s="294" t="inlineStr">
        <is>
          <t>64"</t>
        </is>
      </c>
      <c r="AR50" s="295" t="inlineStr">
        <is>
          <t>68"</t>
        </is>
      </c>
      <c r="AS50" s="294" t="inlineStr">
        <is>
          <t>72"</t>
        </is>
      </c>
      <c r="AT50" s="295" t="inlineStr">
        <is>
          <t>76"</t>
        </is>
      </c>
      <c r="AU50" s="296" t="inlineStr">
        <is>
          <t>80"</t>
        </is>
      </c>
      <c r="AV50" s="732" t="inlineStr">
        <is>
          <t>ET kalınlığı</t>
        </is>
      </c>
    </row>
    <row r="51">
      <c r="A51">
        <f>VLOOKUP(C51,C51:$AU$83,$C$48,0)</f>
        <v/>
      </c>
      <c r="B51">
        <f>IF($B$47&lt;A51,ROW(),"")</f>
        <v/>
      </c>
      <c r="C51" t="n">
        <v>1</v>
      </c>
      <c r="D51" s="290" t="n">
        <v>1.24</v>
      </c>
      <c r="E51" s="290" t="n">
        <v>1.65</v>
      </c>
      <c r="F51" s="297" t="n">
        <v>1.65</v>
      </c>
      <c r="G51" s="297" t="n">
        <v>1.65</v>
      </c>
      <c r="H51" s="297" t="n">
        <v>1.65</v>
      </c>
      <c r="I51" s="297" t="n">
        <v>1.65</v>
      </c>
      <c r="J51" s="297" t="n">
        <v>1.65</v>
      </c>
      <c r="K51" s="297" t="n">
        <v>1.65</v>
      </c>
      <c r="L51" s="297" t="n">
        <v>1.65</v>
      </c>
      <c r="M51" s="290" t="n">
        <v>2.11</v>
      </c>
      <c r="N51" s="297" t="n">
        <v>2.11</v>
      </c>
      <c r="O51" s="297" t="n">
        <v>2.11</v>
      </c>
      <c r="P51" s="290" t="n">
        <v>2.11</v>
      </c>
      <c r="Q51" s="290" t="n">
        <v>2.11</v>
      </c>
      <c r="R51" s="290" t="n">
        <v>2.11</v>
      </c>
      <c r="S51" s="290" t="n">
        <v>2.77</v>
      </c>
      <c r="T51" s="290" t="n">
        <v>3.4</v>
      </c>
      <c r="U51" s="290" t="n">
        <v>3.96</v>
      </c>
      <c r="V51" s="290" t="n">
        <v>3.96</v>
      </c>
      <c r="W51" s="290" t="n">
        <v>4.19</v>
      </c>
      <c r="X51" s="290" t="n">
        <v>4.19</v>
      </c>
      <c r="Y51" s="290" t="n">
        <v>4.78</v>
      </c>
      <c r="Z51" s="297" t="n">
        <v>4.78</v>
      </c>
      <c r="AA51" s="290" t="n">
        <v>5.54</v>
      </c>
      <c r="AB51" s="290" t="n">
        <v>6.35</v>
      </c>
      <c r="AC51" s="297" t="n">
        <v>6.35</v>
      </c>
      <c r="AD51" s="297" t="n">
        <v>6.35</v>
      </c>
      <c r="AE51" s="297" t="n">
        <v>6.35</v>
      </c>
      <c r="AF51" s="297" t="n">
        <v>6.35</v>
      </c>
      <c r="AG51" s="297" t="n">
        <v>6.35</v>
      </c>
      <c r="AH51" s="290" t="n">
        <v>7.92</v>
      </c>
      <c r="AI51" s="290" t="n">
        <v>7.92</v>
      </c>
      <c r="AJ51" s="290" t="n">
        <v>8.74</v>
      </c>
      <c r="AK51" s="290" t="n">
        <v>8.74</v>
      </c>
      <c r="AL51" s="290" t="n">
        <v>8.74</v>
      </c>
      <c r="AM51" s="290" t="n">
        <v>8.74</v>
      </c>
      <c r="AN51" s="290" t="n">
        <v>9.529999999999999</v>
      </c>
      <c r="AO51" s="290" t="n">
        <v>9.529999999999999</v>
      </c>
      <c r="AP51" s="290" t="n">
        <v>9.529999999999999</v>
      </c>
      <c r="AQ51" s="290" t="n">
        <v>9.529999999999999</v>
      </c>
      <c r="AR51" s="290" t="n">
        <v>11.91</v>
      </c>
      <c r="AS51" s="290" t="n">
        <v>12.7</v>
      </c>
      <c r="AT51" s="290" t="n">
        <v>12.7</v>
      </c>
      <c r="AU51" s="290" t="n">
        <v>12.7</v>
      </c>
      <c r="AV51" s="730" t="n">
        <v>1.24</v>
      </c>
    </row>
    <row r="52">
      <c r="A52">
        <f>VLOOKUP(C52,C52:$AU$83,$C$48,0)</f>
        <v/>
      </c>
      <c r="B52">
        <f>IF($B$47&lt;A52,ROW(),"")</f>
        <v/>
      </c>
      <c r="C52" t="n">
        <v>2</v>
      </c>
      <c r="D52" s="290" t="n">
        <v>1.45</v>
      </c>
      <c r="E52" s="290" t="n">
        <v>1.85</v>
      </c>
      <c r="F52" s="297" t="n">
        <v>1.85</v>
      </c>
      <c r="G52" s="290" t="n">
        <v>2.11</v>
      </c>
      <c r="H52" s="297" t="n">
        <v>2.11</v>
      </c>
      <c r="I52" s="290" t="n">
        <v>2.77</v>
      </c>
      <c r="J52" s="297" t="n">
        <v>2.77</v>
      </c>
      <c r="K52" s="297" t="n">
        <v>2.77</v>
      </c>
      <c r="L52" s="290" t="n">
        <v>2.11</v>
      </c>
      <c r="M52" s="290" t="n">
        <v>2.77</v>
      </c>
      <c r="N52" s="297" t="n">
        <v>2.77</v>
      </c>
      <c r="O52" s="297" t="n">
        <v>2.77</v>
      </c>
      <c r="P52" s="290" t="n">
        <v>2.77</v>
      </c>
      <c r="Q52" s="290" t="n">
        <v>2.77</v>
      </c>
      <c r="R52" s="290" t="n">
        <v>2.77</v>
      </c>
      <c r="S52" s="290" t="n">
        <v>3.18</v>
      </c>
      <c r="T52" s="290" t="n">
        <v>3.96</v>
      </c>
      <c r="U52" s="290" t="n">
        <v>4.37</v>
      </c>
      <c r="V52" s="290" t="n">
        <v>4.78</v>
      </c>
      <c r="W52" s="290" t="n">
        <v>4.78</v>
      </c>
      <c r="X52" s="290" t="n">
        <v>4.78</v>
      </c>
      <c r="Y52" s="290" t="n">
        <v>5.56</v>
      </c>
      <c r="Z52" s="297" t="n">
        <v>5.56</v>
      </c>
      <c r="AA52" s="290" t="n">
        <v>6.35</v>
      </c>
      <c r="AB52" s="290" t="n">
        <v>7.14</v>
      </c>
      <c r="AC52" s="297" t="n">
        <v>7.14</v>
      </c>
      <c r="AD52" s="297" t="n">
        <v>7.14</v>
      </c>
      <c r="AE52" s="297" t="n">
        <v>7.14</v>
      </c>
      <c r="AF52" s="297" t="n">
        <v>7.14</v>
      </c>
      <c r="AG52" s="297" t="n">
        <v>7.14</v>
      </c>
      <c r="AH52" s="290" t="n">
        <v>8.74</v>
      </c>
      <c r="AI52" s="290" t="n">
        <v>8.74</v>
      </c>
      <c r="AJ52" s="290" t="n">
        <v>9.529999999999999</v>
      </c>
      <c r="AK52" s="290" t="n">
        <v>9.529999999999999</v>
      </c>
      <c r="AL52" s="290" t="n">
        <v>9.529999999999999</v>
      </c>
      <c r="AM52" s="290" t="n">
        <v>9.529999999999999</v>
      </c>
      <c r="AN52" s="290" t="n">
        <v>10.31</v>
      </c>
      <c r="AO52" s="290" t="n">
        <v>10.31</v>
      </c>
      <c r="AP52" s="290" t="n">
        <v>10.31</v>
      </c>
      <c r="AQ52" s="290" t="n">
        <v>10.31</v>
      </c>
      <c r="AR52" s="290" t="n">
        <v>12.7</v>
      </c>
      <c r="AS52" s="290" t="n">
        <v>14.27</v>
      </c>
      <c r="AT52" s="290" t="n">
        <v>14.27</v>
      </c>
      <c r="AU52" s="290" t="n">
        <v>14.27</v>
      </c>
      <c r="AV52" s="731" t="n">
        <v>1.45</v>
      </c>
    </row>
    <row r="53">
      <c r="A53">
        <f>VLOOKUP(C53,C53:$AU$83,$C$48,0)</f>
        <v/>
      </c>
      <c r="B53">
        <f>IF($B$47&lt;A53,ROW(),"")</f>
        <v/>
      </c>
      <c r="C53" t="n">
        <v>3</v>
      </c>
      <c r="D53" s="290" t="n">
        <v>1.73</v>
      </c>
      <c r="E53" s="290" t="n">
        <v>2.24</v>
      </c>
      <c r="F53" s="290" t="n">
        <v>2.31</v>
      </c>
      <c r="G53" s="290" t="n">
        <v>2.41</v>
      </c>
      <c r="H53" s="290" t="n">
        <v>2.41</v>
      </c>
      <c r="I53" s="734" t="n">
        <v>2.9</v>
      </c>
      <c r="J53" s="734" t="n">
        <v>2.97</v>
      </c>
      <c r="K53" s="734" t="n">
        <v>3.18</v>
      </c>
      <c r="L53" s="734" t="n">
        <v>2.77</v>
      </c>
      <c r="M53" s="734" t="n">
        <v>3.05</v>
      </c>
      <c r="N53" s="735" t="n">
        <v>3.05</v>
      </c>
      <c r="O53" s="735" t="n">
        <v>3.05</v>
      </c>
      <c r="P53" s="734" t="n">
        <v>3.05</v>
      </c>
      <c r="Q53" s="734" t="n">
        <v>3.18</v>
      </c>
      <c r="R53" s="734" t="n">
        <v>3.18</v>
      </c>
      <c r="S53" s="734" t="n">
        <v>3.76</v>
      </c>
      <c r="T53" s="734" t="n">
        <v>4.19</v>
      </c>
      <c r="U53" s="734" t="n">
        <v>4.57</v>
      </c>
      <c r="V53" s="734" t="n">
        <v>5.16</v>
      </c>
      <c r="W53" s="734" t="n">
        <v>5.16</v>
      </c>
      <c r="X53" s="734" t="n">
        <v>5.56</v>
      </c>
      <c r="Y53" s="734" t="n">
        <v>6.35</v>
      </c>
      <c r="Z53" s="735" t="n">
        <v>6.35</v>
      </c>
      <c r="AA53" s="734" t="n">
        <v>7.14</v>
      </c>
      <c r="AB53" s="734" t="n">
        <v>7.92</v>
      </c>
      <c r="AC53" s="735" t="n">
        <v>7.92</v>
      </c>
      <c r="AD53" s="735" t="n">
        <v>7.92</v>
      </c>
      <c r="AE53" s="735" t="n">
        <v>7.92</v>
      </c>
      <c r="AF53" s="735" t="n">
        <v>7.92</v>
      </c>
      <c r="AG53" s="735" t="n">
        <v>7.92</v>
      </c>
      <c r="AH53" s="734" t="n">
        <v>9.529999999999999</v>
      </c>
      <c r="AI53" s="734" t="n">
        <v>9.529999999999999</v>
      </c>
      <c r="AJ53" s="734" t="n">
        <v>10.31</v>
      </c>
      <c r="AK53" s="734" t="n">
        <v>10.31</v>
      </c>
      <c r="AL53" s="734" t="n">
        <v>10.31</v>
      </c>
      <c r="AM53" s="734" t="n">
        <v>10.31</v>
      </c>
      <c r="AN53" s="734" t="n">
        <v>11.13</v>
      </c>
      <c r="AO53" s="734" t="n">
        <v>11.13</v>
      </c>
      <c r="AP53" s="734" t="n">
        <v>11.13</v>
      </c>
      <c r="AQ53" s="734" t="n">
        <v>11.13</v>
      </c>
      <c r="AR53" s="734" t="n">
        <v>14.27</v>
      </c>
      <c r="AS53" s="734" t="n">
        <v>15.88</v>
      </c>
      <c r="AT53" s="734" t="n">
        <v>15.88</v>
      </c>
      <c r="AU53" s="734" t="n">
        <v>15.88</v>
      </c>
      <c r="AV53" s="730" t="n">
        <v>1.65</v>
      </c>
    </row>
    <row r="54">
      <c r="A54">
        <f>VLOOKUP(C54,C54:$AU$83,$C$48,0)</f>
        <v/>
      </c>
      <c r="B54">
        <f>IF($B$47&lt;A54,ROW(),"")</f>
        <v/>
      </c>
      <c r="C54" t="n">
        <v>4</v>
      </c>
      <c r="D54" s="290" t="n">
        <v>2.41</v>
      </c>
      <c r="E54" s="290" t="n">
        <v>3.02</v>
      </c>
      <c r="F54" s="290" t="n">
        <v>3.2</v>
      </c>
      <c r="G54" s="290" t="n">
        <v>2.77</v>
      </c>
      <c r="H54" s="290" t="n">
        <v>2.87</v>
      </c>
      <c r="I54" s="734" t="n">
        <v>3.38</v>
      </c>
      <c r="J54" s="734" t="n">
        <v>3.56</v>
      </c>
      <c r="K54" s="734" t="n">
        <v>3.68</v>
      </c>
      <c r="L54" s="734" t="n">
        <v>3.18</v>
      </c>
      <c r="M54" s="734" t="n">
        <v>3.18</v>
      </c>
      <c r="N54" s="734" t="n">
        <v>3.18</v>
      </c>
      <c r="O54" s="734" t="n">
        <v>3.18</v>
      </c>
      <c r="P54" s="734" t="n">
        <v>3.18</v>
      </c>
      <c r="Q54" s="734" t="n">
        <v>3.4</v>
      </c>
      <c r="R54" s="734" t="n">
        <v>3.4</v>
      </c>
      <c r="S54" s="734" t="n">
        <v>3.96</v>
      </c>
      <c r="T54" s="734" t="n">
        <v>4.78</v>
      </c>
      <c r="U54" s="734" t="n">
        <v>4.78</v>
      </c>
      <c r="V54" s="734" t="n">
        <v>5.33</v>
      </c>
      <c r="W54" s="734" t="n">
        <v>5.56</v>
      </c>
      <c r="X54" s="734" t="n">
        <v>6.35</v>
      </c>
      <c r="Y54" s="734" t="n">
        <v>7.14</v>
      </c>
      <c r="Z54" s="735" t="n">
        <v>7.14</v>
      </c>
      <c r="AA54" s="734" t="n">
        <v>7.92</v>
      </c>
      <c r="AB54" s="734" t="n">
        <v>8.74</v>
      </c>
      <c r="AC54" s="735" t="n">
        <v>8.74</v>
      </c>
      <c r="AD54" s="735" t="n">
        <v>8.74</v>
      </c>
      <c r="AE54" s="735" t="n">
        <v>8.74</v>
      </c>
      <c r="AF54" s="735" t="n">
        <v>8.74</v>
      </c>
      <c r="AG54" s="735" t="n">
        <v>8.74</v>
      </c>
      <c r="AH54" s="734" t="n">
        <v>10.31</v>
      </c>
      <c r="AI54" s="734" t="n">
        <v>10.31</v>
      </c>
      <c r="AJ54" s="734" t="n">
        <v>11.13</v>
      </c>
      <c r="AK54" s="734" t="n">
        <v>11.13</v>
      </c>
      <c r="AL54" s="734" t="n">
        <v>11.13</v>
      </c>
      <c r="AM54" s="734" t="n">
        <v>11.13</v>
      </c>
      <c r="AN54" s="734" t="n">
        <v>11.91</v>
      </c>
      <c r="AO54" s="734" t="n">
        <v>11.91</v>
      </c>
      <c r="AP54" s="734" t="n">
        <v>11.91</v>
      </c>
      <c r="AQ54" s="734" t="n">
        <v>11.91</v>
      </c>
      <c r="AR54" s="734" t="n">
        <v>15.88</v>
      </c>
      <c r="AS54" s="734" t="n">
        <v>17.48</v>
      </c>
      <c r="AT54" s="734" t="n">
        <v>17.48</v>
      </c>
      <c r="AU54" s="734" t="n">
        <v>17.48</v>
      </c>
      <c r="AV54" s="731" t="n">
        <v>1.73</v>
      </c>
    </row>
    <row r="55">
      <c r="A55">
        <f>VLOOKUP(C55,C55:$AU$83,$C$48,0)</f>
        <v/>
      </c>
      <c r="B55">
        <f>IF($B$47&lt;A55,ROW(),"")</f>
        <v/>
      </c>
      <c r="C55" t="n">
        <v>5</v>
      </c>
      <c r="D55" s="290" t="n">
        <v>3.15</v>
      </c>
      <c r="E55" s="290" t="n">
        <v>3.68</v>
      </c>
      <c r="F55" s="290" t="n">
        <v>4.01</v>
      </c>
      <c r="G55" s="290" t="n">
        <v>3.73</v>
      </c>
      <c r="H55" s="290" t="n">
        <v>3.91</v>
      </c>
      <c r="I55" s="734" t="n">
        <v>4.55</v>
      </c>
      <c r="J55" s="734" t="n">
        <v>4.85</v>
      </c>
      <c r="K55" s="734" t="n">
        <v>5.08</v>
      </c>
      <c r="L55" s="734" t="n">
        <v>3.91</v>
      </c>
      <c r="M55" s="734" t="n">
        <v>3.58</v>
      </c>
      <c r="N55" s="735" t="n">
        <v>3.58</v>
      </c>
      <c r="O55" s="735" t="n">
        <v>3.58</v>
      </c>
      <c r="P55" s="734" t="n">
        <v>3.58</v>
      </c>
      <c r="Q55" s="734" t="n">
        <v>3.96</v>
      </c>
      <c r="R55" s="734" t="n">
        <v>3.58</v>
      </c>
      <c r="S55" s="734" t="n">
        <v>4.78</v>
      </c>
      <c r="T55" s="734" t="n">
        <v>5.16</v>
      </c>
      <c r="U55" s="734" t="n">
        <v>5.16</v>
      </c>
      <c r="V55" s="734" t="n">
        <v>5.56</v>
      </c>
      <c r="W55" s="734" t="n">
        <v>6.35</v>
      </c>
      <c r="X55" s="734" t="n">
        <v>7.14</v>
      </c>
      <c r="Y55" s="734" t="n">
        <v>7.92</v>
      </c>
      <c r="Z55" s="735" t="n">
        <v>7.92</v>
      </c>
      <c r="AA55" s="734" t="n">
        <v>8.74</v>
      </c>
      <c r="AB55" s="734" t="n">
        <v>9.529999999999999</v>
      </c>
      <c r="AC55" s="735" t="n">
        <v>9.529999999999999</v>
      </c>
      <c r="AD55" s="735" t="n">
        <v>9.529999999999999</v>
      </c>
      <c r="AE55" s="735" t="n">
        <v>9.529999999999999</v>
      </c>
      <c r="AF55" s="735" t="n">
        <v>9.529999999999999</v>
      </c>
      <c r="AG55" s="735" t="n">
        <v>9.529999999999999</v>
      </c>
      <c r="AH55" s="734" t="n">
        <v>11.13</v>
      </c>
      <c r="AI55" s="734" t="n">
        <v>11.13</v>
      </c>
      <c r="AJ55" s="734" t="n">
        <v>11.91</v>
      </c>
      <c r="AK55" s="734" t="n">
        <v>11.91</v>
      </c>
      <c r="AL55" s="734" t="n">
        <v>11.91</v>
      </c>
      <c r="AM55" s="734" t="n">
        <v>11.91</v>
      </c>
      <c r="AN55" s="734" t="n">
        <v>12.7</v>
      </c>
      <c r="AO55" s="734" t="n">
        <v>12.7</v>
      </c>
      <c r="AP55" s="734" t="n">
        <v>12.7</v>
      </c>
      <c r="AQ55" s="734" t="n">
        <v>12.7</v>
      </c>
      <c r="AR55" s="734" t="n">
        <v>17.48</v>
      </c>
      <c r="AS55" s="734" t="n">
        <v>19.05</v>
      </c>
      <c r="AT55" s="734" t="n">
        <v>19.05</v>
      </c>
      <c r="AU55" s="734" t="n">
        <v>19.05</v>
      </c>
      <c r="AV55" s="730" t="n">
        <v>1.85</v>
      </c>
    </row>
    <row r="56">
      <c r="A56">
        <f>VLOOKUP(C56,C56:$AU$83,$C$48,0)</f>
        <v/>
      </c>
      <c r="B56">
        <f>IF($B$47&lt;A56,ROW(),"")</f>
        <v/>
      </c>
      <c r="C56" t="n">
        <v>6</v>
      </c>
      <c r="D56" s="290" t="n">
        <v>4.83</v>
      </c>
      <c r="E56" s="290" t="n">
        <v>6.05</v>
      </c>
      <c r="F56" s="290" t="n">
        <v>6.4</v>
      </c>
      <c r="G56" s="290" t="n">
        <v>4.78</v>
      </c>
      <c r="H56" s="290" t="n">
        <v>5.56</v>
      </c>
      <c r="I56" s="734" t="n">
        <v>6.35</v>
      </c>
      <c r="J56" s="734" t="n">
        <v>6.35</v>
      </c>
      <c r="K56" s="734" t="n">
        <v>7.14</v>
      </c>
      <c r="L56" s="734" t="n">
        <v>4.37</v>
      </c>
      <c r="M56" s="734" t="n">
        <v>3.96</v>
      </c>
      <c r="N56" s="735" t="n">
        <v>3.96</v>
      </c>
      <c r="O56" s="735" t="n">
        <v>3.96</v>
      </c>
      <c r="P56" s="734" t="n">
        <v>3.96</v>
      </c>
      <c r="Q56" s="734" t="n">
        <v>4.78</v>
      </c>
      <c r="R56" s="734" t="n">
        <v>3.96</v>
      </c>
      <c r="S56" s="734" t="n">
        <v>5.16</v>
      </c>
      <c r="T56" s="734" t="n">
        <v>5.56</v>
      </c>
      <c r="U56" s="734" t="n">
        <v>5.56</v>
      </c>
      <c r="V56" s="734" t="n">
        <v>6.35</v>
      </c>
      <c r="W56" s="734" t="n">
        <v>7.14</v>
      </c>
      <c r="X56" s="734" t="n">
        <v>7.92</v>
      </c>
      <c r="Y56" s="734" t="n">
        <v>8.74</v>
      </c>
      <c r="Z56" s="735" t="n">
        <v>8.74</v>
      </c>
      <c r="AA56" s="734" t="n">
        <v>9.529999999999999</v>
      </c>
      <c r="AB56" s="734" t="n">
        <v>10.31</v>
      </c>
      <c r="AC56" s="735" t="n">
        <v>10.31</v>
      </c>
      <c r="AD56" s="735" t="n">
        <v>10.31</v>
      </c>
      <c r="AE56" s="735" t="n">
        <v>10.31</v>
      </c>
      <c r="AF56" s="735" t="n">
        <v>10.31</v>
      </c>
      <c r="AG56" s="735" t="n">
        <v>10.31</v>
      </c>
      <c r="AH56" s="734" t="n">
        <v>11.91</v>
      </c>
      <c r="AI56" s="734" t="n">
        <v>11.91</v>
      </c>
      <c r="AJ56" s="734" t="n">
        <v>12.7</v>
      </c>
      <c r="AK56" s="734" t="n">
        <v>12.7</v>
      </c>
      <c r="AL56" s="734" t="n">
        <v>12.7</v>
      </c>
      <c r="AM56" s="734" t="n">
        <v>12.7</v>
      </c>
      <c r="AN56" s="734" t="n">
        <v>14.27</v>
      </c>
      <c r="AO56" s="734" t="n">
        <v>14.27</v>
      </c>
      <c r="AP56" s="734" t="n">
        <v>14.27</v>
      </c>
      <c r="AQ56" s="734" t="n">
        <v>14.27</v>
      </c>
      <c r="AR56" s="734" t="n">
        <v>19.05</v>
      </c>
      <c r="AS56" s="734" t="n">
        <v>20.62</v>
      </c>
      <c r="AT56" s="734" t="n">
        <v>20.62</v>
      </c>
      <c r="AU56" s="734" t="n">
        <v>20.62</v>
      </c>
      <c r="AV56" s="731" t="n">
        <v>2.11</v>
      </c>
    </row>
    <row r="57">
      <c r="A57">
        <f>VLOOKUP(C57,C57:$AU$83,$C$48,0)</f>
        <v/>
      </c>
      <c r="B57">
        <f>IF($B$47&lt;A57,ROW(),"")</f>
        <v/>
      </c>
      <c r="C57" t="n">
        <v>7</v>
      </c>
      <c r="D57" s="290" t="n"/>
      <c r="E57" s="290" t="n"/>
      <c r="F57" s="290" t="n"/>
      <c r="G57" s="290" t="n">
        <v>7.47</v>
      </c>
      <c r="H57" s="290" t="n">
        <v>7.82</v>
      </c>
      <c r="I57" s="734" t="n">
        <v>9.09</v>
      </c>
      <c r="J57" s="734" t="n">
        <v>9.699999999999999</v>
      </c>
      <c r="K57" s="734" t="n">
        <v>10.16</v>
      </c>
      <c r="L57" s="734" t="n">
        <v>4.78</v>
      </c>
      <c r="M57" s="734" t="n">
        <v>4.37</v>
      </c>
      <c r="N57" s="735" t="n">
        <v>4.37</v>
      </c>
      <c r="O57" s="735" t="n">
        <v>4.37</v>
      </c>
      <c r="P57" s="734" t="n">
        <v>4.37</v>
      </c>
      <c r="Q57" s="734" t="n">
        <v>5.56</v>
      </c>
      <c r="R57" s="734" t="n">
        <v>4.37</v>
      </c>
      <c r="S57" s="734" t="n">
        <v>5.56</v>
      </c>
      <c r="T57" s="734" t="n">
        <v>6.35</v>
      </c>
      <c r="U57" s="734" t="n">
        <v>6.35</v>
      </c>
      <c r="V57" s="734" t="n">
        <v>7.14</v>
      </c>
      <c r="W57" s="734" t="n">
        <v>7.92</v>
      </c>
      <c r="X57" s="734" t="n">
        <v>8.74</v>
      </c>
      <c r="Y57" s="734" t="n">
        <v>9.529999999999999</v>
      </c>
      <c r="Z57" s="735" t="n">
        <v>9.529999999999999</v>
      </c>
      <c r="AA57" s="734" t="n">
        <v>10.31</v>
      </c>
      <c r="AB57" s="734" t="n">
        <v>11.13</v>
      </c>
      <c r="AC57" s="735" t="n">
        <v>11.13</v>
      </c>
      <c r="AD57" s="735" t="n">
        <v>11.13</v>
      </c>
      <c r="AE57" s="735" t="n">
        <v>11.13</v>
      </c>
      <c r="AF57" s="735" t="n">
        <v>11.13</v>
      </c>
      <c r="AG57" s="735" t="n">
        <v>11.13</v>
      </c>
      <c r="AH57" s="734" t="n">
        <v>12.7</v>
      </c>
      <c r="AI57" s="734" t="n">
        <v>12.7</v>
      </c>
      <c r="AJ57" s="734" t="n">
        <v>14.27</v>
      </c>
      <c r="AK57" s="734" t="n">
        <v>14.27</v>
      </c>
      <c r="AL57" s="734" t="n">
        <v>14.27</v>
      </c>
      <c r="AM57" s="734" t="n">
        <v>14.27</v>
      </c>
      <c r="AN57" s="734" t="n">
        <v>15.88</v>
      </c>
      <c r="AO57" s="734" t="n">
        <v>15.88</v>
      </c>
      <c r="AP57" s="734" t="n">
        <v>15.88</v>
      </c>
      <c r="AQ57" s="734" t="n">
        <v>15.88</v>
      </c>
      <c r="AR57" s="734" t="n">
        <v>20.62</v>
      </c>
      <c r="AS57" s="734" t="n">
        <v>22.23</v>
      </c>
      <c r="AT57" s="734" t="n">
        <v>22.23</v>
      </c>
      <c r="AU57" s="734" t="n">
        <v>22.23</v>
      </c>
      <c r="AV57" s="730" t="n">
        <v>2.24</v>
      </c>
    </row>
    <row r="58">
      <c r="A58">
        <f>VLOOKUP(C58,C58:$AU$83,$C$48,0)</f>
        <v/>
      </c>
      <c r="B58">
        <f>IF($B$47&lt;A58,ROW(),"")</f>
        <v/>
      </c>
      <c r="C58" t="n">
        <v>8</v>
      </c>
      <c r="D58" s="290" t="n"/>
      <c r="E58" s="290" t="n"/>
      <c r="F58" s="290" t="n"/>
      <c r="G58" s="290" t="n"/>
      <c r="H58" s="290" t="n"/>
      <c r="I58" s="734" t="n"/>
      <c r="J58" s="734" t="n"/>
      <c r="K58" s="734" t="n"/>
      <c r="L58" s="734" t="n">
        <v>5.54</v>
      </c>
      <c r="M58" s="734" t="n">
        <v>4.78</v>
      </c>
      <c r="N58" s="735" t="n">
        <v>4.78</v>
      </c>
      <c r="O58" s="735" t="n">
        <v>4.78</v>
      </c>
      <c r="P58" s="734" t="n">
        <v>4.78</v>
      </c>
      <c r="Q58" s="734" t="n">
        <v>6.55</v>
      </c>
      <c r="R58" s="734" t="n">
        <v>4.78</v>
      </c>
      <c r="S58" s="734" t="n">
        <v>6.35</v>
      </c>
      <c r="T58" s="734" t="n">
        <v>7.09</v>
      </c>
      <c r="U58" s="734" t="n">
        <v>7.14</v>
      </c>
      <c r="V58" s="734" t="n">
        <v>7.92</v>
      </c>
      <c r="W58" s="734" t="n">
        <v>8.74</v>
      </c>
      <c r="X58" s="734" t="n">
        <v>9.529999999999999</v>
      </c>
      <c r="Y58" s="734" t="n">
        <v>10.31</v>
      </c>
      <c r="Z58" s="735" t="n">
        <v>10.31</v>
      </c>
      <c r="AA58" s="734" t="n">
        <v>11.13</v>
      </c>
      <c r="AB58" s="734" t="n">
        <v>11.91</v>
      </c>
      <c r="AC58" s="735" t="n">
        <v>11.91</v>
      </c>
      <c r="AD58" s="735" t="n">
        <v>11.91</v>
      </c>
      <c r="AE58" s="735" t="n">
        <v>11.91</v>
      </c>
      <c r="AF58" s="735" t="n">
        <v>11.91</v>
      </c>
      <c r="AG58" s="735" t="n">
        <v>11.91</v>
      </c>
      <c r="AH58" s="734" t="n">
        <v>14.27</v>
      </c>
      <c r="AI58" s="734" t="n">
        <v>14.27</v>
      </c>
      <c r="AJ58" s="734" t="n">
        <v>15.88</v>
      </c>
      <c r="AK58" s="734" t="n">
        <v>15.88</v>
      </c>
      <c r="AL58" s="734" t="n">
        <v>15.88</v>
      </c>
      <c r="AM58" s="734" t="n">
        <v>15.88</v>
      </c>
      <c r="AN58" s="734" t="n">
        <v>17.48</v>
      </c>
      <c r="AO58" s="734" t="n">
        <v>17.48</v>
      </c>
      <c r="AP58" s="734" t="n">
        <v>17.48</v>
      </c>
      <c r="AQ58" s="734" t="n">
        <v>17.48</v>
      </c>
      <c r="AR58" s="734" t="n">
        <v>22.23</v>
      </c>
      <c r="AS58" s="734" t="n">
        <v>23.83</v>
      </c>
      <c r="AT58" s="734" t="n">
        <v>23.83</v>
      </c>
      <c r="AU58" s="734" t="n">
        <v>23.83</v>
      </c>
      <c r="AV58" s="731" t="n">
        <v>2.31</v>
      </c>
    </row>
    <row r="59">
      <c r="A59">
        <f>VLOOKUP(C59,C59:$AU$83,$C$48,0)</f>
        <v/>
      </c>
      <c r="B59">
        <f>IF($B$47&lt;A59,ROW(),"")</f>
        <v/>
      </c>
      <c r="C59" t="n">
        <v>9</v>
      </c>
      <c r="D59" s="290" t="n"/>
      <c r="E59" s="290" t="n"/>
      <c r="F59" s="290" t="n"/>
      <c r="G59" s="290" t="n"/>
      <c r="H59" s="290" t="n"/>
      <c r="I59" s="734" t="n"/>
      <c r="J59" s="734" t="n"/>
      <c r="K59" s="734" t="n"/>
      <c r="L59" s="734" t="n">
        <v>6.35</v>
      </c>
      <c r="M59" s="734" t="n">
        <v>5.16</v>
      </c>
      <c r="N59" s="734" t="n">
        <v>5.49</v>
      </c>
      <c r="O59" s="734" t="n">
        <v>5.74</v>
      </c>
      <c r="P59" s="734" t="n">
        <v>5.16</v>
      </c>
      <c r="Q59" s="734" t="n">
        <v>7.14</v>
      </c>
      <c r="R59" s="734" t="n">
        <v>5.16</v>
      </c>
      <c r="S59" s="734" t="n">
        <v>7.04</v>
      </c>
      <c r="T59" s="734" t="n">
        <v>7.8</v>
      </c>
      <c r="U59" s="734" t="n">
        <v>7.92</v>
      </c>
      <c r="V59" s="734" t="n">
        <v>8.74</v>
      </c>
      <c r="W59" s="734" t="n">
        <v>9.529999999999999</v>
      </c>
      <c r="X59" s="734" t="n">
        <v>10.31</v>
      </c>
      <c r="Y59" s="734" t="n">
        <v>11.13</v>
      </c>
      <c r="Z59" s="735" t="n">
        <v>11.13</v>
      </c>
      <c r="AA59" s="734" t="n">
        <v>11.91</v>
      </c>
      <c r="AB59" s="734" t="n">
        <v>12.7</v>
      </c>
      <c r="AC59" s="735" t="n">
        <v>12.7</v>
      </c>
      <c r="AD59" s="735" t="n">
        <v>12.7</v>
      </c>
      <c r="AE59" s="735" t="n">
        <v>12.7</v>
      </c>
      <c r="AF59" s="735" t="n">
        <v>12.7</v>
      </c>
      <c r="AG59" s="735" t="n">
        <v>12.7</v>
      </c>
      <c r="AH59" s="734" t="n">
        <v>15.88</v>
      </c>
      <c r="AI59" s="734" t="n">
        <v>15.88</v>
      </c>
      <c r="AJ59" s="734" t="n">
        <v>17.48</v>
      </c>
      <c r="AK59" s="734" t="n">
        <v>17.48</v>
      </c>
      <c r="AL59" s="734" t="n">
        <v>17.48</v>
      </c>
      <c r="AM59" s="734" t="n">
        <v>17.48</v>
      </c>
      <c r="AN59" s="734" t="n">
        <v>19.05</v>
      </c>
      <c r="AO59" s="734" t="n">
        <v>19.05</v>
      </c>
      <c r="AP59" s="734" t="n">
        <v>19.05</v>
      </c>
      <c r="AQ59" s="734" t="n">
        <v>19.05</v>
      </c>
      <c r="AR59" s="734" t="n">
        <v>23.83</v>
      </c>
      <c r="AS59" s="734" t="n">
        <v>25.4</v>
      </c>
      <c r="AT59" s="734" t="n">
        <v>25.4</v>
      </c>
      <c r="AU59" s="734" t="n">
        <v>25.4</v>
      </c>
      <c r="AV59" s="730" t="n">
        <v>2.41</v>
      </c>
    </row>
    <row r="60">
      <c r="A60">
        <f>VLOOKUP(C60,C60:$AU$83,$C$48,0)</f>
        <v/>
      </c>
      <c r="B60">
        <f>IF($B$47&lt;A60,ROW(),"")</f>
        <v/>
      </c>
      <c r="C60" t="n">
        <v>10</v>
      </c>
      <c r="D60" s="290" t="n"/>
      <c r="E60" s="290" t="n"/>
      <c r="F60" s="290" t="n"/>
      <c r="G60" s="290" t="n"/>
      <c r="H60" s="290" t="n"/>
      <c r="I60" s="734" t="n"/>
      <c r="J60" s="734" t="n"/>
      <c r="K60" s="734" t="n"/>
      <c r="L60" s="734" t="n">
        <v>7.14</v>
      </c>
      <c r="M60" s="734" t="n">
        <v>5.49</v>
      </c>
      <c r="N60" s="734" t="n">
        <v>6.35</v>
      </c>
      <c r="O60" s="734" t="n">
        <v>6.35</v>
      </c>
      <c r="P60" s="734" t="n">
        <v>5.56</v>
      </c>
      <c r="Q60" s="734" t="n">
        <v>7.92</v>
      </c>
      <c r="R60" s="734" t="n">
        <v>5.56</v>
      </c>
      <c r="S60" s="734" t="n">
        <v>7.92</v>
      </c>
      <c r="T60" s="734" t="n">
        <v>8.74</v>
      </c>
      <c r="U60" s="734" t="n">
        <v>8.380000000000001</v>
      </c>
      <c r="V60" s="734" t="n">
        <v>9.529999999999999</v>
      </c>
      <c r="W60" s="734" t="n">
        <v>10.31</v>
      </c>
      <c r="X60" s="734" t="n">
        <v>11.13</v>
      </c>
      <c r="Y60" s="734" t="n">
        <v>11.91</v>
      </c>
      <c r="Z60" s="735" t="n">
        <v>11.91</v>
      </c>
      <c r="AA60" s="734" t="n">
        <v>12.7</v>
      </c>
      <c r="AB60" s="734" t="n">
        <v>14.27</v>
      </c>
      <c r="AC60" s="735" t="n">
        <v>14.27</v>
      </c>
      <c r="AD60" s="735" t="n">
        <v>14.27</v>
      </c>
      <c r="AE60" s="735" t="n">
        <v>14.27</v>
      </c>
      <c r="AF60" s="735" t="n">
        <v>14.27</v>
      </c>
      <c r="AG60" s="735" t="n">
        <v>14.27</v>
      </c>
      <c r="AH60" s="734" t="n">
        <v>17.48</v>
      </c>
      <c r="AI60" s="734" t="n">
        <v>17.48</v>
      </c>
      <c r="AJ60" s="734" t="n">
        <v>19.05</v>
      </c>
      <c r="AK60" s="734" t="n">
        <v>19.05</v>
      </c>
      <c r="AL60" s="734" t="n">
        <v>19.05</v>
      </c>
      <c r="AM60" s="734" t="n">
        <v>19.05</v>
      </c>
      <c r="AN60" s="734" t="n">
        <v>20.62</v>
      </c>
      <c r="AO60" s="734" t="n">
        <v>20.62</v>
      </c>
      <c r="AP60" s="734" t="n">
        <v>20.62</v>
      </c>
      <c r="AQ60" s="734" t="n">
        <v>20.62</v>
      </c>
      <c r="AR60" s="734" t="n">
        <v>25.4</v>
      </c>
      <c r="AS60" s="734" t="n">
        <v>26.97</v>
      </c>
      <c r="AT60" s="734" t="n">
        <v>26.97</v>
      </c>
      <c r="AU60" s="734" t="n">
        <v>26.97</v>
      </c>
      <c r="AV60" s="731" t="n">
        <v>2.77</v>
      </c>
    </row>
    <row r="61">
      <c r="A61">
        <f>VLOOKUP(C61,C61:$AU$83,$C$48,0)</f>
        <v/>
      </c>
      <c r="B61">
        <f>IF($B$47&lt;A61,ROW(),"")</f>
        <v/>
      </c>
      <c r="C61" t="n">
        <v>11</v>
      </c>
      <c r="D61" s="290" t="n"/>
      <c r="E61" s="290" t="n"/>
      <c r="F61" s="290" t="n"/>
      <c r="G61" s="290" t="n"/>
      <c r="H61" s="290" t="n"/>
      <c r="I61" s="734" t="n"/>
      <c r="J61" s="734" t="n"/>
      <c r="K61" s="734" t="n"/>
      <c r="L61" s="734" t="n">
        <v>8.74</v>
      </c>
      <c r="M61" s="734" t="n">
        <v>6.35</v>
      </c>
      <c r="N61" s="734" t="n">
        <v>7.14</v>
      </c>
      <c r="O61" s="734" t="n">
        <v>7.14</v>
      </c>
      <c r="P61" s="734" t="n">
        <v>6.02</v>
      </c>
      <c r="Q61" s="734" t="n">
        <v>8.74</v>
      </c>
      <c r="R61" s="734" t="n">
        <v>6.35</v>
      </c>
      <c r="S61" s="734" t="n">
        <v>8.18</v>
      </c>
      <c r="T61" s="734" t="n">
        <v>9.27</v>
      </c>
      <c r="U61" s="734" t="n">
        <v>8.74</v>
      </c>
      <c r="V61" s="734" t="n">
        <v>10.31</v>
      </c>
      <c r="W61" s="734" t="n">
        <v>11.13</v>
      </c>
      <c r="X61" s="734" t="n">
        <v>11.91</v>
      </c>
      <c r="Y61" s="734" t="n">
        <v>12.7</v>
      </c>
      <c r="Z61" s="735" t="n">
        <v>12.7</v>
      </c>
      <c r="AA61" s="734" t="n">
        <v>14.27</v>
      </c>
      <c r="AB61" s="734" t="n">
        <v>15.88</v>
      </c>
      <c r="AC61" s="735" t="n">
        <v>15.88</v>
      </c>
      <c r="AD61" s="735" t="n">
        <v>15.88</v>
      </c>
      <c r="AE61" s="735" t="n">
        <v>15.88</v>
      </c>
      <c r="AF61" s="735" t="n">
        <v>15.88</v>
      </c>
      <c r="AG61" s="735" t="n">
        <v>15.88</v>
      </c>
      <c r="AH61" s="734" t="n">
        <v>19.05</v>
      </c>
      <c r="AI61" s="734" t="n">
        <v>19.05</v>
      </c>
      <c r="AJ61" s="734" t="n">
        <v>20.62</v>
      </c>
      <c r="AK61" s="734" t="n">
        <v>20.62</v>
      </c>
      <c r="AL61" s="734" t="n">
        <v>20.62</v>
      </c>
      <c r="AM61" s="734" t="n">
        <v>20.62</v>
      </c>
      <c r="AN61" s="734" t="n">
        <v>22.23</v>
      </c>
      <c r="AO61" s="734" t="n">
        <v>22.23</v>
      </c>
      <c r="AP61" s="734" t="n">
        <v>22.23</v>
      </c>
      <c r="AQ61" s="734" t="n">
        <v>22.23</v>
      </c>
      <c r="AR61" s="734" t="n">
        <v>26.97</v>
      </c>
      <c r="AS61" s="734" t="n">
        <v>28.58</v>
      </c>
      <c r="AT61" s="734" t="n">
        <v>28.58</v>
      </c>
      <c r="AU61" s="734" t="n">
        <v>28.58</v>
      </c>
      <c r="AV61" s="730" t="n">
        <v>2.87</v>
      </c>
    </row>
    <row r="62">
      <c r="A62">
        <f>VLOOKUP(C62,C62:$AU$83,$C$48,0)</f>
        <v/>
      </c>
      <c r="B62">
        <f>IF($B$47&lt;A62,ROW(),"")</f>
        <v/>
      </c>
      <c r="C62" t="n">
        <v>12</v>
      </c>
      <c r="D62" s="290" t="n"/>
      <c r="E62" s="290" t="n"/>
      <c r="F62" s="290" t="n"/>
      <c r="G62" s="290" t="n"/>
      <c r="H62" s="290" t="n"/>
      <c r="I62" s="734" t="n"/>
      <c r="J62" s="734" t="n"/>
      <c r="K62" s="734" t="n"/>
      <c r="L62" s="734" t="n">
        <v>11.07</v>
      </c>
      <c r="M62" s="734" t="n">
        <v>7.01</v>
      </c>
      <c r="N62" s="734" t="n">
        <v>7.62</v>
      </c>
      <c r="O62" s="734" t="n">
        <v>8.08</v>
      </c>
      <c r="P62" s="734" t="n">
        <v>6.35</v>
      </c>
      <c r="Q62" s="734" t="n">
        <v>9.529999999999999</v>
      </c>
      <c r="R62" s="734" t="n">
        <v>7.11</v>
      </c>
      <c r="S62" s="734" t="n">
        <v>8.74</v>
      </c>
      <c r="T62" s="734" t="n">
        <v>11.13</v>
      </c>
      <c r="U62" s="734" t="n">
        <v>9.529999999999999</v>
      </c>
      <c r="V62" s="734" t="n">
        <v>11.13</v>
      </c>
      <c r="W62" s="734" t="n">
        <v>11.91</v>
      </c>
      <c r="X62" s="734" t="n">
        <v>12.7</v>
      </c>
      <c r="Y62" s="734" t="n">
        <v>14.27</v>
      </c>
      <c r="Z62" s="735" t="n">
        <v>14.27</v>
      </c>
      <c r="AA62" s="734" t="n">
        <v>15.88</v>
      </c>
      <c r="AB62" s="734" t="n">
        <v>17.48</v>
      </c>
      <c r="AC62" s="735" t="n">
        <v>17.48</v>
      </c>
      <c r="AD62" s="735" t="n">
        <v>17.48</v>
      </c>
      <c r="AE62" s="735" t="n">
        <v>17.48</v>
      </c>
      <c r="AF62" s="735" t="n">
        <v>17.48</v>
      </c>
      <c r="AG62" s="735" t="n">
        <v>17.48</v>
      </c>
      <c r="AH62" s="734" t="n">
        <v>20.62</v>
      </c>
      <c r="AI62" s="734" t="n">
        <v>20.62</v>
      </c>
      <c r="AJ62" s="734" t="n">
        <v>22.23</v>
      </c>
      <c r="AK62" s="734" t="n">
        <v>22.23</v>
      </c>
      <c r="AL62" s="734" t="n">
        <v>22.23</v>
      </c>
      <c r="AM62" s="734" t="n">
        <v>22.23</v>
      </c>
      <c r="AN62" s="734" t="n">
        <v>23.83</v>
      </c>
      <c r="AO62" s="734" t="n">
        <v>23.83</v>
      </c>
      <c r="AP62" s="734" t="n">
        <v>23.83</v>
      </c>
      <c r="AQ62" s="734" t="n">
        <v>23.83</v>
      </c>
      <c r="AR62" s="734" t="n">
        <v>28.58</v>
      </c>
      <c r="AS62" s="734" t="n">
        <v>30.18</v>
      </c>
      <c r="AT62" s="734" t="n">
        <v>30.18</v>
      </c>
      <c r="AU62" s="734" t="n">
        <v>30.18</v>
      </c>
      <c r="AV62" s="731" t="n">
        <v>2.9</v>
      </c>
    </row>
    <row r="63">
      <c r="A63">
        <f>VLOOKUP(C63,C63:$AU$83,$C$48,0)</f>
        <v/>
      </c>
      <c r="B63">
        <f>IF($B$47&lt;A63,ROW(),"")</f>
        <v/>
      </c>
      <c r="C63" t="n">
        <v>13</v>
      </c>
      <c r="D63" s="290" t="n"/>
      <c r="E63" s="290" t="n"/>
      <c r="F63" s="290" t="n"/>
      <c r="G63" s="290" t="n"/>
      <c r="H63" s="290" t="n"/>
      <c r="I63" s="734" t="n"/>
      <c r="J63" s="734" t="n"/>
      <c r="K63" s="734" t="n"/>
      <c r="L63" s="734" t="n"/>
      <c r="M63" s="734" t="n">
        <v>9.529999999999999</v>
      </c>
      <c r="N63" s="734" t="n">
        <v>11.13</v>
      </c>
      <c r="O63" s="734" t="n"/>
      <c r="P63" s="734" t="n">
        <v>7.14</v>
      </c>
      <c r="Q63" s="734" t="n">
        <v>12.7</v>
      </c>
      <c r="R63" s="734" t="n">
        <v>7.92</v>
      </c>
      <c r="S63" s="734" t="n">
        <v>9.529999999999999</v>
      </c>
      <c r="T63" s="734" t="n">
        <v>12.7</v>
      </c>
      <c r="U63" s="734" t="n">
        <v>10.31</v>
      </c>
      <c r="V63" s="734" t="n">
        <v>11.91</v>
      </c>
      <c r="W63" s="734" t="n">
        <v>12.7</v>
      </c>
      <c r="X63" s="734" t="n">
        <v>14.27</v>
      </c>
      <c r="Y63" s="734" t="n">
        <v>15.09</v>
      </c>
      <c r="Z63" s="734" t="n">
        <v>15.88</v>
      </c>
      <c r="AA63" s="734" t="n">
        <v>17.48</v>
      </c>
      <c r="AB63" s="734" t="n">
        <v>19.05</v>
      </c>
      <c r="AC63" s="735" t="n">
        <v>19.05</v>
      </c>
      <c r="AD63" s="735" t="n">
        <v>19.05</v>
      </c>
      <c r="AE63" s="735" t="n">
        <v>19.05</v>
      </c>
      <c r="AF63" s="735" t="n">
        <v>19.05</v>
      </c>
      <c r="AG63" s="735" t="n">
        <v>19.05</v>
      </c>
      <c r="AH63" s="734" t="n">
        <v>22.23</v>
      </c>
      <c r="AI63" s="734" t="n">
        <v>22.23</v>
      </c>
      <c r="AJ63" s="734" t="n">
        <v>23.83</v>
      </c>
      <c r="AK63" s="734" t="n">
        <v>23.83</v>
      </c>
      <c r="AL63" s="734" t="n">
        <v>23.83</v>
      </c>
      <c r="AM63" s="734" t="n">
        <v>23.83</v>
      </c>
      <c r="AN63" s="734" t="n">
        <v>25.4</v>
      </c>
      <c r="AO63" s="734" t="n">
        <v>25.4</v>
      </c>
      <c r="AP63" s="734" t="n">
        <v>25.4</v>
      </c>
      <c r="AQ63" s="734" t="n">
        <v>25.4</v>
      </c>
      <c r="AR63" s="734" t="n">
        <v>30.18</v>
      </c>
      <c r="AS63" s="734" t="n">
        <v>31.75</v>
      </c>
      <c r="AT63" s="734" t="n">
        <v>31.75</v>
      </c>
      <c r="AU63" s="734" t="n">
        <v>31.75</v>
      </c>
      <c r="AV63" s="730" t="n">
        <v>2.97</v>
      </c>
    </row>
    <row r="64">
      <c r="A64">
        <f>VLOOKUP(C64,C64:$AU$83,$C$48,0)</f>
        <v/>
      </c>
      <c r="B64">
        <f>IF($B$47&lt;A64,ROW(),"")</f>
        <v/>
      </c>
      <c r="C64" t="n">
        <v>14</v>
      </c>
      <c r="D64" s="290" t="n"/>
      <c r="E64" s="290" t="n"/>
      <c r="F64" s="290" t="n"/>
      <c r="G64" s="290" t="n"/>
      <c r="H64" s="290" t="n"/>
      <c r="I64" s="734" t="n"/>
      <c r="J64" s="734" t="n"/>
      <c r="K64" s="734" t="n"/>
      <c r="L64" s="734" t="n"/>
      <c r="M64" s="734" t="n">
        <v>14.02</v>
      </c>
      <c r="N64" s="734" t="n">
        <v>15.24</v>
      </c>
      <c r="O64" s="734" t="n"/>
      <c r="P64" s="734" t="n">
        <v>7.92</v>
      </c>
      <c r="Q64" s="734" t="n">
        <v>15.88</v>
      </c>
      <c r="R64" s="734" t="n">
        <v>8.74</v>
      </c>
      <c r="S64" s="734" t="n">
        <v>10.31</v>
      </c>
      <c r="T64" s="734" t="n">
        <v>14.27</v>
      </c>
      <c r="U64" s="734" t="n">
        <v>11.13</v>
      </c>
      <c r="V64" s="734" t="n">
        <v>12.7</v>
      </c>
      <c r="W64" s="734" t="n">
        <v>14.27</v>
      </c>
      <c r="X64" s="734" t="n">
        <v>15.88</v>
      </c>
      <c r="Y64" s="735" t="n">
        <v>15.88</v>
      </c>
      <c r="Z64" s="734" t="n">
        <v>17.48</v>
      </c>
      <c r="AA64" s="734" t="n">
        <v>19.05</v>
      </c>
      <c r="AB64" s="734" t="n">
        <v>20.62</v>
      </c>
      <c r="AC64" s="735" t="n">
        <v>20.62</v>
      </c>
      <c r="AD64" s="735" t="n">
        <v>20.62</v>
      </c>
      <c r="AE64" s="735" t="n">
        <v>20.62</v>
      </c>
      <c r="AF64" s="735" t="n">
        <v>20.62</v>
      </c>
      <c r="AG64" s="735" t="n">
        <v>20.62</v>
      </c>
      <c r="AH64" s="734" t="n">
        <v>23.83</v>
      </c>
      <c r="AI64" s="734" t="n">
        <v>23.83</v>
      </c>
      <c r="AJ64" s="734" t="n">
        <v>25.4</v>
      </c>
      <c r="AK64" s="734" t="n">
        <v>25.4</v>
      </c>
      <c r="AL64" s="734" t="n">
        <v>25.4</v>
      </c>
      <c r="AM64" s="734" t="n">
        <v>25.4</v>
      </c>
      <c r="AN64" s="734" t="n">
        <v>26.97</v>
      </c>
      <c r="AO64" s="734" t="n">
        <v>26.97</v>
      </c>
      <c r="AP64" s="734" t="n">
        <v>26.97</v>
      </c>
      <c r="AQ64" s="734" t="n">
        <v>26.97</v>
      </c>
      <c r="AR64" s="734" t="n">
        <v>31.75</v>
      </c>
      <c r="AS64" s="734" t="n"/>
      <c r="AT64" s="734" t="n"/>
      <c r="AU64" s="734" t="n"/>
      <c r="AV64" s="731" t="n">
        <v>3.02</v>
      </c>
    </row>
    <row r="65">
      <c r="A65">
        <f>VLOOKUP(C65,C65:$AU$83,$C$48,0)</f>
        <v/>
      </c>
      <c r="B65">
        <f>IF($B$47&lt;A65,ROW(),"")</f>
        <v/>
      </c>
      <c r="C65" t="n">
        <v>15</v>
      </c>
      <c r="D65" s="290" t="n"/>
      <c r="E65" s="290" t="n"/>
      <c r="F65" s="290" t="n"/>
      <c r="G65" s="290" t="n"/>
      <c r="H65" s="290" t="n"/>
      <c r="I65" s="734" t="n"/>
      <c r="J65" s="734" t="n"/>
      <c r="K65" s="734" t="n"/>
      <c r="L65" s="734" t="n"/>
      <c r="M65" s="734" t="n"/>
      <c r="N65" s="734" t="n"/>
      <c r="O65" s="734" t="n"/>
      <c r="P65" s="734" t="n">
        <v>8.56</v>
      </c>
      <c r="Q65" s="734" t="n">
        <v>19.05</v>
      </c>
      <c r="R65" s="734" t="n">
        <v>9.529999999999999</v>
      </c>
      <c r="S65" s="734" t="n">
        <v>11.13</v>
      </c>
      <c r="T65" s="734" t="n">
        <v>15.09</v>
      </c>
      <c r="U65" s="734" t="n">
        <v>12.7</v>
      </c>
      <c r="V65" s="734" t="n">
        <v>14.27</v>
      </c>
      <c r="W65" s="734" t="n">
        <v>15.88</v>
      </c>
      <c r="X65" s="734" t="n">
        <v>17.48</v>
      </c>
      <c r="Y65" s="735" t="n">
        <v>17.48</v>
      </c>
      <c r="Z65" s="734" t="n">
        <v>19.05</v>
      </c>
      <c r="AA65" s="734" t="n">
        <v>20.62</v>
      </c>
      <c r="AB65" s="734" t="n">
        <v>22.23</v>
      </c>
      <c r="AC65" s="735" t="n">
        <v>22.23</v>
      </c>
      <c r="AD65" s="735" t="n">
        <v>22.23</v>
      </c>
      <c r="AE65" s="735" t="n">
        <v>22.23</v>
      </c>
      <c r="AF65" s="735" t="n">
        <v>22.23</v>
      </c>
      <c r="AG65" s="735" t="n">
        <v>22.23</v>
      </c>
      <c r="AH65" s="734" t="n">
        <v>25.4</v>
      </c>
      <c r="AI65" s="734" t="n">
        <v>25.4</v>
      </c>
      <c r="AJ65" s="734" t="n">
        <v>26.97</v>
      </c>
      <c r="AK65" s="734" t="n">
        <v>26.97</v>
      </c>
      <c r="AL65" s="734" t="n">
        <v>26.97</v>
      </c>
      <c r="AM65" s="734" t="n">
        <v>26.97</v>
      </c>
      <c r="AN65" s="734" t="n">
        <v>28.58</v>
      </c>
      <c r="AO65" s="734" t="n">
        <v>28.58</v>
      </c>
      <c r="AP65" s="734" t="n">
        <v>28.58</v>
      </c>
      <c r="AQ65" s="734" t="n">
        <v>28.58</v>
      </c>
      <c r="AR65" s="734" t="n"/>
      <c r="AS65" s="734" t="n"/>
      <c r="AT65" s="734" t="n"/>
      <c r="AU65" s="734" t="n"/>
      <c r="AV65" s="730" t="n">
        <v>3.05</v>
      </c>
    </row>
    <row r="66">
      <c r="A66">
        <f>VLOOKUP(C66,C66:$AU$83,$C$48,0)</f>
        <v/>
      </c>
      <c r="B66">
        <f>IF($B$47&lt;A66,ROW(),"")</f>
        <v/>
      </c>
      <c r="C66" t="n">
        <v>16</v>
      </c>
      <c r="D66" s="290" t="n"/>
      <c r="E66" s="290" t="n"/>
      <c r="F66" s="290" t="n"/>
      <c r="G66" s="290" t="n"/>
      <c r="H66" s="290" t="n"/>
      <c r="I66" s="734" t="n"/>
      <c r="J66" s="734" t="n"/>
      <c r="K66" s="734" t="n"/>
      <c r="L66" s="734" t="n"/>
      <c r="M66" s="734" t="n"/>
      <c r="N66" s="734" t="n"/>
      <c r="O66" s="734" t="n"/>
      <c r="P66" s="734" t="n">
        <v>11.13</v>
      </c>
      <c r="Q66" s="734" t="n"/>
      <c r="R66" s="734" t="n">
        <v>10.97</v>
      </c>
      <c r="S66" s="734" t="n">
        <v>12.7</v>
      </c>
      <c r="T66" s="734" t="n">
        <v>15.88</v>
      </c>
      <c r="U66" s="734" t="n">
        <v>14.27</v>
      </c>
      <c r="V66" s="734" t="n">
        <v>15.09</v>
      </c>
      <c r="W66" s="734" t="n">
        <v>16.66</v>
      </c>
      <c r="X66" s="734" t="n">
        <v>19.05</v>
      </c>
      <c r="Y66" s="735" t="n">
        <v>19.05</v>
      </c>
      <c r="Z66" s="734" t="n">
        <v>20.62</v>
      </c>
      <c r="AA66" s="734" t="n">
        <v>22.23</v>
      </c>
      <c r="AB66" s="734" t="n">
        <v>23.83</v>
      </c>
      <c r="AC66" s="735" t="n">
        <v>23.83</v>
      </c>
      <c r="AD66" s="735" t="n">
        <v>23.83</v>
      </c>
      <c r="AE66" s="735" t="n">
        <v>23.83</v>
      </c>
      <c r="AF66" s="735" t="n">
        <v>23.83</v>
      </c>
      <c r="AG66" s="735" t="n">
        <v>23.83</v>
      </c>
      <c r="AH66" s="734" t="n">
        <v>26.97</v>
      </c>
      <c r="AI66" s="734" t="n">
        <v>26.97</v>
      </c>
      <c r="AJ66" s="734" t="n">
        <v>28.58</v>
      </c>
      <c r="AK66" s="734" t="n">
        <v>28.58</v>
      </c>
      <c r="AL66" s="734" t="n">
        <v>28.58</v>
      </c>
      <c r="AM66" s="734" t="n">
        <v>28.58</v>
      </c>
      <c r="AN66" s="734" t="n">
        <v>30.18</v>
      </c>
      <c r="AO66" s="734" t="n">
        <v>30.18</v>
      </c>
      <c r="AP66" s="734" t="n">
        <v>30.18</v>
      </c>
      <c r="AQ66" s="734" t="n">
        <v>30.18</v>
      </c>
      <c r="AR66" s="734" t="n"/>
      <c r="AS66" s="734" t="n"/>
      <c r="AT66" s="734" t="n"/>
      <c r="AU66" s="734" t="n"/>
      <c r="AV66" s="731" t="n">
        <v>3.18</v>
      </c>
    </row>
    <row r="67">
      <c r="A67">
        <f>VLOOKUP(C67,C67:$AU$83,$C$48,0)</f>
        <v/>
      </c>
      <c r="B67">
        <f>IF($B$47&lt;A67,ROW(),"")</f>
        <v/>
      </c>
      <c r="C67" t="n">
        <v>17</v>
      </c>
      <c r="D67" s="290" t="n"/>
      <c r="E67" s="290" t="n"/>
      <c r="F67" s="290" t="n"/>
      <c r="G67" s="290" t="n"/>
      <c r="H67" s="290" t="n"/>
      <c r="I67" s="734" t="n"/>
      <c r="J67" s="734" t="n"/>
      <c r="K67" s="734" t="n"/>
      <c r="L67" s="734" t="n"/>
      <c r="M67" s="734" t="n"/>
      <c r="N67" s="734" t="n"/>
      <c r="O67" s="734" t="n"/>
      <c r="P67" s="734" t="n">
        <v>13.49</v>
      </c>
      <c r="Q67" s="734" t="n"/>
      <c r="R67" s="734" t="n">
        <v>12.7</v>
      </c>
      <c r="S67" s="734" t="n">
        <v>14.27</v>
      </c>
      <c r="T67" s="734" t="n">
        <v>18.26</v>
      </c>
      <c r="U67" s="734" t="n">
        <v>15.88</v>
      </c>
      <c r="V67" s="734" t="n">
        <v>15.88</v>
      </c>
      <c r="W67" s="734" t="n">
        <v>17.48</v>
      </c>
      <c r="X67" s="734" t="n">
        <v>20.62</v>
      </c>
      <c r="Y67" s="735" t="n">
        <v>20.62</v>
      </c>
      <c r="Z67" s="734" t="n">
        <v>22.23</v>
      </c>
      <c r="AA67" s="734" t="n">
        <v>23.83</v>
      </c>
      <c r="AB67" s="734" t="n">
        <v>25.4</v>
      </c>
      <c r="AC67" s="735" t="n">
        <v>25.4</v>
      </c>
      <c r="AD67" s="735" t="n">
        <v>25.4</v>
      </c>
      <c r="AE67" s="735" t="n">
        <v>25.4</v>
      </c>
      <c r="AF67" s="735" t="n">
        <v>25.4</v>
      </c>
      <c r="AG67" s="735" t="n">
        <v>25.4</v>
      </c>
      <c r="AH67" s="734" t="n">
        <v>28.58</v>
      </c>
      <c r="AI67" s="734" t="n">
        <v>28.58</v>
      </c>
      <c r="AJ67" s="734" t="n">
        <v>30.18</v>
      </c>
      <c r="AK67" s="734" t="n">
        <v>30.18</v>
      </c>
      <c r="AL67" s="734" t="n">
        <v>30.18</v>
      </c>
      <c r="AM67" s="734" t="n">
        <v>30.18</v>
      </c>
      <c r="AN67" s="734" t="n">
        <v>31.75</v>
      </c>
      <c r="AO67" s="734" t="n">
        <v>31.75</v>
      </c>
      <c r="AP67" s="734" t="n">
        <v>31.75</v>
      </c>
      <c r="AQ67" s="734" t="n">
        <v>31.75</v>
      </c>
      <c r="AR67" s="734" t="n"/>
      <c r="AS67" s="734" t="n"/>
      <c r="AT67" s="734" t="n"/>
      <c r="AU67" s="734" t="n"/>
      <c r="AV67" s="730" t="n">
        <v>3.2</v>
      </c>
    </row>
    <row r="68">
      <c r="A68">
        <f>VLOOKUP(C68,C68:$AU$83,$C$48,0)</f>
        <v/>
      </c>
      <c r="B68">
        <f>IF($B$47&lt;A68,ROW(),"")</f>
        <v/>
      </c>
      <c r="C68" t="n">
        <v>18</v>
      </c>
      <c r="D68" s="290" t="n"/>
      <c r="E68" s="290" t="n"/>
      <c r="F68" s="290" t="n"/>
      <c r="G68" s="290" t="n"/>
      <c r="H68" s="290" t="n"/>
      <c r="I68" s="734" t="n"/>
      <c r="J68" s="734" t="n"/>
      <c r="K68" s="734" t="n"/>
      <c r="L68" s="734" t="n"/>
      <c r="M68" s="734" t="n"/>
      <c r="N68" s="734" t="n"/>
      <c r="O68" s="734" t="n"/>
      <c r="P68" s="734" t="n">
        <v>17.12</v>
      </c>
      <c r="Q68" s="734" t="n"/>
      <c r="R68" s="734" t="n">
        <v>14.27</v>
      </c>
      <c r="S68" s="734" t="n">
        <v>15.09</v>
      </c>
      <c r="T68" s="734" t="n">
        <v>20.62</v>
      </c>
      <c r="U68" s="734" t="n">
        <v>17.48</v>
      </c>
      <c r="V68" s="734" t="n">
        <v>17.48</v>
      </c>
      <c r="W68" s="734" t="n">
        <v>19.05</v>
      </c>
      <c r="X68" s="734" t="n">
        <v>22.23</v>
      </c>
      <c r="Y68" s="735" t="n">
        <v>22.23</v>
      </c>
      <c r="Z68" s="734" t="n">
        <v>23.83</v>
      </c>
      <c r="AA68" s="734" t="n">
        <v>24.61</v>
      </c>
      <c r="AB68" s="734" t="n"/>
      <c r="AC68" s="734" t="n">
        <v>26.97</v>
      </c>
      <c r="AD68" s="734" t="n">
        <v>26.97</v>
      </c>
      <c r="AE68" s="735" t="n">
        <v>26.97</v>
      </c>
      <c r="AF68" s="735" t="n">
        <v>26.97</v>
      </c>
      <c r="AG68" s="735" t="n">
        <v>26.97</v>
      </c>
      <c r="AH68" s="734" t="n">
        <v>30.18</v>
      </c>
      <c r="AI68" s="734" t="n">
        <v>30.18</v>
      </c>
      <c r="AJ68" s="734" t="n">
        <v>31.75</v>
      </c>
      <c r="AK68" s="734" t="n">
        <v>31.75</v>
      </c>
      <c r="AL68" s="734" t="n">
        <v>31.75</v>
      </c>
      <c r="AM68" s="734" t="n">
        <v>31.75</v>
      </c>
      <c r="AN68" s="734" t="n"/>
      <c r="AO68" s="734" t="n"/>
      <c r="AP68" s="734" t="n"/>
      <c r="AQ68" s="734" t="n"/>
      <c r="AR68" s="734" t="n"/>
      <c r="AS68" s="734" t="n"/>
      <c r="AT68" s="734" t="n"/>
      <c r="AU68" s="734" t="n"/>
      <c r="AV68" s="731" t="n">
        <v>3.38</v>
      </c>
    </row>
    <row r="69">
      <c r="A69">
        <f>VLOOKUP(C69,C69:$AU$83,$C$48,0)</f>
        <v/>
      </c>
      <c r="B69">
        <f>IF($B$47&lt;A69,ROW(),"")</f>
        <v/>
      </c>
      <c r="C69" t="n">
        <v>19</v>
      </c>
      <c r="D69" s="290" t="n"/>
      <c r="E69" s="290" t="n"/>
      <c r="F69" s="290" t="n"/>
      <c r="G69" s="290" t="n"/>
      <c r="H69" s="290" t="n"/>
      <c r="I69" s="734" t="n"/>
      <c r="J69" s="734" t="n"/>
      <c r="K69" s="734" t="n"/>
      <c r="L69" s="734" t="n"/>
      <c r="M69" s="734" t="n"/>
      <c r="N69" s="734" t="n"/>
      <c r="O69" s="734" t="n"/>
      <c r="P69" s="734" t="n"/>
      <c r="Q69" s="734" t="n"/>
      <c r="R69" s="734" t="n">
        <v>15.88</v>
      </c>
      <c r="S69" s="734" t="n">
        <v>15.88</v>
      </c>
      <c r="T69" s="734" t="n">
        <v>21.44</v>
      </c>
      <c r="U69" s="734" t="n">
        <v>19.05</v>
      </c>
      <c r="V69" s="734" t="n">
        <v>19.05</v>
      </c>
      <c r="W69" s="734" t="n">
        <v>20.62</v>
      </c>
      <c r="X69" s="734" t="n">
        <v>23.83</v>
      </c>
      <c r="Y69" s="735" t="n">
        <v>23.83</v>
      </c>
      <c r="Z69" s="734" t="n">
        <v>25.4</v>
      </c>
      <c r="AA69" s="735" t="n">
        <v>25.4</v>
      </c>
      <c r="AB69" s="734" t="n"/>
      <c r="AC69" s="734" t="n"/>
      <c r="AD69" s="734" t="n">
        <v>28.58</v>
      </c>
      <c r="AE69" s="735" t="n">
        <v>28.58</v>
      </c>
      <c r="AF69" s="735" t="n">
        <v>28.58</v>
      </c>
      <c r="AG69" s="735" t="n">
        <v>28.58</v>
      </c>
      <c r="AH69" s="734" t="n">
        <v>31.75</v>
      </c>
      <c r="AI69" s="734" t="n">
        <v>31.75</v>
      </c>
      <c r="AJ69" s="734" t="n"/>
      <c r="AK69" s="734" t="n"/>
      <c r="AL69" s="734" t="n"/>
      <c r="AM69" s="734" t="n"/>
      <c r="AN69" s="734" t="n"/>
      <c r="AO69" s="734" t="n"/>
      <c r="AP69" s="734" t="n"/>
      <c r="AQ69" s="734" t="n"/>
      <c r="AR69" s="734" t="n"/>
      <c r="AS69" s="734" t="n"/>
      <c r="AT69" s="734" t="n"/>
      <c r="AU69" s="734" t="n"/>
      <c r="AV69" s="730" t="n">
        <v>3.4</v>
      </c>
    </row>
    <row r="70">
      <c r="A70">
        <f>VLOOKUP(C70,C70:$AU$83,$C$48,0)</f>
        <v/>
      </c>
      <c r="B70">
        <f>IF($B$47&lt;A70,ROW(),"")</f>
        <v/>
      </c>
      <c r="C70" t="n">
        <v>20</v>
      </c>
      <c r="D70" s="290" t="n"/>
      <c r="E70" s="290" t="n"/>
      <c r="F70" s="290" t="n"/>
      <c r="G70" s="290" t="n"/>
      <c r="H70" s="290" t="n"/>
      <c r="I70" s="734" t="n"/>
      <c r="J70" s="734" t="n"/>
      <c r="K70" s="734" t="n"/>
      <c r="L70" s="734" t="n"/>
      <c r="M70" s="734" t="n"/>
      <c r="N70" s="734" t="n"/>
      <c r="O70" s="734" t="n"/>
      <c r="P70" s="734" t="n"/>
      <c r="Q70" s="734" t="n"/>
      <c r="R70" s="734" t="n">
        <v>18.26</v>
      </c>
      <c r="S70" s="734" t="n">
        <v>18.26</v>
      </c>
      <c r="T70" s="734" t="n">
        <v>22.23</v>
      </c>
      <c r="U70" s="734" t="n">
        <v>20.62</v>
      </c>
      <c r="V70" s="734" t="n">
        <v>20.62</v>
      </c>
      <c r="W70" s="734" t="n">
        <v>21.44</v>
      </c>
      <c r="X70" s="734" t="n">
        <v>25.4</v>
      </c>
      <c r="Y70" s="735" t="n">
        <v>25.4</v>
      </c>
      <c r="Z70" s="734" t="n">
        <v>26.97</v>
      </c>
      <c r="AA70" s="735" t="n">
        <v>26.97</v>
      </c>
      <c r="AB70" s="734" t="n"/>
      <c r="AC70" s="734" t="n"/>
      <c r="AD70" s="734" t="n">
        <v>30.18</v>
      </c>
      <c r="AE70" s="735" t="n">
        <v>30.18</v>
      </c>
      <c r="AF70" s="735" t="n">
        <v>30.18</v>
      </c>
      <c r="AG70" s="735" t="n">
        <v>30.18</v>
      </c>
      <c r="AH70" s="734" t="n"/>
      <c r="AI70" s="734" t="n"/>
      <c r="AJ70" s="734" t="n"/>
      <c r="AK70" s="734" t="n"/>
      <c r="AL70" s="734" t="n"/>
      <c r="AM70" s="734" t="n"/>
      <c r="AN70" s="734" t="n"/>
      <c r="AO70" s="734" t="n"/>
      <c r="AP70" s="734" t="n"/>
      <c r="AQ70" s="734" t="n"/>
      <c r="AR70" s="734" t="n"/>
      <c r="AS70" s="734" t="n"/>
      <c r="AT70" s="734" t="n"/>
      <c r="AU70" s="734" t="n"/>
      <c r="AV70" s="731" t="n">
        <v>3.56</v>
      </c>
    </row>
    <row r="71">
      <c r="A71">
        <f>VLOOKUP(C71,C71:$AU$83,$C$48,0)</f>
        <v/>
      </c>
      <c r="B71">
        <f>IF($B$47&lt;A71,ROW(),"")</f>
        <v/>
      </c>
      <c r="C71" t="n">
        <v>21</v>
      </c>
      <c r="D71" s="290" t="n"/>
      <c r="E71" s="290" t="n"/>
      <c r="F71" s="290" t="n"/>
      <c r="G71" s="290" t="n"/>
      <c r="H71" s="290" t="n"/>
      <c r="I71" s="734" t="n"/>
      <c r="J71" s="734" t="n"/>
      <c r="K71" s="734" t="n"/>
      <c r="L71" s="734" t="n"/>
      <c r="M71" s="734" t="n"/>
      <c r="N71" s="734" t="n"/>
      <c r="O71" s="734" t="n"/>
      <c r="P71" s="734" t="n"/>
      <c r="Q71" s="734" t="n"/>
      <c r="R71" s="734" t="n">
        <v>19.05</v>
      </c>
      <c r="S71" s="734" t="n">
        <v>19.05</v>
      </c>
      <c r="T71" s="734" t="n">
        <v>23.83</v>
      </c>
      <c r="U71" s="734" t="n">
        <v>21.44</v>
      </c>
      <c r="V71" s="734" t="n">
        <v>22.23</v>
      </c>
      <c r="W71" s="735" t="n">
        <v>22.23</v>
      </c>
      <c r="X71" s="734" t="n">
        <v>26.97</v>
      </c>
      <c r="Y71" s="734" t="n">
        <v>26.19</v>
      </c>
      <c r="Z71" s="734" t="n">
        <v>28.58</v>
      </c>
      <c r="AA71" s="735" t="n">
        <v>28.58</v>
      </c>
      <c r="AB71" s="734" t="n"/>
      <c r="AC71" s="734" t="n"/>
      <c r="AD71" s="734" t="n">
        <v>31.75</v>
      </c>
      <c r="AE71" s="735" t="n">
        <v>31.75</v>
      </c>
      <c r="AF71" s="735" t="n">
        <v>31.75</v>
      </c>
      <c r="AG71" s="735" t="n">
        <v>31.75</v>
      </c>
      <c r="AH71" s="734" t="n"/>
      <c r="AI71" s="734" t="n"/>
      <c r="AJ71" s="734" t="n"/>
      <c r="AK71" s="734" t="n"/>
      <c r="AL71" s="734" t="n"/>
      <c r="AM71" s="734" t="n"/>
      <c r="AN71" s="734" t="n"/>
      <c r="AO71" s="734" t="n"/>
      <c r="AP71" s="734" t="n"/>
      <c r="AQ71" s="734" t="n"/>
      <c r="AR71" s="734" t="n"/>
      <c r="AS71" s="734" t="n"/>
      <c r="AT71" s="734" t="n"/>
      <c r="AU71" s="734" t="n"/>
      <c r="AV71" s="730" t="n">
        <v>3.58</v>
      </c>
    </row>
    <row r="72">
      <c r="A72">
        <f>VLOOKUP(C72,C72:$AU$83,$C$48,0)</f>
        <v/>
      </c>
      <c r="B72">
        <f>IF($B$47&lt;A72,ROW(),"")</f>
        <v/>
      </c>
      <c r="C72" t="n">
        <v>22</v>
      </c>
      <c r="D72" s="290" t="n"/>
      <c r="E72" s="290" t="n"/>
      <c r="F72" s="290" t="n"/>
      <c r="G72" s="290" t="n"/>
      <c r="H72" s="290" t="n"/>
      <c r="I72" s="734" t="n"/>
      <c r="J72" s="734" t="n"/>
      <c r="K72" s="734" t="n"/>
      <c r="L72" s="734" t="n"/>
      <c r="M72" s="734" t="n"/>
      <c r="N72" s="734" t="n"/>
      <c r="O72" s="734" t="n"/>
      <c r="P72" s="734" t="n"/>
      <c r="Q72" s="734" t="n"/>
      <c r="R72" s="734" t="n">
        <v>21.95</v>
      </c>
      <c r="S72" s="734" t="n">
        <v>20.62</v>
      </c>
      <c r="T72" s="734" t="n">
        <v>25.4</v>
      </c>
      <c r="U72" s="734" t="n">
        <v>22.23</v>
      </c>
      <c r="V72" s="734" t="n">
        <v>23.83</v>
      </c>
      <c r="W72" s="734" t="n">
        <v>23.83</v>
      </c>
      <c r="X72" s="734" t="n">
        <v>28.58</v>
      </c>
      <c r="Y72" s="734" t="n">
        <v>26.97</v>
      </c>
      <c r="Z72" s="734" t="n">
        <v>30.18</v>
      </c>
      <c r="AA72" s="735" t="n">
        <v>30.18</v>
      </c>
      <c r="AB72" s="734" t="n"/>
      <c r="AC72" s="734" t="n"/>
      <c r="AD72" s="734" t="n"/>
      <c r="AE72" s="734" t="n"/>
      <c r="AF72" s="734" t="n"/>
      <c r="AG72" s="734" t="n"/>
      <c r="AH72" s="734" t="n"/>
      <c r="AI72" s="734" t="n"/>
      <c r="AJ72" s="734" t="n"/>
      <c r="AK72" s="734" t="n"/>
      <c r="AL72" s="734" t="n"/>
      <c r="AM72" s="734" t="n"/>
      <c r="AN72" s="734" t="n"/>
      <c r="AO72" s="734" t="n"/>
      <c r="AP72" s="734" t="n"/>
      <c r="AQ72" s="734" t="n"/>
      <c r="AR72" s="734" t="n"/>
      <c r="AS72" s="734" t="n"/>
      <c r="AT72" s="734" t="n"/>
      <c r="AU72" s="734" t="n"/>
      <c r="AV72" s="731" t="n">
        <v>3.68</v>
      </c>
    </row>
    <row r="73">
      <c r="A73">
        <f>VLOOKUP(C73,C73:$AU$83,$C$48,0)</f>
        <v/>
      </c>
      <c r="B73">
        <f>IF($B$47&lt;A73,ROW(),"")</f>
        <v/>
      </c>
      <c r="C73" t="n">
        <v>23</v>
      </c>
      <c r="D73" s="290" t="n"/>
      <c r="E73" s="290" t="n"/>
      <c r="F73" s="290" t="n"/>
      <c r="G73" s="290" t="n"/>
      <c r="H73" s="290" t="n"/>
      <c r="I73" s="734" t="n"/>
      <c r="J73" s="734" t="n"/>
      <c r="K73" s="734" t="n"/>
      <c r="L73" s="734" t="n"/>
      <c r="M73" s="734" t="n"/>
      <c r="N73" s="734" t="n"/>
      <c r="O73" s="734" t="n"/>
      <c r="P73" s="734" t="n"/>
      <c r="Q73" s="734" t="n"/>
      <c r="R73" s="734" t="n">
        <v>22.22</v>
      </c>
      <c r="S73" s="735" t="n">
        <v>22.23</v>
      </c>
      <c r="T73" s="734" t="n">
        <v>28.58</v>
      </c>
      <c r="U73" s="734" t="n">
        <v>23.83</v>
      </c>
      <c r="V73" s="734" t="n">
        <v>25.4</v>
      </c>
      <c r="W73" s="734" t="n">
        <v>25.4</v>
      </c>
      <c r="X73" s="734" t="n">
        <v>29.36</v>
      </c>
      <c r="Y73" s="734" t="n">
        <v>28.58</v>
      </c>
      <c r="Z73" s="734" t="n">
        <v>31.75</v>
      </c>
      <c r="AA73" s="734" t="n">
        <v>30.96</v>
      </c>
      <c r="AB73" s="734" t="n"/>
      <c r="AC73" s="734" t="n"/>
      <c r="AD73" s="734" t="n"/>
      <c r="AE73" s="734" t="n"/>
      <c r="AF73" s="734" t="n"/>
      <c r="AG73" s="734" t="n"/>
      <c r="AH73" s="734" t="n"/>
      <c r="AI73" s="734" t="n"/>
      <c r="AJ73" s="734" t="n"/>
      <c r="AK73" s="734" t="n"/>
      <c r="AL73" s="734" t="n"/>
      <c r="AM73" s="734" t="n"/>
      <c r="AN73" s="734" t="n"/>
      <c r="AO73" s="734" t="n"/>
      <c r="AP73" s="734" t="n"/>
      <c r="AQ73" s="734" t="n"/>
      <c r="AR73" s="734" t="n"/>
      <c r="AS73" s="734" t="n"/>
      <c r="AT73" s="734" t="n"/>
      <c r="AU73" s="734" t="n"/>
      <c r="AV73" s="730" t="n">
        <v>3.73</v>
      </c>
    </row>
    <row r="74">
      <c r="A74">
        <f>VLOOKUP(C74,C74:$AU$83,$C$48,0)</f>
        <v/>
      </c>
      <c r="B74">
        <f>IF($B$47&lt;A74,ROW(),"")</f>
        <v/>
      </c>
      <c r="C74" t="n">
        <v>24</v>
      </c>
      <c r="D74" s="290" t="n"/>
      <c r="E74" s="290" t="n"/>
      <c r="F74" s="290" t="n"/>
      <c r="G74" s="290" t="n"/>
      <c r="H74" s="290" t="n"/>
      <c r="I74" s="734" t="n"/>
      <c r="J74" s="734" t="n"/>
      <c r="K74" s="734" t="n"/>
      <c r="L74" s="734" t="n"/>
      <c r="M74" s="734" t="n"/>
      <c r="N74" s="734" t="n"/>
      <c r="O74" s="734" t="n"/>
      <c r="P74" s="734" t="n"/>
      <c r="Q74" s="734" t="n"/>
      <c r="R74" s="734" t="n"/>
      <c r="S74" s="734" t="n">
        <v>23.01</v>
      </c>
      <c r="T74" s="734" t="n">
        <v>31.75</v>
      </c>
      <c r="U74" s="734" t="n">
        <v>25.4</v>
      </c>
      <c r="V74" s="734" t="n">
        <v>26.97</v>
      </c>
      <c r="W74" s="734" t="n">
        <v>26.19</v>
      </c>
      <c r="X74" s="734" t="n">
        <v>30.18</v>
      </c>
      <c r="Y74" s="734" t="n">
        <v>30.18</v>
      </c>
      <c r="Z74" s="734" t="n">
        <v>33.92</v>
      </c>
      <c r="AA74" s="734" t="n">
        <v>31.75</v>
      </c>
      <c r="AB74" s="734" t="n"/>
      <c r="AC74" s="734" t="n"/>
      <c r="AD74" s="734" t="n"/>
      <c r="AE74" s="734" t="n"/>
      <c r="AF74" s="734" t="n"/>
      <c r="AG74" s="734" t="n"/>
      <c r="AH74" s="734" t="n"/>
      <c r="AI74" s="734" t="n"/>
      <c r="AJ74" s="734" t="n"/>
      <c r="AK74" s="734" t="n"/>
      <c r="AL74" s="734" t="n"/>
      <c r="AM74" s="734" t="n"/>
      <c r="AN74" s="734" t="n"/>
      <c r="AO74" s="734" t="n"/>
      <c r="AP74" s="734" t="n"/>
      <c r="AQ74" s="734" t="n"/>
      <c r="AR74" s="734" t="n"/>
      <c r="AS74" s="734" t="n"/>
      <c r="AT74" s="734" t="n"/>
      <c r="AU74" s="734" t="n"/>
      <c r="AV74" s="731" t="n">
        <v>3.76</v>
      </c>
    </row>
    <row r="75">
      <c r="A75">
        <f>VLOOKUP(C75,C75:$AU$83,$C$48,0)</f>
        <v/>
      </c>
      <c r="B75">
        <f>IF($B$47&lt;A75,ROW(),"")</f>
        <v/>
      </c>
      <c r="C75" t="n">
        <v>25</v>
      </c>
      <c r="D75" s="290" t="n"/>
      <c r="E75" s="290" t="n"/>
      <c r="F75" s="290" t="n"/>
      <c r="G75" s="290" t="n"/>
      <c r="H75" s="290" t="n"/>
      <c r="I75" s="734" t="n"/>
      <c r="J75" s="734" t="n"/>
      <c r="K75" s="734" t="n"/>
      <c r="L75" s="734" t="n"/>
      <c r="M75" s="734" t="n"/>
      <c r="N75" s="734" t="n"/>
      <c r="O75" s="734" t="n"/>
      <c r="P75" s="734" t="n"/>
      <c r="Q75" s="734" t="n"/>
      <c r="R75" s="734" t="n"/>
      <c r="S75" s="734" t="n">
        <v>25.4</v>
      </c>
      <c r="T75" s="734" t="n">
        <v>34.92</v>
      </c>
      <c r="U75" s="734" t="n">
        <v>26.97</v>
      </c>
      <c r="V75" s="734" t="n">
        <v>27.79</v>
      </c>
      <c r="W75" s="734" t="n">
        <v>26.97</v>
      </c>
      <c r="X75" s="734" t="n">
        <v>31.75</v>
      </c>
      <c r="Y75" s="734" t="n">
        <v>31.75</v>
      </c>
      <c r="Z75" s="734" t="n">
        <v>34.93</v>
      </c>
      <c r="AA75" s="734" t="n">
        <v>33.32</v>
      </c>
      <c r="AB75" s="734" t="n"/>
      <c r="AC75" s="734" t="n"/>
      <c r="AD75" s="734" t="n"/>
      <c r="AE75" s="734" t="n"/>
      <c r="AF75" s="734" t="n"/>
      <c r="AG75" s="734" t="n"/>
      <c r="AH75" s="734" t="n"/>
      <c r="AI75" s="734" t="n"/>
      <c r="AJ75" s="734" t="n"/>
      <c r="AK75" s="734" t="n"/>
      <c r="AL75" s="734" t="n"/>
      <c r="AM75" s="734" t="n"/>
      <c r="AN75" s="734" t="n"/>
      <c r="AO75" s="734" t="n"/>
      <c r="AP75" s="734" t="n"/>
      <c r="AQ75" s="734" t="n"/>
      <c r="AR75" s="734" t="n"/>
      <c r="AS75" s="734" t="n"/>
      <c r="AT75" s="734" t="n"/>
      <c r="AU75" s="734" t="n"/>
      <c r="AV75" s="730" t="n">
        <v>3.91</v>
      </c>
    </row>
    <row r="76">
      <c r="A76">
        <f>VLOOKUP(C76,C76:$AU$83,$C$48,0)</f>
        <v/>
      </c>
      <c r="B76">
        <f>IF($B$47&lt;A76,ROW(),"")</f>
        <v/>
      </c>
      <c r="C76" t="n">
        <v>26</v>
      </c>
      <c r="D76" s="290" t="n"/>
      <c r="E76" s="290" t="n"/>
      <c r="F76" s="290" t="n"/>
      <c r="G76" s="290" t="n"/>
      <c r="H76" s="290" t="n"/>
      <c r="I76" s="734" t="n"/>
      <c r="J76" s="734" t="n"/>
      <c r="K76" s="734" t="n"/>
      <c r="L76" s="734" t="n"/>
      <c r="M76" s="734" t="n"/>
      <c r="N76" s="734" t="n"/>
      <c r="O76" s="734" t="n"/>
      <c r="P76" s="734" t="n"/>
      <c r="Q76" s="734" t="n"/>
      <c r="R76" s="734" t="n"/>
      <c r="S76" s="734" t="n">
        <v>25.58</v>
      </c>
      <c r="T76" s="734" t="n">
        <v>36.53</v>
      </c>
      <c r="U76" s="734" t="n">
        <v>28.58</v>
      </c>
      <c r="V76" s="734" t="n">
        <v>28.58</v>
      </c>
      <c r="W76" s="734" t="n">
        <v>28.58</v>
      </c>
      <c r="X76" s="734" t="n">
        <v>34.93</v>
      </c>
      <c r="Y76" s="734" t="n">
        <v>32.54</v>
      </c>
      <c r="Z76" s="734" t="n">
        <v>36.53</v>
      </c>
      <c r="AA76" s="734" t="n">
        <v>34.93</v>
      </c>
      <c r="AB76" s="734" t="n"/>
      <c r="AC76" s="734" t="n"/>
      <c r="AD76" s="734" t="n"/>
      <c r="AE76" s="734" t="n"/>
      <c r="AF76" s="734" t="n"/>
      <c r="AG76" s="734" t="n"/>
      <c r="AH76" s="734" t="n"/>
      <c r="AI76" s="734" t="n"/>
      <c r="AJ76" s="734" t="n"/>
      <c r="AK76" s="734" t="n"/>
      <c r="AL76" s="734" t="n"/>
      <c r="AM76" s="734" t="n"/>
      <c r="AN76" s="734" t="n"/>
      <c r="AO76" s="734" t="n"/>
      <c r="AP76" s="734" t="n"/>
      <c r="AQ76" s="734" t="n"/>
      <c r="AR76" s="734" t="n"/>
      <c r="AS76" s="734" t="n"/>
      <c r="AT76" s="734" t="n"/>
      <c r="AU76" s="734" t="n"/>
      <c r="AV76" s="731" t="n">
        <v>3.96</v>
      </c>
    </row>
    <row r="77">
      <c r="A77">
        <f>VLOOKUP(C77,C77:$AU$83,$C$48,0)</f>
        <v/>
      </c>
      <c r="B77">
        <f>IF($B$47&lt;A77,ROW(),"")</f>
        <v/>
      </c>
      <c r="C77" t="n">
        <v>27</v>
      </c>
      <c r="D77" s="290" t="n"/>
      <c r="E77" s="290" t="n"/>
      <c r="F77" s="290" t="n"/>
      <c r="G77" s="290" t="n"/>
      <c r="H77" s="290" t="n"/>
      <c r="I77" s="734" t="n"/>
      <c r="J77" s="734" t="n"/>
      <c r="K77" s="734" t="n"/>
      <c r="L77" s="734" t="n"/>
      <c r="M77" s="734" t="n"/>
      <c r="N77" s="734" t="n"/>
      <c r="O77" s="734" t="n"/>
      <c r="P77" s="734" t="n"/>
      <c r="Q77" s="734" t="n"/>
      <c r="R77" s="734" t="n"/>
      <c r="S77" s="734" t="n"/>
      <c r="T77" s="734" t="n"/>
      <c r="U77" s="734" t="n">
        <v>31.75</v>
      </c>
      <c r="V77" s="734" t="n">
        <v>31.75</v>
      </c>
      <c r="W77" s="734" t="n">
        <v>30.18</v>
      </c>
      <c r="X77" s="734" t="n">
        <v>39.67</v>
      </c>
      <c r="Y77" s="734" t="n">
        <v>33.32</v>
      </c>
      <c r="Z77" s="734" t="n">
        <v>38.1</v>
      </c>
      <c r="AA77" s="734" t="n">
        <v>36.53</v>
      </c>
      <c r="AB77" s="734" t="n"/>
      <c r="AC77" s="734" t="n"/>
      <c r="AD77" s="734" t="n"/>
      <c r="AE77" s="734" t="n"/>
      <c r="AF77" s="734" t="n"/>
      <c r="AG77" s="734" t="n"/>
      <c r="AH77" s="734" t="n"/>
      <c r="AI77" s="734" t="n"/>
      <c r="AJ77" s="734" t="n"/>
      <c r="AK77" s="734" t="n"/>
      <c r="AL77" s="734" t="n"/>
      <c r="AM77" s="734" t="n"/>
      <c r="AN77" s="734" t="n"/>
      <c r="AO77" s="734" t="n"/>
      <c r="AP77" s="734" t="n"/>
      <c r="AQ77" s="734" t="n"/>
      <c r="AR77" s="734" t="n"/>
      <c r="AS77" s="734" t="n"/>
      <c r="AT77" s="734" t="n"/>
      <c r="AU77" s="734" t="n"/>
      <c r="AV77" s="730" t="n">
        <v>4.19</v>
      </c>
    </row>
    <row r="78">
      <c r="A78">
        <f>VLOOKUP(C78,C78:$AU$83,$C$48,0)</f>
        <v/>
      </c>
      <c r="B78">
        <f>IF($B$47&lt;A78,ROW(),"")</f>
        <v/>
      </c>
      <c r="C78" t="n">
        <v>28</v>
      </c>
      <c r="D78" s="290" t="n"/>
      <c r="E78" s="290" t="n"/>
      <c r="F78" s="290" t="n"/>
      <c r="G78" s="290" t="n"/>
      <c r="H78" s="290" t="n"/>
      <c r="I78" s="734" t="n"/>
      <c r="J78" s="734" t="n"/>
      <c r="K78" s="734" t="n"/>
      <c r="L78" s="734" t="n"/>
      <c r="M78" s="734" t="n"/>
      <c r="N78" s="734" t="n"/>
      <c r="O78" s="734" t="n"/>
      <c r="P78" s="734" t="n"/>
      <c r="Q78" s="734" t="n"/>
      <c r="R78" s="734" t="n"/>
      <c r="S78" s="734" t="n"/>
      <c r="T78" s="734" t="n"/>
      <c r="U78" s="734" t="n">
        <v>33.32</v>
      </c>
      <c r="V78" s="734" t="n">
        <v>35.71</v>
      </c>
      <c r="W78" s="734" t="n">
        <v>30.96</v>
      </c>
      <c r="X78" s="734" t="n">
        <v>45.24</v>
      </c>
      <c r="Y78" s="734" t="n">
        <v>34.93</v>
      </c>
      <c r="Z78" s="734" t="n">
        <v>41.28</v>
      </c>
      <c r="AA78" s="734" t="n">
        <v>38.1</v>
      </c>
      <c r="AB78" s="734" t="n"/>
      <c r="AC78" s="734" t="n"/>
      <c r="AD78" s="734" t="n"/>
      <c r="AE78" s="734" t="n"/>
      <c r="AF78" s="734" t="n"/>
      <c r="AG78" s="734" t="n"/>
      <c r="AH78" s="734" t="n"/>
      <c r="AI78" s="734" t="n"/>
      <c r="AJ78" s="734" t="n"/>
      <c r="AK78" s="734" t="n"/>
      <c r="AL78" s="734" t="n"/>
      <c r="AM78" s="734" t="n"/>
      <c r="AN78" s="734" t="n"/>
      <c r="AO78" s="734" t="n"/>
      <c r="AP78" s="734" t="n"/>
      <c r="AQ78" s="734" t="n"/>
      <c r="AR78" s="734" t="n"/>
      <c r="AS78" s="734" t="n"/>
      <c r="AT78" s="734" t="n"/>
      <c r="AU78" s="734" t="n"/>
      <c r="AV78" s="731" t="n">
        <v>4.37</v>
      </c>
    </row>
    <row r="79">
      <c r="A79">
        <f>VLOOKUP(C79,C79:$AU$83,$C$48,0)</f>
        <v/>
      </c>
      <c r="B79">
        <f>IF($B$47&lt;A79,ROW(),"")</f>
        <v/>
      </c>
      <c r="C79" t="n">
        <v>29</v>
      </c>
      <c r="D79" s="290" t="n"/>
      <c r="E79" s="290" t="n"/>
      <c r="F79" s="290" t="n"/>
      <c r="G79" s="290" t="n"/>
      <c r="H79" s="290" t="n"/>
      <c r="I79" s="734" t="n"/>
      <c r="J79" s="734" t="n"/>
      <c r="K79" s="734" t="n"/>
      <c r="L79" s="734" t="n"/>
      <c r="M79" s="734" t="n"/>
      <c r="N79" s="734" t="n"/>
      <c r="O79" s="734" t="n"/>
      <c r="P79" s="734" t="n"/>
      <c r="Q79" s="734" t="n"/>
      <c r="R79" s="734" t="n"/>
      <c r="S79" s="734" t="n"/>
      <c r="T79" s="734" t="n"/>
      <c r="U79" s="734" t="n">
        <v>34.92</v>
      </c>
      <c r="V79" s="734" t="n">
        <v>50.8</v>
      </c>
      <c r="W79" s="734" t="n">
        <v>31.73</v>
      </c>
      <c r="X79" s="734" t="n"/>
      <c r="Y79" s="734" t="n">
        <v>38.1</v>
      </c>
      <c r="Z79" s="734" t="n">
        <v>47.62</v>
      </c>
      <c r="AA79" s="734" t="n">
        <v>38.89</v>
      </c>
      <c r="AB79" s="734" t="n"/>
      <c r="AC79" s="734" t="n"/>
      <c r="AD79" s="734" t="n"/>
      <c r="AE79" s="734" t="n"/>
      <c r="AF79" s="734" t="n"/>
      <c r="AG79" s="734" t="n"/>
      <c r="AH79" s="734" t="n"/>
      <c r="AI79" s="734" t="n"/>
      <c r="AJ79" s="734" t="n"/>
      <c r="AK79" s="734" t="n"/>
      <c r="AL79" s="734" t="n"/>
      <c r="AM79" s="734" t="n"/>
      <c r="AN79" s="734" t="n"/>
      <c r="AO79" s="734" t="n"/>
      <c r="AP79" s="734" t="n"/>
      <c r="AQ79" s="734" t="n"/>
      <c r="AR79" s="734" t="n"/>
      <c r="AS79" s="734" t="n"/>
      <c r="AT79" s="734" t="n"/>
      <c r="AU79" s="734" t="n"/>
      <c r="AV79" s="730" t="n">
        <v>4.55</v>
      </c>
    </row>
    <row r="80">
      <c r="A80">
        <f>VLOOKUP(C80,C80:$AU$83,$C$48,0)</f>
        <v/>
      </c>
      <c r="B80">
        <f>IF($B$47&lt;A80,ROW(),"")</f>
        <v/>
      </c>
      <c r="C80" t="n">
        <v>30</v>
      </c>
      <c r="D80" s="290" t="n"/>
      <c r="E80" s="290" t="n"/>
      <c r="F80" s="290" t="n"/>
      <c r="G80" s="290" t="n"/>
      <c r="H80" s="290" t="n"/>
      <c r="I80" s="734" t="n"/>
      <c r="J80" s="734" t="n"/>
      <c r="K80" s="734" t="n"/>
      <c r="L80" s="734" t="n"/>
      <c r="M80" s="734" t="n"/>
      <c r="N80" s="734" t="n"/>
      <c r="O80" s="734" t="n"/>
      <c r="P80" s="734" t="n"/>
      <c r="Q80" s="734" t="n"/>
      <c r="R80" s="734" t="n"/>
      <c r="S80" s="734" t="n"/>
      <c r="T80" s="734" t="n"/>
      <c r="U80" s="734" t="n">
        <v>38.1</v>
      </c>
      <c r="V80" s="734" t="n">
        <v>53.98</v>
      </c>
      <c r="W80" s="734" t="n">
        <v>36.53</v>
      </c>
      <c r="X80" s="734" t="n"/>
      <c r="Y80" s="734" t="n">
        <v>44.45</v>
      </c>
      <c r="Z80" s="734" t="n">
        <v>53.98</v>
      </c>
      <c r="AA80" s="734" t="n">
        <v>39.67</v>
      </c>
      <c r="AB80" s="734" t="n"/>
      <c r="AC80" s="734" t="n"/>
      <c r="AD80" s="734" t="n"/>
      <c r="AE80" s="734" t="n"/>
      <c r="AF80" s="734" t="n"/>
      <c r="AG80" s="734" t="n"/>
      <c r="AH80" s="734" t="n"/>
      <c r="AI80" s="734" t="n"/>
      <c r="AJ80" s="734" t="n"/>
      <c r="AK80" s="734" t="n"/>
      <c r="AL80" s="734" t="n"/>
      <c r="AM80" s="734" t="n"/>
      <c r="AN80" s="734" t="n"/>
      <c r="AO80" s="734" t="n"/>
      <c r="AP80" s="734" t="n"/>
      <c r="AQ80" s="734" t="n"/>
      <c r="AR80" s="734" t="n"/>
      <c r="AS80" s="734" t="n"/>
      <c r="AT80" s="734" t="n"/>
      <c r="AU80" s="734" t="n"/>
      <c r="AV80" s="731" t="n">
        <v>4.57</v>
      </c>
    </row>
    <row r="81">
      <c r="A81">
        <f>VLOOKUP(C81,C81:$AU$83,$C$48,0)</f>
        <v/>
      </c>
      <c r="B81">
        <f>IF($B$47&lt;A81,ROW(),"")</f>
        <v/>
      </c>
      <c r="C81" t="n">
        <v>31</v>
      </c>
      <c r="D81" s="290" t="n"/>
      <c r="E81" s="290" t="n"/>
      <c r="F81" s="290" t="n"/>
      <c r="G81" s="290" t="n"/>
      <c r="H81" s="290" t="n"/>
      <c r="I81" s="734" t="n"/>
      <c r="J81" s="734" t="n"/>
      <c r="K81" s="734" t="n"/>
      <c r="L81" s="734" t="n"/>
      <c r="M81" s="734" t="n"/>
      <c r="N81" s="734" t="n"/>
      <c r="O81" s="734" t="n"/>
      <c r="P81" s="734" t="n"/>
      <c r="Q81" s="734" t="n"/>
      <c r="R81" s="734" t="n"/>
      <c r="S81" s="734" t="n"/>
      <c r="T81" s="734" t="n"/>
      <c r="U81" s="734" t="n"/>
      <c r="V81" s="734" t="n">
        <v>55.88</v>
      </c>
      <c r="W81" s="734" t="n">
        <v>40.49</v>
      </c>
      <c r="X81" s="734" t="n"/>
      <c r="Y81" s="734" t="n">
        <v>50.01</v>
      </c>
      <c r="Z81" s="734" t="n"/>
      <c r="AA81" s="734" t="n">
        <v>46.02</v>
      </c>
      <c r="AB81" s="734" t="n"/>
      <c r="AC81" s="734" t="n"/>
      <c r="AD81" s="734" t="n"/>
      <c r="AE81" s="734" t="n"/>
      <c r="AF81" s="734" t="n"/>
      <c r="AG81" s="734" t="n"/>
      <c r="AH81" s="734" t="n"/>
      <c r="AI81" s="734" t="n"/>
      <c r="AJ81" s="734" t="n"/>
      <c r="AK81" s="734" t="n"/>
      <c r="AL81" s="734" t="n"/>
      <c r="AM81" s="734" t="n"/>
      <c r="AN81" s="734" t="n"/>
      <c r="AO81" s="734" t="n"/>
      <c r="AP81" s="734" t="n"/>
      <c r="AQ81" s="734" t="n"/>
      <c r="AR81" s="734" t="n"/>
      <c r="AS81" s="734" t="n"/>
      <c r="AT81" s="734" t="n"/>
      <c r="AU81" s="734" t="n"/>
      <c r="AV81" s="730" t="n">
        <v>4.78</v>
      </c>
    </row>
    <row r="82">
      <c r="A82">
        <f>VLOOKUP(C82,C82:$AU$83,$C$48,0)</f>
        <v/>
      </c>
      <c r="B82">
        <f>IF($B$47&lt;A82,ROW(),"")</f>
        <v/>
      </c>
      <c r="C82" t="n">
        <v>32</v>
      </c>
      <c r="D82" s="290" t="n"/>
      <c r="E82" s="290" t="n"/>
      <c r="F82" s="290" t="n"/>
      <c r="G82" s="290" t="n"/>
      <c r="H82" s="290" t="n"/>
      <c r="I82" s="734" t="n"/>
      <c r="J82" s="734" t="n"/>
      <c r="K82" s="734" t="n"/>
      <c r="L82" s="734" t="n"/>
      <c r="M82" s="734" t="n"/>
      <c r="N82" s="734" t="n"/>
      <c r="O82" s="734" t="n"/>
      <c r="P82" s="734" t="n"/>
      <c r="Q82" s="734" t="n"/>
      <c r="R82" s="734" t="n"/>
      <c r="S82" s="734" t="n"/>
      <c r="T82" s="734" t="n"/>
      <c r="U82" s="734" t="n"/>
      <c r="V82" s="734" t="n">
        <v>63.5</v>
      </c>
      <c r="W82" s="734" t="n">
        <v>44.45</v>
      </c>
      <c r="X82" s="734" t="n"/>
      <c r="Y82" s="734" t="n"/>
      <c r="Z82" s="734" t="n"/>
      <c r="AA82" s="734" t="n">
        <v>52.37</v>
      </c>
      <c r="AB82" s="734" t="n"/>
      <c r="AC82" s="734" t="n"/>
      <c r="AD82" s="734" t="n"/>
      <c r="AE82" s="734" t="n"/>
      <c r="AF82" s="734" t="n"/>
      <c r="AG82" s="734" t="n"/>
      <c r="AH82" s="734" t="n"/>
      <c r="AI82" s="734" t="n"/>
      <c r="AJ82" s="734" t="n"/>
      <c r="AK82" s="734" t="n"/>
      <c r="AL82" s="734" t="n"/>
      <c r="AM82" s="734" t="n"/>
      <c r="AN82" s="734" t="n"/>
      <c r="AO82" s="734" t="n"/>
      <c r="AP82" s="734" t="n"/>
      <c r="AQ82" s="734" t="n"/>
      <c r="AR82" s="734" t="n"/>
      <c r="AS82" s="734" t="n"/>
      <c r="AT82" s="734" t="n"/>
      <c r="AU82" s="734" t="n"/>
      <c r="AV82" s="731" t="n">
        <v>4.85</v>
      </c>
    </row>
    <row r="83">
      <c r="A83">
        <f>VLOOKUP(C83,C83:$AU$83,$C$48,0)</f>
        <v/>
      </c>
      <c r="B83">
        <f>IF($B$47&lt;A83,ROW(),"")</f>
        <v/>
      </c>
      <c r="C83" t="n">
        <v>33</v>
      </c>
      <c r="D83" s="290" t="n"/>
      <c r="E83" s="290" t="n"/>
      <c r="F83" s="290" t="n"/>
      <c r="G83" s="290" t="n"/>
      <c r="H83" s="290" t="n"/>
      <c r="I83" s="734" t="n"/>
      <c r="J83" s="734" t="n"/>
      <c r="K83" s="734" t="n"/>
      <c r="L83" s="734" t="n"/>
      <c r="M83" s="734" t="n"/>
      <c r="N83" s="734" t="n"/>
      <c r="O83" s="734" t="n"/>
      <c r="P83" s="734" t="n"/>
      <c r="Q83" s="734" t="n"/>
      <c r="R83" s="734" t="n"/>
      <c r="S83" s="734" t="n"/>
      <c r="T83" s="734" t="n"/>
      <c r="U83" s="734" t="n"/>
      <c r="V83" s="734" t="n"/>
      <c r="W83" s="734" t="n"/>
      <c r="X83" s="734" t="n"/>
      <c r="Y83" s="734" t="n"/>
      <c r="Z83" s="734" t="n"/>
      <c r="AA83" s="734" t="n">
        <v>59.54</v>
      </c>
      <c r="AB83" s="734" t="n"/>
      <c r="AC83" s="734" t="n"/>
      <c r="AD83" s="734" t="n"/>
      <c r="AE83" s="734" t="n"/>
      <c r="AF83" s="734" t="n"/>
      <c r="AG83" s="734" t="n"/>
      <c r="AH83" s="734" t="n"/>
      <c r="AI83" s="734" t="n"/>
      <c r="AJ83" s="734" t="n"/>
      <c r="AK83" s="734" t="n"/>
      <c r="AL83" s="734" t="n"/>
      <c r="AM83" s="734" t="n"/>
      <c r="AN83" s="734" t="n"/>
      <c r="AO83" s="734" t="n"/>
      <c r="AP83" s="734" t="n"/>
      <c r="AQ83" s="734" t="n"/>
      <c r="AR83" s="734" t="n"/>
      <c r="AS83" s="734" t="n"/>
      <c r="AT83" s="734" t="n"/>
      <c r="AU83" s="734" t="n"/>
      <c r="AV83" s="730" t="n">
        <v>5.08</v>
      </c>
    </row>
    <row r="84">
      <c r="AV84" s="731" t="n">
        <v>5.16</v>
      </c>
    </row>
    <row r="85">
      <c r="AV85" s="730" t="n">
        <v>5.33</v>
      </c>
    </row>
    <row r="86">
      <c r="AV86" s="731" t="n">
        <v>5.49</v>
      </c>
    </row>
    <row r="87">
      <c r="AV87" s="730" t="n">
        <v>5.54</v>
      </c>
    </row>
    <row r="88">
      <c r="AV88" s="731" t="n">
        <v>5.56</v>
      </c>
    </row>
    <row r="89">
      <c r="AV89" s="730" t="n">
        <v>5.74</v>
      </c>
    </row>
    <row r="90">
      <c r="AV90" s="731" t="n">
        <v>6.02</v>
      </c>
    </row>
    <row r="91">
      <c r="AV91" s="730" t="n">
        <v>6.35</v>
      </c>
    </row>
    <row r="92">
      <c r="AV92" s="731" t="n">
        <v>6.55</v>
      </c>
    </row>
    <row r="93">
      <c r="AV93" s="730" t="n">
        <v>7.01</v>
      </c>
    </row>
    <row r="94">
      <c r="AV94" s="731" t="n">
        <v>7.04</v>
      </c>
    </row>
    <row r="95">
      <c r="AV95" s="730" t="n">
        <v>7.09</v>
      </c>
    </row>
    <row r="96">
      <c r="AV96" s="731" t="n">
        <v>7.11</v>
      </c>
    </row>
    <row r="97">
      <c r="AV97" s="730" t="n">
        <v>7.14</v>
      </c>
    </row>
    <row r="98">
      <c r="AV98" s="731" t="n">
        <v>7.47</v>
      </c>
    </row>
    <row r="99">
      <c r="AV99" s="730" t="n">
        <v>7.62</v>
      </c>
    </row>
    <row r="100">
      <c r="AV100" s="731" t="n">
        <v>7.8</v>
      </c>
    </row>
    <row r="101">
      <c r="AV101" s="730" t="n">
        <v>7.82</v>
      </c>
    </row>
    <row r="102">
      <c r="AV102" s="731" t="n">
        <v>7.92</v>
      </c>
    </row>
    <row r="103">
      <c r="AV103" s="730" t="n">
        <v>8.08</v>
      </c>
    </row>
    <row r="104">
      <c r="AV104" s="731" t="n">
        <v>8.18</v>
      </c>
    </row>
    <row r="105">
      <c r="AV105" s="730" t="n">
        <v>8.380000000000001</v>
      </c>
    </row>
    <row r="106">
      <c r="AV106" s="731" t="n">
        <v>8.56</v>
      </c>
    </row>
    <row r="107">
      <c r="AV107" s="730" t="n">
        <v>8.74</v>
      </c>
    </row>
    <row r="108">
      <c r="AV108" s="731" t="n">
        <v>9.09</v>
      </c>
    </row>
    <row r="109">
      <c r="AV109" s="730" t="n">
        <v>9.27</v>
      </c>
    </row>
    <row r="110">
      <c r="AV110" s="731" t="n">
        <v>9.529999999999999</v>
      </c>
    </row>
    <row r="111">
      <c r="AV111" s="730" t="n">
        <v>9.699999999999999</v>
      </c>
    </row>
    <row r="112">
      <c r="AV112" s="731" t="n">
        <v>10.15</v>
      </c>
    </row>
    <row r="113">
      <c r="AV113" s="730" t="n">
        <v>10.31</v>
      </c>
    </row>
    <row r="114">
      <c r="AV114" s="731" t="n">
        <v>10.97</v>
      </c>
    </row>
    <row r="115">
      <c r="AV115" s="730" t="n">
        <v>11.07</v>
      </c>
    </row>
    <row r="116">
      <c r="AV116" s="731" t="n">
        <v>11.13</v>
      </c>
    </row>
    <row r="117">
      <c r="AV117" s="730" t="n">
        <v>11.91</v>
      </c>
    </row>
    <row r="118">
      <c r="AV118" s="731" t="n">
        <v>12.7</v>
      </c>
    </row>
    <row r="119">
      <c r="AV119" s="730" t="n">
        <v>13.49</v>
      </c>
    </row>
    <row r="120">
      <c r="AV120" s="731" t="n">
        <v>14.02</v>
      </c>
    </row>
    <row r="121">
      <c r="AV121" s="730" t="n">
        <v>14.27</v>
      </c>
    </row>
    <row r="122">
      <c r="AV122" s="731" t="n">
        <v>15.09</v>
      </c>
    </row>
    <row r="123">
      <c r="AV123" s="730" t="n">
        <v>15.24</v>
      </c>
    </row>
    <row r="124">
      <c r="AV124" s="731" t="n">
        <v>15.88</v>
      </c>
    </row>
    <row r="125">
      <c r="AV125" s="730" t="n">
        <v>16.66</v>
      </c>
    </row>
    <row r="126">
      <c r="AV126" s="731" t="n">
        <v>17.12</v>
      </c>
    </row>
    <row r="127">
      <c r="AV127" s="730" t="n">
        <v>17.48</v>
      </c>
    </row>
    <row r="128">
      <c r="AV128" s="731" t="n">
        <v>18.26</v>
      </c>
    </row>
    <row r="129">
      <c r="AV129" s="730" t="n">
        <v>19.05</v>
      </c>
    </row>
    <row r="130">
      <c r="AV130" s="731" t="n">
        <v>20.62</v>
      </c>
    </row>
    <row r="131">
      <c r="AV131" s="730" t="n">
        <v>21.44</v>
      </c>
    </row>
    <row r="132">
      <c r="AV132" s="731" t="n">
        <v>21.95</v>
      </c>
    </row>
    <row r="133">
      <c r="AV133" s="730" t="n">
        <v>22.23</v>
      </c>
    </row>
    <row r="134">
      <c r="AV134" s="731" t="n">
        <v>23.01</v>
      </c>
    </row>
    <row r="135">
      <c r="AV135" s="730" t="n">
        <v>23.83</v>
      </c>
    </row>
    <row r="136">
      <c r="AV136" s="731" t="n">
        <v>24.61</v>
      </c>
    </row>
    <row r="137">
      <c r="AV137" s="730" t="n">
        <v>25.4</v>
      </c>
    </row>
    <row r="138">
      <c r="AV138" s="731" t="n">
        <v>26.19</v>
      </c>
    </row>
    <row r="139">
      <c r="AV139" s="730" t="n">
        <v>26.97</v>
      </c>
    </row>
    <row r="140">
      <c r="AV140" s="731" t="n">
        <v>27.79</v>
      </c>
    </row>
    <row r="141">
      <c r="AV141" s="730" t="n">
        <v>28.58</v>
      </c>
    </row>
    <row r="142">
      <c r="AV142" s="731" t="n">
        <v>29.36</v>
      </c>
    </row>
    <row r="143">
      <c r="AV143" s="730" t="n">
        <v>30.18</v>
      </c>
    </row>
    <row r="144">
      <c r="AV144" s="731" t="n">
        <v>30.96</v>
      </c>
    </row>
    <row r="145">
      <c r="AV145" s="730" t="n">
        <v>31.73</v>
      </c>
    </row>
    <row r="146">
      <c r="AV146" s="731" t="n">
        <v>31.75</v>
      </c>
    </row>
    <row r="147">
      <c r="AV147" s="730" t="n">
        <v>32.54</v>
      </c>
    </row>
    <row r="148">
      <c r="AV148" s="731" t="n">
        <v>33.32</v>
      </c>
    </row>
    <row r="149">
      <c r="AV149" s="730" t="n">
        <v>33.92</v>
      </c>
    </row>
    <row r="150">
      <c r="AV150" s="731" t="n">
        <v>34.93</v>
      </c>
    </row>
    <row r="151">
      <c r="AV151" s="730" t="n">
        <v>35.71</v>
      </c>
    </row>
    <row r="152">
      <c r="AV152" s="731" t="n">
        <v>36.53</v>
      </c>
    </row>
    <row r="153">
      <c r="AV153" s="730" t="n">
        <v>38.1</v>
      </c>
    </row>
    <row r="154">
      <c r="AV154" s="731" t="n">
        <v>38.89</v>
      </c>
    </row>
    <row r="155">
      <c r="AV155" s="730" t="n">
        <v>39.67</v>
      </c>
    </row>
    <row r="156">
      <c r="AV156" s="731" t="n">
        <v>40.49</v>
      </c>
    </row>
    <row r="157">
      <c r="AV157" s="730" t="n">
        <v>41.28</v>
      </c>
    </row>
    <row r="158">
      <c r="AV158" s="731" t="n">
        <v>44.45</v>
      </c>
    </row>
    <row r="159">
      <c r="AV159" s="730" t="n">
        <v>45.24</v>
      </c>
    </row>
    <row r="160">
      <c r="AV160" s="731" t="n">
        <v>46.02</v>
      </c>
    </row>
    <row r="161">
      <c r="AV161" s="730" t="n">
        <v>47.63</v>
      </c>
    </row>
    <row r="162">
      <c r="AV162" s="731" t="n">
        <v>50.01</v>
      </c>
    </row>
    <row r="163">
      <c r="AV163" s="730" t="n">
        <v>50.8</v>
      </c>
    </row>
    <row r="164">
      <c r="AV164" s="731" t="n">
        <v>52.37</v>
      </c>
    </row>
    <row r="165">
      <c r="AV165" s="730" t="n">
        <v>53.98</v>
      </c>
    </row>
    <row r="166">
      <c r="AV166" s="731" t="n">
        <v>55.88</v>
      </c>
    </row>
    <row r="167">
      <c r="AV167" s="730" t="n">
        <v>59.54</v>
      </c>
    </row>
    <row r="168">
      <c r="AV168" s="733" t="n">
        <v>63.5</v>
      </c>
    </row>
  </sheetData>
  <mergeCells count="1">
    <mergeCell ref="D49:AU49"/>
  </mergeCells>
  <pageMargins left="0.7" right="0.7" top="0.75" bottom="0.75" header="0.3" footer="0.3"/>
  <pageSetup orientation="portrait" paperSize="9"/>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5.xml><?xml version="1.0" encoding="utf-8"?>
<worksheet xmlns="http://schemas.openxmlformats.org/spreadsheetml/2006/main">
  <sheetPr codeName="Sayfa8" published="0">
    <outlinePr summaryBelow="1" summaryRight="1"/>
    <pageSetUpPr/>
  </sheetPr>
  <dimension ref="B3:C8"/>
  <sheetViews>
    <sheetView workbookViewId="0">
      <selection activeCell="D53" sqref="D53:F53"/>
    </sheetView>
  </sheetViews>
  <sheetFormatPr baseColWidth="8" defaultRowHeight="15"/>
  <cols>
    <col width="16.140625" bestFit="1" customWidth="1" style="510" min="2" max="2"/>
    <col width="16.94921875" bestFit="1" customWidth="1" style="510" min="3" max="3"/>
  </cols>
  <sheetData>
    <row r="2" ht="15.75" customHeight="1" s="510" thickBot="1"/>
    <row r="3">
      <c r="B3" s="78" t="inlineStr">
        <is>
          <t>Design Pressure</t>
        </is>
      </c>
      <c r="C3" s="77" t="inlineStr">
        <is>
          <t>Design Factor (F)</t>
        </is>
      </c>
    </row>
    <row r="4">
      <c r="B4" s="75" t="n">
        <v>75</v>
      </c>
      <c r="C4" s="76" t="n">
        <v>0.8</v>
      </c>
    </row>
    <row r="5">
      <c r="B5" s="75" t="n">
        <v>82.5</v>
      </c>
      <c r="C5" s="76" t="n">
        <v>0.72</v>
      </c>
    </row>
    <row r="6" ht="15.75" customHeight="1" s="510" thickBot="1">
      <c r="B6" s="74" t="n">
        <v>100</v>
      </c>
      <c r="C6" s="76" t="n">
        <v>0.6</v>
      </c>
    </row>
    <row r="7">
      <c r="B7" s="514" t="n"/>
      <c r="C7" s="75" t="n">
        <v>0.5</v>
      </c>
    </row>
    <row r="8" ht="15.75" customHeight="1" s="510" thickBot="1">
      <c r="B8" s="514" t="n"/>
      <c r="C8" s="74" t="n">
        <v>0.4</v>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ASUS</dc:creator>
  <dcterms:created xsi:type="dcterms:W3CDTF">2021-01-12T15:59:35Z</dcterms:created>
  <dcterms:modified xsi:type="dcterms:W3CDTF">2026-08-24T20:24:44Z</dcterms:modified>
  <cp:lastModifiedBy>Ömer ERBAŞ</cp:lastModifiedBy>
</cp:coreProperties>
</file>