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IE\reroute_testing\"/>
    </mc:Choice>
  </mc:AlternateContent>
  <xr:revisionPtr revIDLastSave="0" documentId="13_ncr:1_{951E786A-F221-44A2-9C6F-0ECE3B72856B}" xr6:coauthVersionLast="45" xr6:coauthVersionMax="45" xr10:uidLastSave="{00000000-0000-0000-0000-000000000000}"/>
  <bookViews>
    <workbookView xWindow="720" yWindow="450" windowWidth="27390" windowHeight="14265" activeTab="4" xr2:uid="{25F5A339-4254-49A5-8B39-9E7F80CD7F28}"/>
  </bookViews>
  <sheets>
    <sheet name="F_CP-61786_R1_sorted_mar42020" sheetId="1" r:id="rId1"/>
    <sheet name="Appendix_B_of_CP-64710_07242020" sheetId="5" r:id="rId2"/>
    <sheet name="B-3_Pond_Fractions" sheetId="2" r:id="rId3"/>
    <sheet name="Areas" sheetId="3" r:id="rId4"/>
    <sheet name="ExpectedResul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E55" i="4" l="1"/>
  <c r="E54" i="4"/>
  <c r="E53" i="4"/>
  <c r="E52" i="4"/>
  <c r="F38" i="4"/>
  <c r="F37" i="4"/>
  <c r="F35" i="4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F9" i="4"/>
  <c r="G49" i="5"/>
  <c r="G47" i="5"/>
  <c r="G44" i="5"/>
  <c r="G41" i="5"/>
  <c r="G38" i="5"/>
  <c r="G35" i="5"/>
  <c r="H35" i="5"/>
  <c r="F10" i="4" s="1"/>
  <c r="K50" i="5"/>
  <c r="J50" i="5"/>
  <c r="I50" i="5"/>
  <c r="H50" i="5"/>
  <c r="G50" i="5"/>
  <c r="C50" i="5"/>
  <c r="K49" i="5"/>
  <c r="J49" i="5"/>
  <c r="I49" i="5"/>
  <c r="H49" i="5"/>
  <c r="C49" i="5"/>
  <c r="K48" i="5"/>
  <c r="J48" i="5"/>
  <c r="I48" i="5"/>
  <c r="H48" i="5"/>
  <c r="G48" i="5"/>
  <c r="C48" i="5"/>
  <c r="K47" i="5"/>
  <c r="J47" i="5"/>
  <c r="I47" i="5"/>
  <c r="H47" i="5"/>
  <c r="C47" i="5"/>
  <c r="K46" i="5"/>
  <c r="J46" i="5"/>
  <c r="I46" i="5"/>
  <c r="H46" i="5"/>
  <c r="G46" i="5"/>
  <c r="C46" i="5"/>
  <c r="K45" i="5"/>
  <c r="J45" i="5"/>
  <c r="I45" i="5"/>
  <c r="H45" i="5"/>
  <c r="G45" i="5"/>
  <c r="C45" i="5"/>
  <c r="K44" i="5"/>
  <c r="J44" i="5"/>
  <c r="I44" i="5"/>
  <c r="H44" i="5"/>
  <c r="C44" i="5"/>
  <c r="K43" i="5"/>
  <c r="J43" i="5"/>
  <c r="I43" i="5"/>
  <c r="H43" i="5"/>
  <c r="G43" i="5"/>
  <c r="C43" i="5"/>
  <c r="K42" i="5"/>
  <c r="J42" i="5"/>
  <c r="I42" i="5"/>
  <c r="H42" i="5"/>
  <c r="G42" i="5"/>
  <c r="C42" i="5"/>
  <c r="K41" i="5"/>
  <c r="J41" i="5"/>
  <c r="I41" i="5"/>
  <c r="H41" i="5"/>
  <c r="C41" i="5"/>
  <c r="K40" i="5"/>
  <c r="J40" i="5"/>
  <c r="I40" i="5"/>
  <c r="H40" i="5"/>
  <c r="G40" i="5"/>
  <c r="C40" i="5"/>
  <c r="K39" i="5"/>
  <c r="J39" i="5"/>
  <c r="I39" i="5"/>
  <c r="H39" i="5"/>
  <c r="G39" i="5"/>
  <c r="C39" i="5"/>
  <c r="K38" i="5"/>
  <c r="J38" i="5"/>
  <c r="I38" i="5"/>
  <c r="H38" i="5"/>
  <c r="C38" i="5"/>
  <c r="K37" i="5"/>
  <c r="J37" i="5"/>
  <c r="I37" i="5"/>
  <c r="H37" i="5"/>
  <c r="G37" i="5"/>
  <c r="C37" i="5"/>
  <c r="K36" i="5"/>
  <c r="J36" i="5"/>
  <c r="I36" i="5"/>
  <c r="H36" i="5"/>
  <c r="G36" i="5"/>
  <c r="C36" i="5"/>
  <c r="K35" i="5"/>
  <c r="J35" i="5"/>
  <c r="I35" i="5"/>
  <c r="C35" i="5"/>
  <c r="K34" i="5"/>
  <c r="J34" i="5"/>
  <c r="I34" i="5"/>
  <c r="H34" i="5"/>
  <c r="G34" i="5"/>
  <c r="F34" i="5"/>
  <c r="E34" i="5"/>
  <c r="D34" i="5"/>
  <c r="C34" i="5"/>
  <c r="B34" i="5"/>
  <c r="F36" i="4" l="1"/>
  <c r="D60" i="4"/>
  <c r="E47" i="4"/>
  <c r="E46" i="4"/>
  <c r="E45" i="4"/>
  <c r="E44" i="4"/>
  <c r="E43" i="4"/>
  <c r="F29" i="4"/>
  <c r="F28" i="4"/>
  <c r="F27" i="4"/>
  <c r="F26" i="4"/>
  <c r="H20" i="4"/>
  <c r="H19" i="4"/>
  <c r="G20" i="4"/>
  <c r="G19" i="4"/>
  <c r="H18" i="4"/>
  <c r="H17" i="4"/>
  <c r="H16" i="4"/>
  <c r="C60" i="4"/>
  <c r="B58" i="4"/>
  <c r="D55" i="4"/>
  <c r="D54" i="4"/>
  <c r="D53" i="4"/>
  <c r="D52" i="4"/>
  <c r="C54" i="4"/>
  <c r="C53" i="4"/>
  <c r="C52" i="4"/>
  <c r="B50" i="4"/>
  <c r="D46" i="4"/>
  <c r="D47" i="4" s="1"/>
  <c r="D45" i="4"/>
  <c r="D44" i="4"/>
  <c r="D43" i="4"/>
  <c r="C46" i="4"/>
  <c r="C45" i="4"/>
  <c r="C44" i="4"/>
  <c r="C43" i="4"/>
  <c r="B41" i="4"/>
  <c r="E38" i="4"/>
  <c r="E37" i="4"/>
  <c r="E36" i="4"/>
  <c r="E35" i="4"/>
  <c r="D37" i="4"/>
  <c r="D36" i="4"/>
  <c r="D35" i="4"/>
  <c r="C37" i="4"/>
  <c r="C36" i="4"/>
  <c r="B32" i="4"/>
  <c r="E29" i="4"/>
  <c r="E28" i="4"/>
  <c r="E27" i="4"/>
  <c r="E26" i="4"/>
  <c r="D28" i="4"/>
  <c r="D27" i="4"/>
  <c r="D26" i="4"/>
  <c r="C28" i="4"/>
  <c r="C27" i="4"/>
  <c r="B23" i="4"/>
  <c r="F20" i="4"/>
  <c r="F19" i="4"/>
  <c r="E19" i="4"/>
  <c r="F18" i="4"/>
  <c r="F17" i="4"/>
  <c r="F16" i="4"/>
  <c r="D18" i="4"/>
  <c r="D17" i="4"/>
  <c r="D16" i="4"/>
  <c r="C18" i="4"/>
  <c r="C17" i="4"/>
  <c r="B13" i="4"/>
  <c r="E10" i="4"/>
  <c r="E9" i="4"/>
  <c r="E8" i="4"/>
  <c r="D9" i="4"/>
  <c r="D8" i="4"/>
  <c r="C9" i="4"/>
  <c r="C8" i="4"/>
  <c r="B5" i="4"/>
  <c r="A1" i="4"/>
  <c r="A1" i="3" l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G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G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F44" i="1"/>
  <c r="G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F41" i="1"/>
  <c r="G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G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G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1" i="2"/>
</calcChain>
</file>

<file path=xl/sharedStrings.xml><?xml version="1.0" encoding="utf-8"?>
<sst xmlns="http://schemas.openxmlformats.org/spreadsheetml/2006/main" count="294" uniqueCount="81">
  <si>
    <t>Curies</t>
  </si>
  <si>
    <t>Inventory Module</t>
  </si>
  <si>
    <t>SIMV2 site name</t>
  </si>
  <si>
    <t>CA site name</t>
  </si>
  <si>
    <t>Source Type</t>
  </si>
  <si>
    <t>Volume [m3]</t>
  </si>
  <si>
    <t>Discharge/decay-corrected year</t>
  </si>
  <si>
    <t>C-14</t>
  </si>
  <si>
    <t>Cl-36</t>
  </si>
  <si>
    <t>H-3</t>
  </si>
  <si>
    <t>I-129</t>
  </si>
  <si>
    <t>Np-237</t>
  </si>
  <si>
    <t>Re-187</t>
  </si>
  <si>
    <t>Sr-90</t>
  </si>
  <si>
    <t>Tc-99</t>
  </si>
  <si>
    <t>U-232</t>
  </si>
  <si>
    <t>U-233</t>
  </si>
  <si>
    <t>U-234</t>
  </si>
  <si>
    <t>U-235</t>
  </si>
  <si>
    <t>U-236</t>
  </si>
  <si>
    <t>U-238</t>
  </si>
  <si>
    <t>Th-230 (decay only)</t>
  </si>
  <si>
    <t>Ra-226 (decay only)</t>
  </si>
  <si>
    <t>CERCLA_OPU-200-CW-1</t>
  </si>
  <si>
    <t>216-U-10</t>
  </si>
  <si>
    <t>Liquid</t>
  </si>
  <si>
    <t>CERCLA_OPU-200-WA-1</t>
  </si>
  <si>
    <t>216-U-14</t>
  </si>
  <si>
    <t>CERCLA_OPU-200-CW-5</t>
  </si>
  <si>
    <t>216-Z-1D</t>
  </si>
  <si>
    <t>216-B-3</t>
  </si>
  <si>
    <t>216-Z-11</t>
  </si>
  <si>
    <t>216-Z-19</t>
  </si>
  <si>
    <t>Data from input file "F_CP-61786_R1_sorted_mar42020.csv"</t>
  </si>
  <si>
    <t>Full Records for Years in the Spot Check:</t>
  </si>
  <si>
    <t>Adjusted Records for Years in the Spot Check (U-10 and U-14 summed and assigned to U-14):</t>
  </si>
  <si>
    <t>Year</t>
  </si>
  <si>
    <t>B-3_frac</t>
  </si>
  <si>
    <t>B-3A_frac</t>
  </si>
  <si>
    <t>B-3B_frac</t>
  </si>
  <si>
    <t>B-3C_frac</t>
  </si>
  <si>
    <t>Source Reroute Code - Acceptance Testing (AT-1) Calculation of Expected Results</t>
  </si>
  <si>
    <t>Input file "B-3_Pond_Fractions.csv"</t>
  </si>
  <si>
    <t>Site Areas</t>
  </si>
  <si>
    <t>Pond/Ditch</t>
  </si>
  <si>
    <t>216-Z-1Dtot</t>
  </si>
  <si>
    <t>216-U-14tot</t>
  </si>
  <si>
    <t>216-Z-1Dsouth</t>
  </si>
  <si>
    <t>216-U-14south</t>
  </si>
  <si>
    <t>216-B-3A-RAD</t>
  </si>
  <si>
    <t>216-B-3B-RAD</t>
  </si>
  <si>
    <t>216-B-3C-RAD</t>
  </si>
  <si>
    <t>Area (m2) in Code</t>
  </si>
  <si>
    <t>Site</t>
  </si>
  <si>
    <t>216-Z-1D South</t>
  </si>
  <si>
    <t>Fraction of U-10</t>
  </si>
  <si>
    <t>Infiltration Vol (m3)</t>
  </si>
  <si>
    <t>216-U-11</t>
  </si>
  <si>
    <t>Expected Results (highlighted green)</t>
  </si>
  <si>
    <t>Vol. Reaching U-10 (m3)</t>
  </si>
  <si>
    <t>Infiltration Fraction</t>
  </si>
  <si>
    <t>Sr-90 (Ci)</t>
  </si>
  <si>
    <t>U-10/U-11 Fraction</t>
  </si>
  <si>
    <t>Tc-99 (Ci)</t>
  </si>
  <si>
    <t>H-3 (Ci)</t>
  </si>
  <si>
    <t>I-129 (Ci)</t>
  </si>
  <si>
    <t>Data from input file "Appendix_B_of_CP-64710_07242020.csv"</t>
  </si>
  <si>
    <t>SIMV2 Site Name</t>
  </si>
  <si>
    <t>CIE Site Name</t>
  </si>
  <si>
    <t>Volume Mean [m3]</t>
  </si>
  <si>
    <t>Cr [kg]</t>
  </si>
  <si>
    <t>NO3 [kg]</t>
  </si>
  <si>
    <t>U-Total [kg]</t>
  </si>
  <si>
    <t>CN [kg]</t>
  </si>
  <si>
    <t>OPU_200_CW_1</t>
  </si>
  <si>
    <t>OPU_200_WA_1</t>
  </si>
  <si>
    <t>OPU_200_CW_5</t>
  </si>
  <si>
    <t>Cr (kg)</t>
  </si>
  <si>
    <t>U-Total (kg)</t>
  </si>
  <si>
    <t>NO3 (kg)</t>
  </si>
  <si>
    <t>216-U-14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</si>
</sst>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657A-E7D3-4A9A-B83C-26F94EDC7121}">
  <dimension ref="A1:W50"/>
  <sheetViews>
    <sheetView topLeftCell="A22" workbookViewId="0">
      <selection activeCell="F35" sqref="F35:F50"/>
    </sheetView>
  </sheetViews>
  <sheetFormatPr defaultRowHeight="15" x14ac:dyDescent="0.25"/>
  <cols>
    <col min="1" max="1" width="4.7109375" customWidth="1"/>
    <col min="2" max="2" width="22.140625" bestFit="1" customWidth="1"/>
    <col min="3" max="3" width="15.85546875" bestFit="1" customWidth="1"/>
    <col min="4" max="4" width="12.5703125" bestFit="1" customWidth="1"/>
    <col min="5" max="5" width="11.7109375" bestFit="1" customWidth="1"/>
    <col min="6" max="6" width="12.5703125" bestFit="1" customWidth="1"/>
    <col min="7" max="7" width="29.7109375" bestFit="1" customWidth="1"/>
    <col min="22" max="23" width="18.42578125" bestFit="1" customWidth="1"/>
  </cols>
  <sheetData>
    <row r="1" spans="1:23" x14ac:dyDescent="0.25">
      <c r="A1" s="1" t="s">
        <v>41</v>
      </c>
    </row>
    <row r="2" spans="1:23" x14ac:dyDescent="0.25">
      <c r="A2" t="s">
        <v>33</v>
      </c>
    </row>
    <row r="5" spans="1:23" x14ac:dyDescent="0.25">
      <c r="B5" s="1" t="s">
        <v>34</v>
      </c>
    </row>
    <row r="6" spans="1:23" x14ac:dyDescent="0.25">
      <c r="H6" t="s">
        <v>0</v>
      </c>
    </row>
    <row r="7" spans="1:23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</row>
    <row r="8" spans="1:23" x14ac:dyDescent="0.25">
      <c r="B8" t="s">
        <v>23</v>
      </c>
      <c r="C8" t="s">
        <v>24</v>
      </c>
      <c r="D8" t="s">
        <v>24</v>
      </c>
      <c r="E8" t="s">
        <v>25</v>
      </c>
      <c r="F8">
        <v>114357</v>
      </c>
      <c r="G8">
        <v>1944</v>
      </c>
      <c r="J8">
        <v>1.1244500000000001E-5</v>
      </c>
      <c r="K8">
        <v>5.5552900000000003E-4</v>
      </c>
      <c r="L8">
        <v>4.3237200000000003E-6</v>
      </c>
      <c r="N8">
        <v>8.08035E-3</v>
      </c>
      <c r="P8">
        <v>1.5848399999999999E-10</v>
      </c>
      <c r="R8">
        <v>1.03249E-5</v>
      </c>
      <c r="S8">
        <v>4.6585800000000001E-7</v>
      </c>
      <c r="T8">
        <v>8.7886100000000002E-8</v>
      </c>
      <c r="U8">
        <v>1.0503799999999999E-5</v>
      </c>
    </row>
    <row r="9" spans="1:23" x14ac:dyDescent="0.25">
      <c r="B9" t="s">
        <v>26</v>
      </c>
      <c r="C9" t="s">
        <v>27</v>
      </c>
      <c r="D9" t="s">
        <v>27</v>
      </c>
      <c r="E9" t="s">
        <v>25</v>
      </c>
      <c r="F9">
        <v>4405.6099999999997</v>
      </c>
      <c r="G9">
        <v>1944</v>
      </c>
      <c r="J9">
        <v>4.3319900000000001E-7</v>
      </c>
      <c r="K9">
        <v>2.1401899999999999E-5</v>
      </c>
      <c r="L9">
        <v>1.6657199999999999E-7</v>
      </c>
      <c r="N9">
        <v>3.1129699999999998E-4</v>
      </c>
      <c r="P9">
        <v>6.1056299999999997E-12</v>
      </c>
      <c r="R9">
        <v>3.9776999999999999E-7</v>
      </c>
      <c r="S9">
        <v>1.7947300000000001E-8</v>
      </c>
      <c r="T9">
        <v>3.3858300000000001E-9</v>
      </c>
      <c r="U9">
        <v>4.04661E-7</v>
      </c>
    </row>
    <row r="10" spans="1:23" x14ac:dyDescent="0.25">
      <c r="B10" t="s">
        <v>28</v>
      </c>
      <c r="C10" t="s">
        <v>29</v>
      </c>
      <c r="D10" t="s">
        <v>29</v>
      </c>
      <c r="E10" t="s">
        <v>25</v>
      </c>
      <c r="F10">
        <v>42825.8</v>
      </c>
      <c r="G10">
        <v>1944</v>
      </c>
      <c r="L10">
        <v>1.32137E-5</v>
      </c>
      <c r="N10">
        <v>3.4529000000000001E-5</v>
      </c>
      <c r="O10">
        <v>1.7281E-10</v>
      </c>
      <c r="P10">
        <v>2.2721300000000001E-15</v>
      </c>
      <c r="U10">
        <v>8.4674300000000004E-11</v>
      </c>
    </row>
    <row r="11" spans="1:23" x14ac:dyDescent="0.25">
      <c r="B11" t="s">
        <v>23</v>
      </c>
      <c r="C11" t="s">
        <v>30</v>
      </c>
      <c r="D11" t="s">
        <v>30</v>
      </c>
      <c r="E11" t="s">
        <v>25</v>
      </c>
      <c r="F11">
        <v>1430000</v>
      </c>
      <c r="G11">
        <v>1955</v>
      </c>
      <c r="H11">
        <v>3.1370399999999998E-3</v>
      </c>
      <c r="J11">
        <v>0.67091699999999999</v>
      </c>
      <c r="K11">
        <v>2.6074100000000002E-5</v>
      </c>
      <c r="L11">
        <v>3.8322600000000002E-4</v>
      </c>
      <c r="N11">
        <v>1.6979600000000001E-2</v>
      </c>
      <c r="O11">
        <v>5.4189699999999995E-4</v>
      </c>
      <c r="P11">
        <v>7.9666500000000002E-7</v>
      </c>
      <c r="Q11">
        <v>3.9010399999999998E-6</v>
      </c>
      <c r="R11">
        <v>7.30307E-3</v>
      </c>
      <c r="S11">
        <v>3.1242599999999998E-4</v>
      </c>
      <c r="T11">
        <v>1.61161E-4</v>
      </c>
      <c r="U11">
        <v>7.4876400000000003E-3</v>
      </c>
    </row>
    <row r="12" spans="1:23" x14ac:dyDescent="0.25">
      <c r="B12" t="s">
        <v>23</v>
      </c>
      <c r="C12" t="s">
        <v>24</v>
      </c>
      <c r="D12" t="s">
        <v>24</v>
      </c>
      <c r="E12" t="s">
        <v>25</v>
      </c>
      <c r="F12">
        <v>8819940</v>
      </c>
      <c r="G12">
        <v>1955</v>
      </c>
      <c r="H12">
        <v>2.2190000000000001E-2</v>
      </c>
      <c r="J12">
        <v>312.995</v>
      </c>
      <c r="K12">
        <v>1.5044500000000001E-2</v>
      </c>
      <c r="L12">
        <v>4.1741499999999997E-3</v>
      </c>
      <c r="N12">
        <v>0.16838</v>
      </c>
      <c r="P12">
        <v>8.3173000000000008E-6</v>
      </c>
      <c r="Q12">
        <v>3.6385499999999999E-5</v>
      </c>
      <c r="R12">
        <v>7.7446100000000004E-2</v>
      </c>
      <c r="S12">
        <v>3.3134599999999998E-3</v>
      </c>
      <c r="T12">
        <v>1.7072400000000001E-3</v>
      </c>
      <c r="U12">
        <v>7.9403000000000001E-2</v>
      </c>
    </row>
    <row r="13" spans="1:23" x14ac:dyDescent="0.25">
      <c r="B13" t="s">
        <v>26</v>
      </c>
      <c r="C13" t="s">
        <v>27</v>
      </c>
      <c r="D13" t="s">
        <v>27</v>
      </c>
      <c r="E13" t="s">
        <v>25</v>
      </c>
      <c r="F13">
        <v>339790</v>
      </c>
      <c r="G13">
        <v>1955</v>
      </c>
      <c r="H13">
        <v>8.5487599999999996E-4</v>
      </c>
      <c r="J13">
        <v>12.058199999999999</v>
      </c>
      <c r="K13">
        <v>5.7959299999999999E-4</v>
      </c>
      <c r="L13">
        <v>1.6081E-4</v>
      </c>
      <c r="N13">
        <v>6.4868599999999997E-3</v>
      </c>
      <c r="P13">
        <v>3.2042600000000001E-7</v>
      </c>
      <c r="Q13">
        <v>1.40176E-6</v>
      </c>
      <c r="R13">
        <v>2.9836300000000001E-3</v>
      </c>
      <c r="S13">
        <v>1.2765199999999999E-4</v>
      </c>
      <c r="T13">
        <v>6.57719E-5</v>
      </c>
      <c r="U13">
        <v>3.05902E-3</v>
      </c>
    </row>
    <row r="14" spans="1:23" x14ac:dyDescent="0.25">
      <c r="B14" t="s">
        <v>28</v>
      </c>
      <c r="C14" t="s">
        <v>29</v>
      </c>
      <c r="D14" t="s">
        <v>29</v>
      </c>
      <c r="E14" t="s">
        <v>25</v>
      </c>
      <c r="F14">
        <v>2530660</v>
      </c>
      <c r="G14">
        <v>1955</v>
      </c>
      <c r="L14">
        <v>2.1671099999999999E-4</v>
      </c>
      <c r="N14">
        <v>7.0585000000000005E-4</v>
      </c>
      <c r="O14">
        <v>4.59459E-9</v>
      </c>
      <c r="P14">
        <v>6.0081200000000005E-8</v>
      </c>
      <c r="R14">
        <v>2.38137E-4</v>
      </c>
      <c r="S14">
        <v>9.9717600000000006E-6</v>
      </c>
      <c r="T14">
        <v>8.4423099999999995E-6</v>
      </c>
      <c r="U14">
        <v>2.02318E-4</v>
      </c>
    </row>
    <row r="15" spans="1:23" x14ac:dyDescent="0.25">
      <c r="B15" t="s">
        <v>23</v>
      </c>
      <c r="C15" t="s">
        <v>30</v>
      </c>
      <c r="D15" t="s">
        <v>30</v>
      </c>
      <c r="E15" t="s">
        <v>25</v>
      </c>
      <c r="F15">
        <v>3437540</v>
      </c>
      <c r="G15">
        <v>1961</v>
      </c>
      <c r="H15">
        <v>4.1377499999999999E-3</v>
      </c>
      <c r="J15">
        <v>10.1051</v>
      </c>
      <c r="K15">
        <v>5.8361400000000002E-6</v>
      </c>
      <c r="L15">
        <v>7.5100999999999998E-5</v>
      </c>
      <c r="N15">
        <v>1.2676E-3</v>
      </c>
      <c r="O15">
        <v>4.2464699999999996E-3</v>
      </c>
      <c r="P15">
        <v>4.0997099999999999E-7</v>
      </c>
      <c r="Q15">
        <v>9.29471E-7</v>
      </c>
      <c r="R15">
        <v>1.27779E-2</v>
      </c>
      <c r="S15">
        <v>5.6287100000000005E-4</v>
      </c>
      <c r="T15">
        <v>1.86634E-4</v>
      </c>
      <c r="U15">
        <v>1.30101E-2</v>
      </c>
    </row>
    <row r="16" spans="1:23" x14ac:dyDescent="0.25">
      <c r="B16" t="s">
        <v>23</v>
      </c>
      <c r="C16" t="s">
        <v>24</v>
      </c>
      <c r="D16" t="s">
        <v>24</v>
      </c>
      <c r="E16" t="s">
        <v>25</v>
      </c>
      <c r="F16">
        <v>1967430</v>
      </c>
      <c r="G16">
        <v>1961</v>
      </c>
      <c r="H16">
        <v>4.7347700000000001E-3</v>
      </c>
      <c r="J16">
        <v>14.837300000000001</v>
      </c>
      <c r="K16">
        <v>3.3498400000000002E-3</v>
      </c>
      <c r="L16">
        <v>9.4075300000000001E-4</v>
      </c>
      <c r="N16">
        <v>4.0220199999999998E-2</v>
      </c>
      <c r="O16">
        <v>9.1565199999999995E-5</v>
      </c>
      <c r="P16">
        <v>1.67124E-6</v>
      </c>
      <c r="Q16">
        <v>7.9680099999999996E-6</v>
      </c>
      <c r="R16">
        <v>1.64184E-2</v>
      </c>
      <c r="S16">
        <v>7.0229400000000001E-4</v>
      </c>
      <c r="T16">
        <v>3.6267299999999999E-4</v>
      </c>
      <c r="U16">
        <v>1.6830399999999999E-2</v>
      </c>
    </row>
    <row r="17" spans="2:21" x14ac:dyDescent="0.25">
      <c r="B17" t="s">
        <v>26</v>
      </c>
      <c r="C17" t="s">
        <v>27</v>
      </c>
      <c r="D17" t="s">
        <v>27</v>
      </c>
      <c r="E17" t="s">
        <v>25</v>
      </c>
      <c r="F17">
        <v>75795.8</v>
      </c>
      <c r="G17">
        <v>1961</v>
      </c>
      <c r="H17">
        <v>1.8240800000000001E-4</v>
      </c>
      <c r="J17">
        <v>0.57161099999999998</v>
      </c>
      <c r="K17">
        <v>1.2905300000000001E-4</v>
      </c>
      <c r="L17">
        <v>3.6242699999999998E-5</v>
      </c>
      <c r="N17">
        <v>1.5494899999999999E-3</v>
      </c>
      <c r="O17">
        <v>3.5275699999999999E-6</v>
      </c>
      <c r="P17">
        <v>6.4384800000000006E-8</v>
      </c>
      <c r="Q17">
        <v>3.0696899999999997E-7</v>
      </c>
      <c r="R17">
        <v>6.3252299999999996E-4</v>
      </c>
      <c r="S17">
        <v>2.7056E-5</v>
      </c>
      <c r="T17">
        <v>1.3971999999999999E-5</v>
      </c>
      <c r="U17">
        <v>6.4839699999999999E-4</v>
      </c>
    </row>
    <row r="18" spans="2:21" x14ac:dyDescent="0.25">
      <c r="B18" t="s">
        <v>28</v>
      </c>
      <c r="C18" t="s">
        <v>31</v>
      </c>
      <c r="D18" t="s">
        <v>31</v>
      </c>
      <c r="E18" t="s">
        <v>25</v>
      </c>
      <c r="F18">
        <v>565044</v>
      </c>
      <c r="G18">
        <v>1961</v>
      </c>
      <c r="L18">
        <v>1.24516E-4</v>
      </c>
      <c r="N18">
        <v>3.3789200000000001E-4</v>
      </c>
      <c r="O18">
        <v>2.5441800000000002E-9</v>
      </c>
      <c r="P18">
        <v>1.2618399999999999E-8</v>
      </c>
      <c r="R18">
        <v>5.28978E-5</v>
      </c>
      <c r="S18">
        <v>2.2237899999999999E-6</v>
      </c>
      <c r="T18">
        <v>1.8760699999999999E-6</v>
      </c>
      <c r="U18">
        <v>4.5135100000000001E-5</v>
      </c>
    </row>
    <row r="19" spans="2:21" x14ac:dyDescent="0.25">
      <c r="B19" t="s">
        <v>23</v>
      </c>
      <c r="C19" t="s">
        <v>30</v>
      </c>
      <c r="D19" t="s">
        <v>30</v>
      </c>
      <c r="E19" t="s">
        <v>25</v>
      </c>
      <c r="F19">
        <v>3421000</v>
      </c>
      <c r="G19">
        <v>1976</v>
      </c>
      <c r="H19">
        <v>1.7396499999999999E-3</v>
      </c>
      <c r="J19">
        <v>0.439859</v>
      </c>
      <c r="K19">
        <v>1.8688800000000001E-6</v>
      </c>
      <c r="L19">
        <v>1.0657599999999999E-5</v>
      </c>
      <c r="N19">
        <v>9.5851400000000005E-4</v>
      </c>
      <c r="O19">
        <v>3.1608700000000001E-3</v>
      </c>
      <c r="P19">
        <v>4.32139E-8</v>
      </c>
      <c r="Q19">
        <v>3.6035400000000003E-7</v>
      </c>
      <c r="R19">
        <v>9.8991499999999996E-5</v>
      </c>
      <c r="S19">
        <v>4.2734200000000002E-6</v>
      </c>
      <c r="T19">
        <v>4.8602300000000001E-6</v>
      </c>
      <c r="U19">
        <v>7.4615600000000004E-5</v>
      </c>
    </row>
    <row r="20" spans="2:21" x14ac:dyDescent="0.25">
      <c r="B20" t="s">
        <v>23</v>
      </c>
      <c r="C20" t="s">
        <v>24</v>
      </c>
      <c r="D20" t="s">
        <v>24</v>
      </c>
      <c r="E20" t="s">
        <v>25</v>
      </c>
      <c r="F20">
        <v>5362890</v>
      </c>
      <c r="G20">
        <v>1976</v>
      </c>
      <c r="H20">
        <v>9.39745E-5</v>
      </c>
      <c r="J20">
        <v>2.1664900000000001E-2</v>
      </c>
      <c r="K20">
        <v>1.94104E-3</v>
      </c>
      <c r="L20">
        <v>3.3553899999999997E-5</v>
      </c>
      <c r="N20">
        <v>0.28317399999999998</v>
      </c>
      <c r="O20">
        <v>2.4661499999999999E-3</v>
      </c>
      <c r="P20">
        <v>1.7727699999999999E-8</v>
      </c>
      <c r="Q20">
        <v>1.69567E-9</v>
      </c>
      <c r="R20">
        <v>4.9206799999999998E-5</v>
      </c>
      <c r="S20">
        <v>2.1258699999999999E-6</v>
      </c>
      <c r="T20">
        <v>2.40054E-6</v>
      </c>
      <c r="U20">
        <v>3.7233900000000003E-5</v>
      </c>
    </row>
    <row r="21" spans="2:21" x14ac:dyDescent="0.25">
      <c r="B21" t="s">
        <v>26</v>
      </c>
      <c r="C21" t="s">
        <v>27</v>
      </c>
      <c r="D21" t="s">
        <v>27</v>
      </c>
      <c r="E21" t="s">
        <v>25</v>
      </c>
      <c r="F21">
        <v>206607</v>
      </c>
      <c r="G21">
        <v>1976</v>
      </c>
      <c r="H21">
        <v>3.6203899999999998E-6</v>
      </c>
      <c r="J21">
        <v>8.3464599999999998E-4</v>
      </c>
      <c r="K21">
        <v>7.4779100000000004E-5</v>
      </c>
      <c r="L21">
        <v>1.2926699999999999E-6</v>
      </c>
      <c r="N21">
        <v>1.09093E-2</v>
      </c>
      <c r="O21">
        <v>9.5008900000000004E-5</v>
      </c>
      <c r="P21">
        <v>6.8296300000000001E-10</v>
      </c>
      <c r="Q21">
        <v>6.5325899999999994E-11</v>
      </c>
      <c r="R21">
        <v>1.8956999999999999E-6</v>
      </c>
      <c r="S21">
        <v>8.1899699999999996E-8</v>
      </c>
      <c r="T21">
        <v>9.2481200000000004E-8</v>
      </c>
      <c r="U21">
        <v>1.43444E-6</v>
      </c>
    </row>
    <row r="22" spans="2:21" x14ac:dyDescent="0.25">
      <c r="B22" t="s">
        <v>28</v>
      </c>
      <c r="C22" t="s">
        <v>32</v>
      </c>
      <c r="D22" t="s">
        <v>32</v>
      </c>
      <c r="E22" t="s">
        <v>25</v>
      </c>
      <c r="F22">
        <v>755027</v>
      </c>
      <c r="G22">
        <v>1976</v>
      </c>
      <c r="L22">
        <v>5.79474E-5</v>
      </c>
      <c r="N22">
        <v>1.00784E-4</v>
      </c>
      <c r="O22">
        <v>1.0865900000000001E-9</v>
      </c>
      <c r="P22">
        <v>1.7052299999999999E-8</v>
      </c>
      <c r="Q22">
        <v>4.7856699999999997E-9</v>
      </c>
      <c r="R22">
        <v>8.37054E-5</v>
      </c>
      <c r="S22">
        <v>3.4966600000000001E-6</v>
      </c>
      <c r="T22">
        <v>2.9661599999999998E-6</v>
      </c>
      <c r="U22">
        <v>7.09298E-5</v>
      </c>
    </row>
    <row r="23" spans="2:21" x14ac:dyDescent="0.25">
      <c r="B23" t="s">
        <v>23</v>
      </c>
      <c r="C23" t="s">
        <v>30</v>
      </c>
      <c r="D23" t="s">
        <v>30</v>
      </c>
      <c r="E23" t="s">
        <v>25</v>
      </c>
      <c r="F23">
        <v>5320000</v>
      </c>
      <c r="G23">
        <v>1984</v>
      </c>
      <c r="H23">
        <v>3.6765399999999998E-3</v>
      </c>
      <c r="J23">
        <v>0.60183600000000004</v>
      </c>
      <c r="K23">
        <v>2.7203999999999998E-6</v>
      </c>
      <c r="L23">
        <v>1.6351700000000001E-5</v>
      </c>
      <c r="N23">
        <v>1.1508E-3</v>
      </c>
      <c r="O23">
        <v>4.6009400000000004E-3</v>
      </c>
      <c r="P23">
        <v>9.9749500000000003E-8</v>
      </c>
      <c r="Q23">
        <v>5.3429899999999999E-7</v>
      </c>
      <c r="R23">
        <v>2.3220099999999999E-4</v>
      </c>
      <c r="S23">
        <v>8.9011599999999993E-6</v>
      </c>
      <c r="T23">
        <v>2.23975E-5</v>
      </c>
      <c r="U23">
        <v>1.60166E-4</v>
      </c>
    </row>
    <row r="24" spans="2:21" x14ac:dyDescent="0.25">
      <c r="B24" t="s">
        <v>23</v>
      </c>
      <c r="C24" t="s">
        <v>24</v>
      </c>
      <c r="D24" t="s">
        <v>24</v>
      </c>
      <c r="E24" t="s">
        <v>25</v>
      </c>
      <c r="F24">
        <v>355893</v>
      </c>
      <c r="G24">
        <v>1984</v>
      </c>
      <c r="H24">
        <v>1.7111900000000001E-4</v>
      </c>
      <c r="J24">
        <v>7.7538999999999998</v>
      </c>
      <c r="K24">
        <v>9.3926100000000004E-7</v>
      </c>
      <c r="L24">
        <v>2.0665399999999999E-6</v>
      </c>
      <c r="N24">
        <v>2.4525600000000002E-2</v>
      </c>
      <c r="O24">
        <v>4.9178199999999996E-4</v>
      </c>
      <c r="P24">
        <v>2.8093600000000002E-8</v>
      </c>
      <c r="Q24">
        <v>1.22508E-6</v>
      </c>
      <c r="R24">
        <v>1.2119E-5</v>
      </c>
      <c r="S24">
        <v>4.6462399999999999E-7</v>
      </c>
      <c r="T24">
        <v>1.1610899999999999E-6</v>
      </c>
      <c r="U24">
        <v>8.3801600000000004E-6</v>
      </c>
    </row>
    <row r="25" spans="2:21" x14ac:dyDescent="0.25">
      <c r="B25" t="s">
        <v>26</v>
      </c>
      <c r="C25" t="s">
        <v>27</v>
      </c>
      <c r="D25" t="s">
        <v>27</v>
      </c>
      <c r="E25" t="s">
        <v>25</v>
      </c>
      <c r="F25">
        <v>13710.9</v>
      </c>
      <c r="G25">
        <v>1984</v>
      </c>
      <c r="H25">
        <v>6.5923899999999999E-6</v>
      </c>
      <c r="J25">
        <v>0.29872100000000001</v>
      </c>
      <c r="K25">
        <v>3.61852E-8</v>
      </c>
      <c r="L25">
        <v>7.9614000000000001E-8</v>
      </c>
      <c r="N25">
        <v>9.4485499999999998E-4</v>
      </c>
      <c r="O25">
        <v>1.8946000000000001E-5</v>
      </c>
      <c r="P25">
        <v>1.08231E-9</v>
      </c>
      <c r="Q25">
        <v>4.7196600000000001E-8</v>
      </c>
      <c r="R25">
        <v>4.6688800000000002E-7</v>
      </c>
      <c r="S25">
        <v>1.7899800000000001E-8</v>
      </c>
      <c r="T25">
        <v>4.4731300000000002E-8</v>
      </c>
      <c r="U25">
        <v>3.2284699999999998E-7</v>
      </c>
    </row>
    <row r="26" spans="2:21" x14ac:dyDescent="0.25">
      <c r="B26" t="s">
        <v>23</v>
      </c>
      <c r="C26" t="s">
        <v>30</v>
      </c>
      <c r="D26" t="s">
        <v>30</v>
      </c>
      <c r="E26" t="s">
        <v>25</v>
      </c>
      <c r="F26">
        <v>6874000</v>
      </c>
      <c r="G26">
        <v>1994</v>
      </c>
      <c r="H26">
        <v>8.8381100000000004</v>
      </c>
      <c r="J26">
        <v>812.99099999999999</v>
      </c>
      <c r="K26">
        <v>2.0984999999999999E-6</v>
      </c>
      <c r="L26">
        <v>4.0168000000000001E-3</v>
      </c>
      <c r="N26">
        <v>1.2583</v>
      </c>
      <c r="O26">
        <v>3.54902E-3</v>
      </c>
      <c r="P26">
        <v>2.3583399999999999E-7</v>
      </c>
      <c r="Q26">
        <v>3.57649E-7</v>
      </c>
      <c r="R26">
        <v>6.5085900000000005E-4</v>
      </c>
      <c r="S26">
        <v>2.5008299999999999E-5</v>
      </c>
      <c r="T26">
        <v>6.2949500000000004E-5</v>
      </c>
      <c r="U26">
        <v>4.4996199999999999E-4</v>
      </c>
    </row>
    <row r="27" spans="2:21" x14ac:dyDescent="0.25">
      <c r="B27" t="s">
        <v>23</v>
      </c>
      <c r="C27" t="s">
        <v>24</v>
      </c>
      <c r="D27" t="s">
        <v>24</v>
      </c>
      <c r="E27" t="s">
        <v>25</v>
      </c>
      <c r="F27">
        <v>105951</v>
      </c>
      <c r="G27">
        <v>1994</v>
      </c>
      <c r="H27">
        <v>5.4186099999999999E-5</v>
      </c>
      <c r="J27">
        <v>1.4044000000000001</v>
      </c>
      <c r="K27">
        <v>2.92429E-7</v>
      </c>
      <c r="L27">
        <v>6.3905899999999998E-7</v>
      </c>
      <c r="N27">
        <v>5.8492800000000001E-3</v>
      </c>
      <c r="O27">
        <v>1.52406E-4</v>
      </c>
      <c r="P27">
        <v>8.0766E-9</v>
      </c>
      <c r="Q27">
        <v>3.89489E-7</v>
      </c>
      <c r="R27">
        <v>3.8516399999999999E-6</v>
      </c>
      <c r="S27">
        <v>1.4766199999999999E-7</v>
      </c>
      <c r="T27">
        <v>3.6910500000000002E-7</v>
      </c>
      <c r="U27">
        <v>2.6631099999999998E-6</v>
      </c>
    </row>
    <row r="28" spans="2:21" x14ac:dyDescent="0.25">
      <c r="B28" t="s">
        <v>26</v>
      </c>
      <c r="C28" t="s">
        <v>27</v>
      </c>
      <c r="D28" t="s">
        <v>27</v>
      </c>
      <c r="E28" t="s">
        <v>25</v>
      </c>
      <c r="F28">
        <v>4081.79</v>
      </c>
      <c r="G28">
        <v>1994</v>
      </c>
      <c r="H28">
        <v>2.0875299999999999E-6</v>
      </c>
      <c r="J28">
        <v>5.4104800000000002E-2</v>
      </c>
      <c r="K28">
        <v>1.1265899999999999E-8</v>
      </c>
      <c r="L28">
        <v>2.4619899999999999E-8</v>
      </c>
      <c r="N28">
        <v>2.25345E-4</v>
      </c>
      <c r="O28">
        <v>5.87147E-6</v>
      </c>
      <c r="P28">
        <v>3.1115299999999998E-10</v>
      </c>
      <c r="Q28">
        <v>1.5005199999999999E-8</v>
      </c>
      <c r="R28">
        <v>1.4838499999999999E-7</v>
      </c>
      <c r="S28">
        <v>5.6887299999999996E-9</v>
      </c>
      <c r="T28">
        <v>1.42199E-8</v>
      </c>
      <c r="U28">
        <v>1.02597E-7</v>
      </c>
    </row>
    <row r="29" spans="2:21" x14ac:dyDescent="0.25">
      <c r="B29" t="s">
        <v>23</v>
      </c>
      <c r="C29" t="s">
        <v>30</v>
      </c>
      <c r="D29" t="s">
        <v>30</v>
      </c>
      <c r="E29" t="s">
        <v>25</v>
      </c>
      <c r="F29">
        <v>5469400</v>
      </c>
      <c r="G29">
        <v>1996</v>
      </c>
      <c r="H29">
        <v>9.0155999999999992</v>
      </c>
      <c r="J29">
        <v>890.09500000000003</v>
      </c>
      <c r="K29">
        <v>1.34075E-6</v>
      </c>
      <c r="L29">
        <v>4.4200200000000002E-3</v>
      </c>
      <c r="N29">
        <v>1.2235</v>
      </c>
      <c r="O29">
        <v>2.2674800000000001E-3</v>
      </c>
      <c r="P29">
        <v>1.97091E-7</v>
      </c>
      <c r="Q29">
        <v>2.33622E-7</v>
      </c>
      <c r="R29">
        <v>5.5927600000000004E-4</v>
      </c>
      <c r="S29">
        <v>2.14812E-5</v>
      </c>
      <c r="T29">
        <v>5.4080299999999998E-5</v>
      </c>
      <c r="U29">
        <v>3.8647600000000002E-4</v>
      </c>
    </row>
    <row r="32" spans="2:21" x14ac:dyDescent="0.25">
      <c r="B32" s="1" t="s">
        <v>35</v>
      </c>
    </row>
    <row r="34" spans="2:23" x14ac:dyDescent="0.25">
      <c r="B34" t="str">
        <f>B7</f>
        <v>Inventory Module</v>
      </c>
      <c r="C34" t="str">
        <f t="shared" ref="C34:W34" si="0">C7</f>
        <v>SIMV2 site name</v>
      </c>
      <c r="D34" t="str">
        <f t="shared" si="0"/>
        <v>CA site name</v>
      </c>
      <c r="E34" t="str">
        <f t="shared" si="0"/>
        <v>Source Type</v>
      </c>
      <c r="F34" t="str">
        <f t="shared" si="0"/>
        <v>Volume [m3]</v>
      </c>
      <c r="G34" t="str">
        <f t="shared" si="0"/>
        <v>Discharge/decay-corrected year</v>
      </c>
      <c r="H34" t="str">
        <f t="shared" si="0"/>
        <v>C-14</v>
      </c>
      <c r="I34" t="str">
        <f t="shared" si="0"/>
        <v>Cl-36</v>
      </c>
      <c r="J34" t="str">
        <f t="shared" si="0"/>
        <v>H-3</v>
      </c>
      <c r="K34" t="str">
        <f t="shared" si="0"/>
        <v>I-129</v>
      </c>
      <c r="L34" t="str">
        <f t="shared" si="0"/>
        <v>Np-237</v>
      </c>
      <c r="M34" t="str">
        <f t="shared" si="0"/>
        <v>Re-187</v>
      </c>
      <c r="N34" t="str">
        <f t="shared" si="0"/>
        <v>Sr-90</v>
      </c>
      <c r="O34" t="str">
        <f t="shared" si="0"/>
        <v>Tc-99</v>
      </c>
      <c r="P34" t="str">
        <f t="shared" si="0"/>
        <v>U-232</v>
      </c>
      <c r="Q34" t="str">
        <f t="shared" si="0"/>
        <v>U-233</v>
      </c>
      <c r="R34" t="str">
        <f t="shared" si="0"/>
        <v>U-234</v>
      </c>
      <c r="S34" t="str">
        <f t="shared" si="0"/>
        <v>U-235</v>
      </c>
      <c r="T34" t="str">
        <f t="shared" si="0"/>
        <v>U-236</v>
      </c>
      <c r="U34" t="str">
        <f t="shared" si="0"/>
        <v>U-238</v>
      </c>
      <c r="V34" t="str">
        <f t="shared" si="0"/>
        <v>Th-230 (decay only)</v>
      </c>
      <c r="W34" t="str">
        <f t="shared" si="0"/>
        <v>Ra-226 (decay only)</v>
      </c>
    </row>
    <row r="35" spans="2:23" x14ac:dyDescent="0.25">
      <c r="B35" t="str">
        <f>B9</f>
        <v>CERCLA_OPU-200-WA-1</v>
      </c>
      <c r="C35" t="str">
        <f>C9</f>
        <v>216-U-14</v>
      </c>
      <c r="D35" t="str">
        <f t="shared" ref="D35:G35" si="1">D9</f>
        <v>216-U-14</v>
      </c>
      <c r="E35" t="str">
        <f t="shared" si="1"/>
        <v>Liquid</v>
      </c>
      <c r="F35">
        <f>F9+F8</f>
        <v>118762.61</v>
      </c>
      <c r="G35">
        <f t="shared" si="1"/>
        <v>1944</v>
      </c>
      <c r="H35">
        <f t="shared" ref="H35:W35" si="2">H9+H8</f>
        <v>0</v>
      </c>
      <c r="I35">
        <f t="shared" si="2"/>
        <v>0</v>
      </c>
      <c r="J35">
        <f t="shared" si="2"/>
        <v>1.1677699000000001E-5</v>
      </c>
      <c r="K35">
        <f t="shared" si="2"/>
        <v>5.769309E-4</v>
      </c>
      <c r="L35">
        <f t="shared" si="2"/>
        <v>4.4902920000000006E-6</v>
      </c>
      <c r="M35">
        <f t="shared" si="2"/>
        <v>0</v>
      </c>
      <c r="N35">
        <f t="shared" si="2"/>
        <v>8.3916470000000003E-3</v>
      </c>
      <c r="O35">
        <f t="shared" si="2"/>
        <v>0</v>
      </c>
      <c r="P35">
        <f t="shared" si="2"/>
        <v>1.6458962999999998E-10</v>
      </c>
      <c r="Q35">
        <f t="shared" si="2"/>
        <v>0</v>
      </c>
      <c r="R35">
        <f t="shared" si="2"/>
        <v>1.0722669999999999E-5</v>
      </c>
      <c r="S35">
        <f t="shared" si="2"/>
        <v>4.8380529999999999E-7</v>
      </c>
      <c r="T35">
        <f t="shared" si="2"/>
        <v>9.1271930000000009E-8</v>
      </c>
      <c r="U35">
        <f t="shared" si="2"/>
        <v>1.0908460999999999E-5</v>
      </c>
      <c r="V35">
        <f t="shared" si="2"/>
        <v>0</v>
      </c>
      <c r="W35">
        <f t="shared" si="2"/>
        <v>0</v>
      </c>
    </row>
    <row r="36" spans="2:23" x14ac:dyDescent="0.25">
      <c r="B36" t="str">
        <f>B10</f>
        <v>CERCLA_OPU-200-CW-5</v>
      </c>
      <c r="C36" t="str">
        <f t="shared" ref="C36:W37" si="3">C10</f>
        <v>216-Z-1D</v>
      </c>
      <c r="D36" t="str">
        <f t="shared" si="3"/>
        <v>216-Z-1D</v>
      </c>
      <c r="E36" t="str">
        <f t="shared" si="3"/>
        <v>Liquid</v>
      </c>
      <c r="F36">
        <f t="shared" si="3"/>
        <v>42825.8</v>
      </c>
      <c r="G36">
        <f t="shared" si="3"/>
        <v>1944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1.32137E-5</v>
      </c>
      <c r="M36">
        <f t="shared" si="3"/>
        <v>0</v>
      </c>
      <c r="N36">
        <f t="shared" si="3"/>
        <v>3.4529000000000001E-5</v>
      </c>
      <c r="O36">
        <f t="shared" si="3"/>
        <v>1.7281E-10</v>
      </c>
      <c r="P36">
        <f t="shared" si="3"/>
        <v>2.2721300000000001E-15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8.4674300000000004E-11</v>
      </c>
      <c r="V36">
        <f t="shared" si="3"/>
        <v>0</v>
      </c>
      <c r="W36">
        <f t="shared" si="3"/>
        <v>0</v>
      </c>
    </row>
    <row r="37" spans="2:23" x14ac:dyDescent="0.25">
      <c r="B37" t="str">
        <f>B11</f>
        <v>CERCLA_OPU-200-CW-1</v>
      </c>
      <c r="C37" t="str">
        <f t="shared" si="3"/>
        <v>216-B-3</v>
      </c>
      <c r="D37" t="str">
        <f t="shared" si="3"/>
        <v>216-B-3</v>
      </c>
      <c r="E37" t="str">
        <f t="shared" si="3"/>
        <v>Liquid</v>
      </c>
      <c r="F37">
        <f t="shared" si="3"/>
        <v>1430000</v>
      </c>
      <c r="G37">
        <f t="shared" si="3"/>
        <v>1955</v>
      </c>
      <c r="H37">
        <f t="shared" si="3"/>
        <v>3.1370399999999998E-3</v>
      </c>
      <c r="I37">
        <f t="shared" si="3"/>
        <v>0</v>
      </c>
      <c r="J37">
        <f t="shared" si="3"/>
        <v>0.67091699999999999</v>
      </c>
      <c r="K37">
        <f t="shared" si="3"/>
        <v>2.6074100000000002E-5</v>
      </c>
      <c r="L37">
        <f t="shared" si="3"/>
        <v>3.8322600000000002E-4</v>
      </c>
      <c r="M37">
        <f t="shared" si="3"/>
        <v>0</v>
      </c>
      <c r="N37">
        <f t="shared" si="3"/>
        <v>1.6979600000000001E-2</v>
      </c>
      <c r="O37">
        <f t="shared" si="3"/>
        <v>5.4189699999999995E-4</v>
      </c>
      <c r="P37">
        <f t="shared" si="3"/>
        <v>7.9666500000000002E-7</v>
      </c>
      <c r="Q37">
        <f t="shared" si="3"/>
        <v>3.9010399999999998E-6</v>
      </c>
      <c r="R37">
        <f t="shared" si="3"/>
        <v>7.30307E-3</v>
      </c>
      <c r="S37">
        <f t="shared" si="3"/>
        <v>3.1242599999999998E-4</v>
      </c>
      <c r="T37">
        <f t="shared" si="3"/>
        <v>1.61161E-4</v>
      </c>
      <c r="U37">
        <f t="shared" si="3"/>
        <v>7.4876400000000003E-3</v>
      </c>
      <c r="V37">
        <f t="shared" si="3"/>
        <v>0</v>
      </c>
      <c r="W37">
        <f t="shared" si="3"/>
        <v>0</v>
      </c>
    </row>
    <row r="38" spans="2:23" x14ac:dyDescent="0.25">
      <c r="B38" t="str">
        <f>B13</f>
        <v>CERCLA_OPU-200-WA-1</v>
      </c>
      <c r="C38" t="str">
        <f>C13</f>
        <v>216-U-14</v>
      </c>
      <c r="D38" t="str">
        <f>D13</f>
        <v>216-U-14</v>
      </c>
      <c r="E38" t="str">
        <f>E13</f>
        <v>Liquid</v>
      </c>
      <c r="F38">
        <f>F13+F12</f>
        <v>9159730</v>
      </c>
      <c r="G38">
        <f>G13</f>
        <v>1955</v>
      </c>
      <c r="H38">
        <f t="shared" ref="H38:W38" si="4">H13+H12</f>
        <v>2.3044876000000002E-2</v>
      </c>
      <c r="I38">
        <f t="shared" si="4"/>
        <v>0</v>
      </c>
      <c r="J38">
        <f t="shared" si="4"/>
        <v>325.0532</v>
      </c>
      <c r="K38">
        <f t="shared" si="4"/>
        <v>1.5624093E-2</v>
      </c>
      <c r="L38">
        <f t="shared" si="4"/>
        <v>4.3349599999999997E-3</v>
      </c>
      <c r="M38">
        <f t="shared" si="4"/>
        <v>0</v>
      </c>
      <c r="N38">
        <f t="shared" si="4"/>
        <v>0.17486686000000001</v>
      </c>
      <c r="O38">
        <f t="shared" si="4"/>
        <v>0</v>
      </c>
      <c r="P38">
        <f t="shared" si="4"/>
        <v>8.6377260000000015E-6</v>
      </c>
      <c r="Q38">
        <f t="shared" si="4"/>
        <v>3.778726E-5</v>
      </c>
      <c r="R38">
        <f t="shared" si="4"/>
        <v>8.0429730000000005E-2</v>
      </c>
      <c r="S38">
        <f t="shared" si="4"/>
        <v>3.4411119999999996E-3</v>
      </c>
      <c r="T38">
        <f t="shared" si="4"/>
        <v>1.7730119E-3</v>
      </c>
      <c r="U38">
        <f t="shared" si="4"/>
        <v>8.2462019999999997E-2</v>
      </c>
      <c r="V38">
        <f t="shared" si="4"/>
        <v>0</v>
      </c>
      <c r="W38">
        <f t="shared" si="4"/>
        <v>0</v>
      </c>
    </row>
    <row r="39" spans="2:23" x14ac:dyDescent="0.25">
      <c r="B39" t="str">
        <f>B14</f>
        <v>CERCLA_OPU-200-CW-5</v>
      </c>
      <c r="C39" t="str">
        <f t="shared" ref="C39:W40" si="5">C14</f>
        <v>216-Z-1D</v>
      </c>
      <c r="D39" t="str">
        <f t="shared" si="5"/>
        <v>216-Z-1D</v>
      </c>
      <c r="E39" t="str">
        <f t="shared" si="5"/>
        <v>Liquid</v>
      </c>
      <c r="F39">
        <f t="shared" si="5"/>
        <v>2530660</v>
      </c>
      <c r="G39">
        <f t="shared" si="5"/>
        <v>1955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2.1671099999999999E-4</v>
      </c>
      <c r="M39">
        <f t="shared" si="5"/>
        <v>0</v>
      </c>
      <c r="N39">
        <f t="shared" si="5"/>
        <v>7.0585000000000005E-4</v>
      </c>
      <c r="O39">
        <f t="shared" si="5"/>
        <v>4.59459E-9</v>
      </c>
      <c r="P39">
        <f t="shared" si="5"/>
        <v>6.0081200000000005E-8</v>
      </c>
      <c r="Q39">
        <f t="shared" si="5"/>
        <v>0</v>
      </c>
      <c r="R39">
        <f t="shared" si="5"/>
        <v>2.38137E-4</v>
      </c>
      <c r="S39">
        <f t="shared" si="5"/>
        <v>9.9717600000000006E-6</v>
      </c>
      <c r="T39">
        <f t="shared" si="5"/>
        <v>8.4423099999999995E-6</v>
      </c>
      <c r="U39">
        <f t="shared" si="5"/>
        <v>2.02318E-4</v>
      </c>
      <c r="V39">
        <f t="shared" si="5"/>
        <v>0</v>
      </c>
      <c r="W39">
        <f t="shared" si="5"/>
        <v>0</v>
      </c>
    </row>
    <row r="40" spans="2:23" x14ac:dyDescent="0.25">
      <c r="B40" t="str">
        <f>B15</f>
        <v>CERCLA_OPU-200-CW-1</v>
      </c>
      <c r="C40" t="str">
        <f t="shared" si="5"/>
        <v>216-B-3</v>
      </c>
      <c r="D40" t="str">
        <f t="shared" si="5"/>
        <v>216-B-3</v>
      </c>
      <c r="E40" t="str">
        <f t="shared" si="5"/>
        <v>Liquid</v>
      </c>
      <c r="F40">
        <f t="shared" si="5"/>
        <v>3437540</v>
      </c>
      <c r="G40">
        <f t="shared" si="5"/>
        <v>1961</v>
      </c>
      <c r="H40">
        <f t="shared" si="5"/>
        <v>4.1377499999999999E-3</v>
      </c>
      <c r="I40">
        <f t="shared" si="5"/>
        <v>0</v>
      </c>
      <c r="J40">
        <f t="shared" si="5"/>
        <v>10.1051</v>
      </c>
      <c r="K40">
        <f t="shared" si="5"/>
        <v>5.8361400000000002E-6</v>
      </c>
      <c r="L40">
        <f t="shared" si="5"/>
        <v>7.5100999999999998E-5</v>
      </c>
      <c r="M40">
        <f t="shared" si="5"/>
        <v>0</v>
      </c>
      <c r="N40">
        <f t="shared" si="5"/>
        <v>1.2676E-3</v>
      </c>
      <c r="O40">
        <f t="shared" si="5"/>
        <v>4.2464699999999996E-3</v>
      </c>
      <c r="P40">
        <f t="shared" si="5"/>
        <v>4.0997099999999999E-7</v>
      </c>
      <c r="Q40">
        <f t="shared" si="5"/>
        <v>9.29471E-7</v>
      </c>
      <c r="R40">
        <f t="shared" si="5"/>
        <v>1.27779E-2</v>
      </c>
      <c r="S40">
        <f t="shared" si="5"/>
        <v>5.6287100000000005E-4</v>
      </c>
      <c r="T40">
        <f t="shared" si="5"/>
        <v>1.86634E-4</v>
      </c>
      <c r="U40">
        <f t="shared" si="5"/>
        <v>1.30101E-2</v>
      </c>
      <c r="V40">
        <f t="shared" si="5"/>
        <v>0</v>
      </c>
      <c r="W40">
        <f t="shared" si="5"/>
        <v>0</v>
      </c>
    </row>
    <row r="41" spans="2:23" x14ac:dyDescent="0.25">
      <c r="B41" t="str">
        <f>B17</f>
        <v>CERCLA_OPU-200-WA-1</v>
      </c>
      <c r="C41" t="str">
        <f>C17</f>
        <v>216-U-14</v>
      </c>
      <c r="D41" t="str">
        <f>D17</f>
        <v>216-U-14</v>
      </c>
      <c r="E41" t="str">
        <f>E17</f>
        <v>Liquid</v>
      </c>
      <c r="F41">
        <f>F17+F16</f>
        <v>2043225.8</v>
      </c>
      <c r="G41">
        <f>G17</f>
        <v>1961</v>
      </c>
      <c r="H41">
        <f t="shared" ref="H41:W41" si="6">H17+H16</f>
        <v>4.9171780000000003E-3</v>
      </c>
      <c r="I41">
        <f t="shared" si="6"/>
        <v>0</v>
      </c>
      <c r="J41">
        <f t="shared" si="6"/>
        <v>15.408911000000002</v>
      </c>
      <c r="K41">
        <f t="shared" si="6"/>
        <v>3.4788930000000003E-3</v>
      </c>
      <c r="L41">
        <f t="shared" si="6"/>
        <v>9.7699570000000006E-4</v>
      </c>
      <c r="M41">
        <f t="shared" si="6"/>
        <v>0</v>
      </c>
      <c r="N41">
        <f t="shared" si="6"/>
        <v>4.1769689999999998E-2</v>
      </c>
      <c r="O41">
        <f t="shared" si="6"/>
        <v>9.509276999999999E-5</v>
      </c>
      <c r="P41">
        <f t="shared" si="6"/>
        <v>1.7356248000000001E-6</v>
      </c>
      <c r="Q41">
        <f t="shared" si="6"/>
        <v>8.2749790000000004E-6</v>
      </c>
      <c r="R41">
        <f t="shared" si="6"/>
        <v>1.7050922999999999E-2</v>
      </c>
      <c r="S41">
        <f t="shared" si="6"/>
        <v>7.2935000000000003E-4</v>
      </c>
      <c r="T41">
        <f t="shared" si="6"/>
        <v>3.76645E-4</v>
      </c>
      <c r="U41">
        <f t="shared" si="6"/>
        <v>1.7478796999999997E-2</v>
      </c>
      <c r="V41">
        <f t="shared" si="6"/>
        <v>0</v>
      </c>
      <c r="W41">
        <f t="shared" si="6"/>
        <v>0</v>
      </c>
    </row>
    <row r="42" spans="2:23" x14ac:dyDescent="0.25">
      <c r="B42" t="str">
        <f>B18</f>
        <v>CERCLA_OPU-200-CW-5</v>
      </c>
      <c r="C42" t="str">
        <f t="shared" ref="C42:W43" si="7">C18</f>
        <v>216-Z-11</v>
      </c>
      <c r="D42" t="str">
        <f t="shared" si="7"/>
        <v>216-Z-11</v>
      </c>
      <c r="E42" t="str">
        <f t="shared" si="7"/>
        <v>Liquid</v>
      </c>
      <c r="F42">
        <f t="shared" si="7"/>
        <v>565044</v>
      </c>
      <c r="G42">
        <f t="shared" si="7"/>
        <v>1961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1.24516E-4</v>
      </c>
      <c r="M42">
        <f t="shared" si="7"/>
        <v>0</v>
      </c>
      <c r="N42">
        <f t="shared" si="7"/>
        <v>3.3789200000000001E-4</v>
      </c>
      <c r="O42">
        <f t="shared" si="7"/>
        <v>2.5441800000000002E-9</v>
      </c>
      <c r="P42">
        <f t="shared" si="7"/>
        <v>1.2618399999999999E-8</v>
      </c>
      <c r="Q42">
        <f t="shared" si="7"/>
        <v>0</v>
      </c>
      <c r="R42">
        <f t="shared" si="7"/>
        <v>5.28978E-5</v>
      </c>
      <c r="S42">
        <f t="shared" si="7"/>
        <v>2.2237899999999999E-6</v>
      </c>
      <c r="T42">
        <f t="shared" si="7"/>
        <v>1.8760699999999999E-6</v>
      </c>
      <c r="U42">
        <f t="shared" si="7"/>
        <v>4.5135100000000001E-5</v>
      </c>
      <c r="V42">
        <f t="shared" si="7"/>
        <v>0</v>
      </c>
      <c r="W42">
        <f t="shared" si="7"/>
        <v>0</v>
      </c>
    </row>
    <row r="43" spans="2:23" x14ac:dyDescent="0.25">
      <c r="B43" t="str">
        <f>B19</f>
        <v>CERCLA_OPU-200-CW-1</v>
      </c>
      <c r="C43" t="str">
        <f t="shared" si="7"/>
        <v>216-B-3</v>
      </c>
      <c r="D43" t="str">
        <f t="shared" si="7"/>
        <v>216-B-3</v>
      </c>
      <c r="E43" t="str">
        <f t="shared" si="7"/>
        <v>Liquid</v>
      </c>
      <c r="F43">
        <f t="shared" si="7"/>
        <v>3421000</v>
      </c>
      <c r="G43">
        <f t="shared" si="7"/>
        <v>1976</v>
      </c>
      <c r="H43">
        <f t="shared" si="7"/>
        <v>1.7396499999999999E-3</v>
      </c>
      <c r="I43">
        <f t="shared" si="7"/>
        <v>0</v>
      </c>
      <c r="J43">
        <f t="shared" si="7"/>
        <v>0.439859</v>
      </c>
      <c r="K43">
        <f t="shared" si="7"/>
        <v>1.8688800000000001E-6</v>
      </c>
      <c r="L43">
        <f t="shared" si="7"/>
        <v>1.0657599999999999E-5</v>
      </c>
      <c r="M43">
        <f t="shared" si="7"/>
        <v>0</v>
      </c>
      <c r="N43">
        <f t="shared" si="7"/>
        <v>9.5851400000000005E-4</v>
      </c>
      <c r="O43">
        <f t="shared" si="7"/>
        <v>3.1608700000000001E-3</v>
      </c>
      <c r="P43">
        <f t="shared" si="7"/>
        <v>4.32139E-8</v>
      </c>
      <c r="Q43">
        <f t="shared" si="7"/>
        <v>3.6035400000000003E-7</v>
      </c>
      <c r="R43">
        <f t="shared" si="7"/>
        <v>9.8991499999999996E-5</v>
      </c>
      <c r="S43">
        <f t="shared" si="7"/>
        <v>4.2734200000000002E-6</v>
      </c>
      <c r="T43">
        <f t="shared" si="7"/>
        <v>4.8602300000000001E-6</v>
      </c>
      <c r="U43">
        <f t="shared" si="7"/>
        <v>7.4615600000000004E-5</v>
      </c>
      <c r="V43">
        <f t="shared" si="7"/>
        <v>0</v>
      </c>
      <c r="W43">
        <f t="shared" si="7"/>
        <v>0</v>
      </c>
    </row>
    <row r="44" spans="2:23" x14ac:dyDescent="0.25">
      <c r="B44" t="str">
        <f>B21</f>
        <v>CERCLA_OPU-200-WA-1</v>
      </c>
      <c r="C44" t="str">
        <f>C21</f>
        <v>216-U-14</v>
      </c>
      <c r="D44" t="str">
        <f>D21</f>
        <v>216-U-14</v>
      </c>
      <c r="E44" t="str">
        <f>E21</f>
        <v>Liquid</v>
      </c>
      <c r="F44">
        <f>F21+F20</f>
        <v>5569497</v>
      </c>
      <c r="G44">
        <f>G21</f>
        <v>1976</v>
      </c>
      <c r="H44">
        <f t="shared" ref="H44:W44" si="8">H21+H20</f>
        <v>9.7594889999999996E-5</v>
      </c>
      <c r="I44">
        <f t="shared" si="8"/>
        <v>0</v>
      </c>
      <c r="J44">
        <f t="shared" si="8"/>
        <v>2.2499546000000002E-2</v>
      </c>
      <c r="K44">
        <f t="shared" si="8"/>
        <v>2.0158190999999999E-3</v>
      </c>
      <c r="L44">
        <f t="shared" si="8"/>
        <v>3.4846569999999997E-5</v>
      </c>
      <c r="M44">
        <f t="shared" si="8"/>
        <v>0</v>
      </c>
      <c r="N44">
        <f t="shared" si="8"/>
        <v>0.29408329999999999</v>
      </c>
      <c r="O44">
        <f t="shared" si="8"/>
        <v>2.5611588999999999E-3</v>
      </c>
      <c r="P44">
        <f t="shared" si="8"/>
        <v>1.8410663E-8</v>
      </c>
      <c r="Q44">
        <f t="shared" si="8"/>
        <v>1.7609959E-9</v>
      </c>
      <c r="R44">
        <f t="shared" si="8"/>
        <v>5.1102500000000001E-5</v>
      </c>
      <c r="S44">
        <f t="shared" si="8"/>
        <v>2.2077697000000001E-6</v>
      </c>
      <c r="T44">
        <f t="shared" si="8"/>
        <v>2.4930211999999999E-6</v>
      </c>
      <c r="U44">
        <f t="shared" si="8"/>
        <v>3.866834E-5</v>
      </c>
      <c r="V44">
        <f t="shared" si="8"/>
        <v>0</v>
      </c>
      <c r="W44">
        <f t="shared" si="8"/>
        <v>0</v>
      </c>
    </row>
    <row r="45" spans="2:23" x14ac:dyDescent="0.25">
      <c r="B45" t="str">
        <f>B22</f>
        <v>CERCLA_OPU-200-CW-5</v>
      </c>
      <c r="C45" t="str">
        <f t="shared" ref="C45:W46" si="9">C22</f>
        <v>216-Z-19</v>
      </c>
      <c r="D45" t="str">
        <f t="shared" si="9"/>
        <v>216-Z-19</v>
      </c>
      <c r="E45" t="str">
        <f t="shared" si="9"/>
        <v>Liquid</v>
      </c>
      <c r="F45">
        <f t="shared" si="9"/>
        <v>755027</v>
      </c>
      <c r="G45">
        <f t="shared" si="9"/>
        <v>1976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5.79474E-5</v>
      </c>
      <c r="M45">
        <f t="shared" si="9"/>
        <v>0</v>
      </c>
      <c r="N45">
        <f t="shared" si="9"/>
        <v>1.00784E-4</v>
      </c>
      <c r="O45">
        <f t="shared" si="9"/>
        <v>1.0865900000000001E-9</v>
      </c>
      <c r="P45">
        <f t="shared" si="9"/>
        <v>1.7052299999999999E-8</v>
      </c>
      <c r="Q45">
        <f t="shared" si="9"/>
        <v>4.7856699999999997E-9</v>
      </c>
      <c r="R45">
        <f t="shared" si="9"/>
        <v>8.37054E-5</v>
      </c>
      <c r="S45">
        <f t="shared" si="9"/>
        <v>3.4966600000000001E-6</v>
      </c>
      <c r="T45">
        <f t="shared" si="9"/>
        <v>2.9661599999999998E-6</v>
      </c>
      <c r="U45">
        <f t="shared" si="9"/>
        <v>7.09298E-5</v>
      </c>
      <c r="V45">
        <f t="shared" si="9"/>
        <v>0</v>
      </c>
      <c r="W45">
        <f t="shared" si="9"/>
        <v>0</v>
      </c>
    </row>
    <row r="46" spans="2:23" x14ac:dyDescent="0.25">
      <c r="B46" t="str">
        <f>B23</f>
        <v>CERCLA_OPU-200-CW-1</v>
      </c>
      <c r="C46" t="str">
        <f t="shared" si="9"/>
        <v>216-B-3</v>
      </c>
      <c r="D46" t="str">
        <f t="shared" si="9"/>
        <v>216-B-3</v>
      </c>
      <c r="E46" t="str">
        <f t="shared" si="9"/>
        <v>Liquid</v>
      </c>
      <c r="F46">
        <f t="shared" si="9"/>
        <v>5320000</v>
      </c>
      <c r="G46">
        <f t="shared" si="9"/>
        <v>1984</v>
      </c>
      <c r="H46">
        <f t="shared" si="9"/>
        <v>3.6765399999999998E-3</v>
      </c>
      <c r="I46">
        <f t="shared" si="9"/>
        <v>0</v>
      </c>
      <c r="J46">
        <f t="shared" si="9"/>
        <v>0.60183600000000004</v>
      </c>
      <c r="K46">
        <f t="shared" si="9"/>
        <v>2.7203999999999998E-6</v>
      </c>
      <c r="L46">
        <f t="shared" si="9"/>
        <v>1.6351700000000001E-5</v>
      </c>
      <c r="M46">
        <f t="shared" si="9"/>
        <v>0</v>
      </c>
      <c r="N46">
        <f t="shared" si="9"/>
        <v>1.1508E-3</v>
      </c>
      <c r="O46">
        <f t="shared" si="9"/>
        <v>4.6009400000000004E-3</v>
      </c>
      <c r="P46">
        <f t="shared" si="9"/>
        <v>9.9749500000000003E-8</v>
      </c>
      <c r="Q46">
        <f t="shared" si="9"/>
        <v>5.3429899999999999E-7</v>
      </c>
      <c r="R46">
        <f t="shared" si="9"/>
        <v>2.3220099999999999E-4</v>
      </c>
      <c r="S46">
        <f t="shared" si="9"/>
        <v>8.9011599999999993E-6</v>
      </c>
      <c r="T46">
        <f t="shared" si="9"/>
        <v>2.23975E-5</v>
      </c>
      <c r="U46">
        <f t="shared" si="9"/>
        <v>1.60166E-4</v>
      </c>
      <c r="V46">
        <f t="shared" si="9"/>
        <v>0</v>
      </c>
      <c r="W46">
        <f t="shared" si="9"/>
        <v>0</v>
      </c>
    </row>
    <row r="47" spans="2:23" x14ac:dyDescent="0.25">
      <c r="B47" t="str">
        <f>B25</f>
        <v>CERCLA_OPU-200-WA-1</v>
      </c>
      <c r="C47" t="str">
        <f>C25</f>
        <v>216-U-14</v>
      </c>
      <c r="D47" t="str">
        <f>D25</f>
        <v>216-U-14</v>
      </c>
      <c r="E47" t="str">
        <f>E25</f>
        <v>Liquid</v>
      </c>
      <c r="F47">
        <f>F25+F24</f>
        <v>369603.9</v>
      </c>
      <c r="G47">
        <f>G25</f>
        <v>1984</v>
      </c>
      <c r="H47">
        <f t="shared" ref="H47:W47" si="10">H25+H24</f>
        <v>1.7771139000000001E-4</v>
      </c>
      <c r="I47">
        <f t="shared" si="10"/>
        <v>0</v>
      </c>
      <c r="J47">
        <f t="shared" si="10"/>
        <v>8.0526210000000003</v>
      </c>
      <c r="K47">
        <f t="shared" si="10"/>
        <v>9.754462000000001E-7</v>
      </c>
      <c r="L47">
        <f t="shared" si="10"/>
        <v>2.1461539999999999E-6</v>
      </c>
      <c r="M47">
        <f t="shared" si="10"/>
        <v>0</v>
      </c>
      <c r="N47">
        <f t="shared" si="10"/>
        <v>2.5470455000000003E-2</v>
      </c>
      <c r="O47">
        <f t="shared" si="10"/>
        <v>5.1072800000000001E-4</v>
      </c>
      <c r="P47">
        <f t="shared" si="10"/>
        <v>2.917591E-8</v>
      </c>
      <c r="Q47">
        <f t="shared" si="10"/>
        <v>1.2722765999999999E-6</v>
      </c>
      <c r="R47">
        <f t="shared" si="10"/>
        <v>1.2585888E-5</v>
      </c>
      <c r="S47">
        <f t="shared" si="10"/>
        <v>4.8252379999999998E-7</v>
      </c>
      <c r="T47">
        <f t="shared" si="10"/>
        <v>1.2058212999999999E-6</v>
      </c>
      <c r="U47">
        <f t="shared" si="10"/>
        <v>8.7030070000000003E-6</v>
      </c>
      <c r="V47">
        <f t="shared" si="10"/>
        <v>0</v>
      </c>
      <c r="W47">
        <f t="shared" si="10"/>
        <v>0</v>
      </c>
    </row>
    <row r="48" spans="2:23" x14ac:dyDescent="0.25">
      <c r="B48" t="str">
        <f>B26</f>
        <v>CERCLA_OPU-200-CW-1</v>
      </c>
      <c r="C48" t="str">
        <f t="shared" ref="C48:W48" si="11">C26</f>
        <v>216-B-3</v>
      </c>
      <c r="D48" t="str">
        <f t="shared" si="11"/>
        <v>216-B-3</v>
      </c>
      <c r="E48" t="str">
        <f t="shared" si="11"/>
        <v>Liquid</v>
      </c>
      <c r="F48">
        <f t="shared" si="11"/>
        <v>6874000</v>
      </c>
      <c r="G48">
        <f t="shared" si="11"/>
        <v>1994</v>
      </c>
      <c r="H48">
        <f t="shared" si="11"/>
        <v>8.8381100000000004</v>
      </c>
      <c r="I48">
        <f t="shared" si="11"/>
        <v>0</v>
      </c>
      <c r="J48">
        <f t="shared" si="11"/>
        <v>812.99099999999999</v>
      </c>
      <c r="K48">
        <f t="shared" si="11"/>
        <v>2.0984999999999999E-6</v>
      </c>
      <c r="L48">
        <f t="shared" si="11"/>
        <v>4.0168000000000001E-3</v>
      </c>
      <c r="M48">
        <f t="shared" si="11"/>
        <v>0</v>
      </c>
      <c r="N48">
        <f t="shared" si="11"/>
        <v>1.2583</v>
      </c>
      <c r="O48">
        <f t="shared" si="11"/>
        <v>3.54902E-3</v>
      </c>
      <c r="P48">
        <f t="shared" si="11"/>
        <v>2.3583399999999999E-7</v>
      </c>
      <c r="Q48">
        <f t="shared" si="11"/>
        <v>3.57649E-7</v>
      </c>
      <c r="R48">
        <f t="shared" si="11"/>
        <v>6.5085900000000005E-4</v>
      </c>
      <c r="S48">
        <f t="shared" si="11"/>
        <v>2.5008299999999999E-5</v>
      </c>
      <c r="T48">
        <f t="shared" si="11"/>
        <v>6.2949500000000004E-5</v>
      </c>
      <c r="U48">
        <f t="shared" si="11"/>
        <v>4.4996199999999999E-4</v>
      </c>
      <c r="V48">
        <f t="shared" si="11"/>
        <v>0</v>
      </c>
      <c r="W48">
        <f t="shared" si="11"/>
        <v>0</v>
      </c>
    </row>
    <row r="49" spans="2:23" x14ac:dyDescent="0.25">
      <c r="B49" t="str">
        <f>B28</f>
        <v>CERCLA_OPU-200-WA-1</v>
      </c>
      <c r="C49" t="str">
        <f>C28</f>
        <v>216-U-14</v>
      </c>
      <c r="D49" t="str">
        <f>D28</f>
        <v>216-U-14</v>
      </c>
      <c r="E49" t="str">
        <f>E28</f>
        <v>Liquid</v>
      </c>
      <c r="F49">
        <f>F28+F27</f>
        <v>110032.79</v>
      </c>
      <c r="G49">
        <f>G28</f>
        <v>1994</v>
      </c>
      <c r="H49">
        <f t="shared" ref="H49:W49" si="12">H28+H27</f>
        <v>5.6273629999999998E-5</v>
      </c>
      <c r="I49">
        <f t="shared" si="12"/>
        <v>0</v>
      </c>
      <c r="J49">
        <f t="shared" si="12"/>
        <v>1.4585048</v>
      </c>
      <c r="K49">
        <f t="shared" si="12"/>
        <v>3.0369490000000003E-7</v>
      </c>
      <c r="L49">
        <f t="shared" si="12"/>
        <v>6.636789E-7</v>
      </c>
      <c r="M49">
        <f t="shared" si="12"/>
        <v>0</v>
      </c>
      <c r="N49">
        <f t="shared" si="12"/>
        <v>6.0746250000000002E-3</v>
      </c>
      <c r="O49">
        <f t="shared" si="12"/>
        <v>1.5827747000000001E-4</v>
      </c>
      <c r="P49">
        <f t="shared" si="12"/>
        <v>8.3877529999999994E-9</v>
      </c>
      <c r="Q49">
        <f t="shared" si="12"/>
        <v>4.0449419999999998E-7</v>
      </c>
      <c r="R49">
        <f t="shared" si="12"/>
        <v>4.0000249999999999E-6</v>
      </c>
      <c r="S49">
        <f t="shared" si="12"/>
        <v>1.5335072999999998E-7</v>
      </c>
      <c r="T49">
        <f t="shared" si="12"/>
        <v>3.8332490000000001E-7</v>
      </c>
      <c r="U49">
        <f t="shared" si="12"/>
        <v>2.7657069999999996E-6</v>
      </c>
      <c r="V49">
        <f t="shared" si="12"/>
        <v>0</v>
      </c>
      <c r="W49">
        <f t="shared" si="12"/>
        <v>0</v>
      </c>
    </row>
    <row r="50" spans="2:23" x14ac:dyDescent="0.25">
      <c r="B50" t="str">
        <f>B29</f>
        <v>CERCLA_OPU-200-CW-1</v>
      </c>
      <c r="C50" t="str">
        <f t="shared" ref="C50:W50" si="13">C29</f>
        <v>216-B-3</v>
      </c>
      <c r="D50" t="str">
        <f t="shared" si="13"/>
        <v>216-B-3</v>
      </c>
      <c r="E50" t="str">
        <f t="shared" si="13"/>
        <v>Liquid</v>
      </c>
      <c r="F50">
        <f t="shared" si="13"/>
        <v>5469400</v>
      </c>
      <c r="G50">
        <f t="shared" si="13"/>
        <v>1996</v>
      </c>
      <c r="H50">
        <f t="shared" si="13"/>
        <v>9.0155999999999992</v>
      </c>
      <c r="I50">
        <f t="shared" si="13"/>
        <v>0</v>
      </c>
      <c r="J50">
        <f t="shared" si="13"/>
        <v>890.09500000000003</v>
      </c>
      <c r="K50">
        <f t="shared" si="13"/>
        <v>1.34075E-6</v>
      </c>
      <c r="L50">
        <f t="shared" si="13"/>
        <v>4.4200200000000002E-3</v>
      </c>
      <c r="M50">
        <f t="shared" si="13"/>
        <v>0</v>
      </c>
      <c r="N50">
        <f t="shared" si="13"/>
        <v>1.2235</v>
      </c>
      <c r="O50">
        <f t="shared" si="13"/>
        <v>2.2674800000000001E-3</v>
      </c>
      <c r="P50">
        <f t="shared" si="13"/>
        <v>1.97091E-7</v>
      </c>
      <c r="Q50">
        <f t="shared" si="13"/>
        <v>2.33622E-7</v>
      </c>
      <c r="R50">
        <f t="shared" si="13"/>
        <v>5.5927600000000004E-4</v>
      </c>
      <c r="S50">
        <f t="shared" si="13"/>
        <v>2.14812E-5</v>
      </c>
      <c r="T50">
        <f t="shared" si="13"/>
        <v>5.4080299999999998E-5</v>
      </c>
      <c r="U50">
        <f t="shared" si="13"/>
        <v>3.8647600000000002E-4</v>
      </c>
      <c r="V50">
        <f t="shared" si="13"/>
        <v>0</v>
      </c>
      <c r="W5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DC4B-037A-4C8A-B77A-11EFB965D3A9}">
  <dimension ref="A1:K50"/>
  <sheetViews>
    <sheetView topLeftCell="A20" workbookViewId="0">
      <selection activeCell="I49" sqref="I49"/>
    </sheetView>
  </sheetViews>
  <sheetFormatPr defaultRowHeight="15" x14ac:dyDescent="0.25"/>
  <cols>
    <col min="1" max="1" width="4.7109375" customWidth="1"/>
    <col min="2" max="2" width="22.140625" bestFit="1" customWidth="1"/>
    <col min="3" max="3" width="18.7109375" customWidth="1"/>
    <col min="4" max="4" width="14.7109375" customWidth="1"/>
    <col min="5" max="5" width="11.7109375" bestFit="1" customWidth="1"/>
    <col min="6" max="6" width="12.5703125" bestFit="1" customWidth="1"/>
    <col min="7" max="7" width="20.7109375" customWidth="1"/>
    <col min="8" max="11" width="12.7109375" customWidth="1"/>
    <col min="22" max="23" width="9.140625" customWidth="1"/>
  </cols>
  <sheetData>
    <row r="1" spans="1:11" x14ac:dyDescent="0.25">
      <c r="A1" s="1" t="s">
        <v>41</v>
      </c>
    </row>
    <row r="2" spans="1:11" x14ac:dyDescent="0.25">
      <c r="A2" t="s">
        <v>66</v>
      </c>
    </row>
    <row r="5" spans="1:11" x14ac:dyDescent="0.25">
      <c r="B5" s="1" t="s">
        <v>34</v>
      </c>
    </row>
    <row r="7" spans="1:11" x14ac:dyDescent="0.25">
      <c r="B7" t="s">
        <v>1</v>
      </c>
      <c r="C7" t="s">
        <v>67</v>
      </c>
      <c r="D7" t="s">
        <v>68</v>
      </c>
      <c r="E7" t="s">
        <v>4</v>
      </c>
      <c r="F7" t="s">
        <v>36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</row>
    <row r="8" spans="1:11" x14ac:dyDescent="0.25">
      <c r="B8" t="s">
        <v>74</v>
      </c>
      <c r="C8" t="s">
        <v>24</v>
      </c>
      <c r="D8" t="s">
        <v>24</v>
      </c>
      <c r="E8" t="s">
        <v>25</v>
      </c>
      <c r="F8">
        <v>1944</v>
      </c>
      <c r="G8">
        <v>114357</v>
      </c>
      <c r="H8">
        <v>0.35446100000000003</v>
      </c>
      <c r="I8">
        <v>67.358599999999996</v>
      </c>
      <c r="J8">
        <v>3.1469400000000002E-2</v>
      </c>
    </row>
    <row r="9" spans="1:11" x14ac:dyDescent="0.25">
      <c r="B9" t="s">
        <v>75</v>
      </c>
      <c r="C9" t="s">
        <v>27</v>
      </c>
      <c r="D9" t="s">
        <v>27</v>
      </c>
      <c r="E9" t="s">
        <v>25</v>
      </c>
      <c r="F9">
        <v>1944</v>
      </c>
      <c r="G9">
        <v>4405.6099999999997</v>
      </c>
      <c r="H9">
        <v>1.36557E-2</v>
      </c>
      <c r="I9">
        <v>2.5950099999999998</v>
      </c>
      <c r="J9">
        <v>1.21236E-3</v>
      </c>
    </row>
    <row r="10" spans="1:11" x14ac:dyDescent="0.25">
      <c r="B10" t="s">
        <v>76</v>
      </c>
      <c r="C10" t="s">
        <v>29</v>
      </c>
      <c r="D10" t="s">
        <v>29</v>
      </c>
      <c r="E10" t="s">
        <v>25</v>
      </c>
      <c r="F10">
        <v>1944</v>
      </c>
      <c r="G10">
        <v>42825.8</v>
      </c>
      <c r="H10">
        <v>4.4983900000000001E-5</v>
      </c>
      <c r="I10">
        <v>1235.52</v>
      </c>
      <c r="J10">
        <v>2.53652E-7</v>
      </c>
    </row>
    <row r="11" spans="1:11" x14ac:dyDescent="0.25">
      <c r="B11" t="s">
        <v>74</v>
      </c>
      <c r="C11" t="s">
        <v>30</v>
      </c>
      <c r="D11" t="s">
        <v>30</v>
      </c>
      <c r="E11" t="s">
        <v>25</v>
      </c>
      <c r="F11">
        <v>1955</v>
      </c>
      <c r="G11">
        <v>1430000</v>
      </c>
      <c r="H11">
        <v>2.6020799999999999</v>
      </c>
      <c r="I11">
        <v>30649.4</v>
      </c>
      <c r="J11">
        <v>22.4253</v>
      </c>
    </row>
    <row r="12" spans="1:11" x14ac:dyDescent="0.25">
      <c r="B12" t="s">
        <v>74</v>
      </c>
      <c r="C12" t="s">
        <v>24</v>
      </c>
      <c r="D12" t="s">
        <v>24</v>
      </c>
      <c r="E12" t="s">
        <v>25</v>
      </c>
      <c r="F12">
        <v>1955</v>
      </c>
      <c r="G12">
        <v>8819940</v>
      </c>
      <c r="H12">
        <v>9.7382899999999992</v>
      </c>
      <c r="I12">
        <v>15453</v>
      </c>
      <c r="J12">
        <v>237.81</v>
      </c>
    </row>
    <row r="13" spans="1:11" x14ac:dyDescent="0.25">
      <c r="B13" t="s">
        <v>75</v>
      </c>
      <c r="C13" t="s">
        <v>27</v>
      </c>
      <c r="D13" t="s">
        <v>27</v>
      </c>
      <c r="E13" t="s">
        <v>25</v>
      </c>
      <c r="F13">
        <v>1955</v>
      </c>
      <c r="G13">
        <v>339790</v>
      </c>
      <c r="H13">
        <v>0.37517</v>
      </c>
      <c r="I13">
        <v>595.33000000000004</v>
      </c>
      <c r="J13">
        <v>9.1616999999999997</v>
      </c>
    </row>
    <row r="14" spans="1:11" x14ac:dyDescent="0.25">
      <c r="B14" t="s">
        <v>76</v>
      </c>
      <c r="C14" t="s">
        <v>29</v>
      </c>
      <c r="D14" t="s">
        <v>29</v>
      </c>
      <c r="E14" t="s">
        <v>25</v>
      </c>
      <c r="F14">
        <v>1955</v>
      </c>
      <c r="G14">
        <v>2530660</v>
      </c>
      <c r="H14">
        <v>697.15899999999999</v>
      </c>
      <c r="I14">
        <v>33184.400000000001</v>
      </c>
      <c r="J14">
        <v>0.60671799999999998</v>
      </c>
    </row>
    <row r="15" spans="1:11" x14ac:dyDescent="0.25">
      <c r="B15" t="s">
        <v>74</v>
      </c>
      <c r="C15" t="s">
        <v>30</v>
      </c>
      <c r="D15" t="s">
        <v>30</v>
      </c>
      <c r="E15" t="s">
        <v>25</v>
      </c>
      <c r="F15">
        <v>1961</v>
      </c>
      <c r="G15">
        <v>3437540</v>
      </c>
      <c r="H15">
        <v>3.32707E-2</v>
      </c>
      <c r="I15">
        <v>2098.2199999999998</v>
      </c>
      <c r="J15">
        <v>38.972900000000003</v>
      </c>
    </row>
    <row r="16" spans="1:11" x14ac:dyDescent="0.25">
      <c r="B16" t="s">
        <v>74</v>
      </c>
      <c r="C16" t="s">
        <v>24</v>
      </c>
      <c r="D16" t="s">
        <v>24</v>
      </c>
      <c r="E16" t="s">
        <v>25</v>
      </c>
      <c r="F16">
        <v>1961</v>
      </c>
      <c r="G16">
        <v>1967430</v>
      </c>
      <c r="H16">
        <v>3.5444399999999998</v>
      </c>
      <c r="I16">
        <v>19964.2</v>
      </c>
      <c r="J16">
        <v>50.4069</v>
      </c>
    </row>
    <row r="17" spans="2:10" x14ac:dyDescent="0.25">
      <c r="B17" t="s">
        <v>75</v>
      </c>
      <c r="C17" t="s">
        <v>27</v>
      </c>
      <c r="D17" t="s">
        <v>27</v>
      </c>
      <c r="E17" t="s">
        <v>25</v>
      </c>
      <c r="F17">
        <v>1961</v>
      </c>
      <c r="G17">
        <v>75795.8</v>
      </c>
      <c r="H17">
        <v>0.13655</v>
      </c>
      <c r="I17">
        <v>769.12400000000002</v>
      </c>
      <c r="J17">
        <v>1.94194</v>
      </c>
    </row>
    <row r="18" spans="2:10" x14ac:dyDescent="0.25">
      <c r="B18" t="s">
        <v>76</v>
      </c>
      <c r="C18" t="s">
        <v>31</v>
      </c>
      <c r="D18" t="s">
        <v>31</v>
      </c>
      <c r="E18" t="s">
        <v>25</v>
      </c>
      <c r="F18">
        <v>1961</v>
      </c>
      <c r="G18">
        <v>565044</v>
      </c>
      <c r="H18">
        <v>155.52699999999999</v>
      </c>
      <c r="I18">
        <v>7463.09</v>
      </c>
      <c r="J18">
        <v>0.135353</v>
      </c>
    </row>
    <row r="19" spans="2:10" x14ac:dyDescent="0.25">
      <c r="B19" t="s">
        <v>74</v>
      </c>
      <c r="C19" t="s">
        <v>30</v>
      </c>
      <c r="D19" t="s">
        <v>30</v>
      </c>
      <c r="E19" t="s">
        <v>25</v>
      </c>
      <c r="F19">
        <v>1976</v>
      </c>
      <c r="G19">
        <v>3421000</v>
      </c>
      <c r="H19">
        <v>3.6090799999999999E-2</v>
      </c>
      <c r="I19">
        <v>1735.42</v>
      </c>
      <c r="J19">
        <v>0.22406400000000001</v>
      </c>
    </row>
    <row r="20" spans="2:10" x14ac:dyDescent="0.25">
      <c r="B20" t="s">
        <v>74</v>
      </c>
      <c r="C20" t="s">
        <v>24</v>
      </c>
      <c r="D20" t="s">
        <v>24</v>
      </c>
      <c r="E20" t="s">
        <v>25</v>
      </c>
      <c r="F20">
        <v>1976</v>
      </c>
      <c r="G20">
        <v>5362890</v>
      </c>
      <c r="H20">
        <v>1.4097</v>
      </c>
      <c r="I20">
        <v>253575</v>
      </c>
      <c r="J20">
        <v>0.111807</v>
      </c>
    </row>
    <row r="21" spans="2:10" x14ac:dyDescent="0.25">
      <c r="B21" t="s">
        <v>75</v>
      </c>
      <c r="C21" t="s">
        <v>27</v>
      </c>
      <c r="D21" t="s">
        <v>27</v>
      </c>
      <c r="E21" t="s">
        <v>25</v>
      </c>
      <c r="F21">
        <v>1976</v>
      </c>
      <c r="G21">
        <v>206607</v>
      </c>
      <c r="H21">
        <v>5.43089E-2</v>
      </c>
      <c r="I21">
        <v>9769.0400000000009</v>
      </c>
      <c r="J21">
        <v>4.3073699999999996E-3</v>
      </c>
    </row>
    <row r="22" spans="2:10" x14ac:dyDescent="0.25">
      <c r="B22" t="s">
        <v>76</v>
      </c>
      <c r="C22" t="s">
        <v>32</v>
      </c>
      <c r="D22" t="s">
        <v>32</v>
      </c>
      <c r="E22" t="s">
        <v>25</v>
      </c>
      <c r="F22">
        <v>1976</v>
      </c>
      <c r="G22">
        <v>755027</v>
      </c>
      <c r="H22">
        <v>244.41399999999999</v>
      </c>
      <c r="I22">
        <v>7818.9</v>
      </c>
      <c r="J22">
        <v>0.21270700000000001</v>
      </c>
    </row>
    <row r="23" spans="2:10" x14ac:dyDescent="0.25">
      <c r="B23" t="s">
        <v>74</v>
      </c>
      <c r="C23" t="s">
        <v>30</v>
      </c>
      <c r="D23" t="s">
        <v>30</v>
      </c>
      <c r="E23" t="s">
        <v>25</v>
      </c>
      <c r="F23">
        <v>1984</v>
      </c>
      <c r="G23">
        <v>5320000</v>
      </c>
      <c r="H23">
        <v>5.2534900000000002E-2</v>
      </c>
      <c r="I23">
        <v>2703.47</v>
      </c>
      <c r="J23">
        <v>0.48102600000000001</v>
      </c>
    </row>
    <row r="24" spans="2:10" x14ac:dyDescent="0.25">
      <c r="B24" t="s">
        <v>74</v>
      </c>
      <c r="C24" t="s">
        <v>24</v>
      </c>
      <c r="D24" t="s">
        <v>24</v>
      </c>
      <c r="E24" t="s">
        <v>25</v>
      </c>
      <c r="F24">
        <v>1984</v>
      </c>
      <c r="G24">
        <v>355893</v>
      </c>
      <c r="H24">
        <v>7.4835900000000004</v>
      </c>
      <c r="I24">
        <v>89462.399999999994</v>
      </c>
      <c r="J24">
        <v>2.5167499999999999E-2</v>
      </c>
    </row>
    <row r="25" spans="2:10" x14ac:dyDescent="0.25">
      <c r="B25" t="s">
        <v>75</v>
      </c>
      <c r="C25" t="s">
        <v>27</v>
      </c>
      <c r="D25" t="s">
        <v>27</v>
      </c>
      <c r="E25" t="s">
        <v>25</v>
      </c>
      <c r="F25">
        <v>1984</v>
      </c>
      <c r="G25">
        <v>13710.9</v>
      </c>
      <c r="H25">
        <v>0.28830699999999998</v>
      </c>
      <c r="I25">
        <v>3446.56</v>
      </c>
      <c r="J25">
        <v>9.6958500000000002E-4</v>
      </c>
    </row>
    <row r="26" spans="2:10" x14ac:dyDescent="0.25">
      <c r="B26" t="s">
        <v>74</v>
      </c>
      <c r="C26" t="s">
        <v>30</v>
      </c>
      <c r="D26" t="s">
        <v>30</v>
      </c>
      <c r="E26" t="s">
        <v>25</v>
      </c>
      <c r="F26">
        <v>1994</v>
      </c>
      <c r="G26">
        <v>6874000</v>
      </c>
      <c r="H26">
        <v>4.3555200000000002E-2</v>
      </c>
      <c r="I26">
        <v>3599.1</v>
      </c>
      <c r="J26">
        <v>1.35137</v>
      </c>
    </row>
    <row r="27" spans="2:10" x14ac:dyDescent="0.25">
      <c r="B27" t="s">
        <v>74</v>
      </c>
      <c r="C27" t="s">
        <v>24</v>
      </c>
      <c r="D27" t="s">
        <v>24</v>
      </c>
      <c r="E27" t="s">
        <v>25</v>
      </c>
      <c r="F27">
        <v>1994</v>
      </c>
      <c r="G27">
        <v>105951</v>
      </c>
      <c r="H27">
        <v>2.3788999999999998</v>
      </c>
      <c r="I27">
        <v>28037.8</v>
      </c>
      <c r="J27">
        <v>7.9979400000000003E-3</v>
      </c>
    </row>
    <row r="28" spans="2:10" x14ac:dyDescent="0.25">
      <c r="B28" t="s">
        <v>75</v>
      </c>
      <c r="C28" t="s">
        <v>27</v>
      </c>
      <c r="D28" t="s">
        <v>27</v>
      </c>
      <c r="E28" t="s">
        <v>25</v>
      </c>
      <c r="F28">
        <v>1994</v>
      </c>
      <c r="G28">
        <v>4081.79</v>
      </c>
      <c r="H28">
        <v>9.1647900000000004E-2</v>
      </c>
      <c r="I28">
        <v>1080.1600000000001</v>
      </c>
      <c r="J28">
        <v>3.0812199999999997E-4</v>
      </c>
    </row>
    <row r="29" spans="2:10" x14ac:dyDescent="0.25">
      <c r="B29" t="s">
        <v>74</v>
      </c>
      <c r="C29" t="s">
        <v>30</v>
      </c>
      <c r="D29" t="s">
        <v>30</v>
      </c>
      <c r="E29" t="s">
        <v>25</v>
      </c>
      <c r="F29">
        <v>1996</v>
      </c>
      <c r="G29">
        <v>5469400</v>
      </c>
      <c r="H29">
        <v>2.8911699999999999E-2</v>
      </c>
      <c r="I29">
        <v>2888.05</v>
      </c>
      <c r="J29">
        <v>1.1607099999999999</v>
      </c>
    </row>
    <row r="32" spans="2:10" x14ac:dyDescent="0.25">
      <c r="B32" s="1" t="s">
        <v>35</v>
      </c>
    </row>
    <row r="34" spans="2:11" x14ac:dyDescent="0.25">
      <c r="B34" t="str">
        <f>B7</f>
        <v>Inventory Module</v>
      </c>
      <c r="C34" t="str">
        <f t="shared" ref="C34:K34" si="0">C7</f>
        <v>SIMV2 Site Name</v>
      </c>
      <c r="D34" t="str">
        <f t="shared" si="0"/>
        <v>CIE Site Name</v>
      </c>
      <c r="E34" t="str">
        <f t="shared" si="0"/>
        <v>Source Type</v>
      </c>
      <c r="F34" t="str">
        <f t="shared" si="0"/>
        <v>Year</v>
      </c>
      <c r="G34" t="str">
        <f t="shared" si="0"/>
        <v>Volume Mean [m3]</v>
      </c>
      <c r="H34" t="str">
        <f t="shared" si="0"/>
        <v>Cr [kg]</v>
      </c>
      <c r="I34" t="str">
        <f t="shared" si="0"/>
        <v>NO3 [kg]</v>
      </c>
      <c r="J34" t="str">
        <f t="shared" si="0"/>
        <v>U-Total [kg]</v>
      </c>
      <c r="K34" t="str">
        <f t="shared" si="0"/>
        <v>CN [kg]</v>
      </c>
    </row>
    <row r="35" spans="2:11" x14ac:dyDescent="0.25">
      <c r="B35" t="str">
        <f>B9</f>
        <v>OPU_200_WA_1</v>
      </c>
      <c r="C35" t="str">
        <f>C9</f>
        <v>216-U-14</v>
      </c>
      <c r="D35" t="str">
        <f>D9</f>
        <v>216-U-14</v>
      </c>
      <c r="E35" t="str">
        <f>E9</f>
        <v>Liquid</v>
      </c>
      <c r="F35">
        <f>F9</f>
        <v>1944</v>
      </c>
      <c r="G35">
        <f>G9+G8</f>
        <v>118762.61</v>
      </c>
      <c r="H35">
        <f>H9+H8</f>
        <v>0.36811670000000002</v>
      </c>
      <c r="I35">
        <f t="shared" ref="I35:K35" si="1">I9+I8</f>
        <v>69.953609999999998</v>
      </c>
      <c r="J35">
        <f t="shared" si="1"/>
        <v>3.2681760000000004E-2</v>
      </c>
      <c r="K35">
        <f t="shared" si="1"/>
        <v>0</v>
      </c>
    </row>
    <row r="36" spans="2:11" x14ac:dyDescent="0.25">
      <c r="B36" t="str">
        <f t="shared" ref="B36" si="2">B10</f>
        <v>OPU_200_CW_5</v>
      </c>
      <c r="C36" t="str">
        <f t="shared" ref="C36:K37" si="3">C10</f>
        <v>216-Z-1D</v>
      </c>
      <c r="D36" t="str">
        <f t="shared" ref="D36:F36" si="4">D10</f>
        <v>216-Z-1D</v>
      </c>
      <c r="E36" t="str">
        <f t="shared" si="4"/>
        <v>Liquid</v>
      </c>
      <c r="F36">
        <f t="shared" si="4"/>
        <v>1944</v>
      </c>
      <c r="G36">
        <f t="shared" si="3"/>
        <v>42825.8</v>
      </c>
      <c r="H36">
        <f t="shared" si="3"/>
        <v>4.4983900000000001E-5</v>
      </c>
      <c r="I36">
        <f t="shared" si="3"/>
        <v>1235.52</v>
      </c>
      <c r="J36">
        <f t="shared" si="3"/>
        <v>2.53652E-7</v>
      </c>
      <c r="K36">
        <f t="shared" si="3"/>
        <v>0</v>
      </c>
    </row>
    <row r="37" spans="2:11" x14ac:dyDescent="0.25">
      <c r="B37" t="str">
        <f t="shared" ref="B37" si="5">B11</f>
        <v>OPU_200_CW_1</v>
      </c>
      <c r="C37" t="str">
        <f t="shared" si="3"/>
        <v>216-B-3</v>
      </c>
      <c r="D37" t="str">
        <f t="shared" ref="D37:F37" si="6">D11</f>
        <v>216-B-3</v>
      </c>
      <c r="E37" t="str">
        <f t="shared" si="6"/>
        <v>Liquid</v>
      </c>
      <c r="F37">
        <f t="shared" si="6"/>
        <v>1955</v>
      </c>
      <c r="G37">
        <f t="shared" si="3"/>
        <v>1430000</v>
      </c>
      <c r="H37">
        <f t="shared" si="3"/>
        <v>2.6020799999999999</v>
      </c>
      <c r="I37">
        <f t="shared" si="3"/>
        <v>30649.4</v>
      </c>
      <c r="J37">
        <f t="shared" si="3"/>
        <v>22.4253</v>
      </c>
      <c r="K37">
        <f t="shared" si="3"/>
        <v>0</v>
      </c>
    </row>
    <row r="38" spans="2:11" x14ac:dyDescent="0.25">
      <c r="B38" t="str">
        <f>B13</f>
        <v>OPU_200_WA_1</v>
      </c>
      <c r="C38" t="str">
        <f>C13</f>
        <v>216-U-14</v>
      </c>
      <c r="D38" t="str">
        <f>D13</f>
        <v>216-U-14</v>
      </c>
      <c r="E38" t="str">
        <f>E13</f>
        <v>Liquid</v>
      </c>
      <c r="F38">
        <f>F13</f>
        <v>1955</v>
      </c>
      <c r="G38">
        <f t="shared" ref="G38:K38" si="7">G13+G12</f>
        <v>9159730</v>
      </c>
      <c r="H38">
        <f t="shared" si="7"/>
        <v>10.11346</v>
      </c>
      <c r="I38">
        <f t="shared" si="7"/>
        <v>16048.33</v>
      </c>
      <c r="J38">
        <f t="shared" si="7"/>
        <v>246.9717</v>
      </c>
      <c r="K38">
        <f t="shared" si="7"/>
        <v>0</v>
      </c>
    </row>
    <row r="39" spans="2:11" x14ac:dyDescent="0.25">
      <c r="B39" t="str">
        <f t="shared" ref="B39" si="8">B14</f>
        <v>OPU_200_CW_5</v>
      </c>
      <c r="C39" t="str">
        <f t="shared" ref="C39:K40" si="9">C14</f>
        <v>216-Z-1D</v>
      </c>
      <c r="D39" t="str">
        <f t="shared" ref="D39:F39" si="10">D14</f>
        <v>216-Z-1D</v>
      </c>
      <c r="E39" t="str">
        <f t="shared" si="10"/>
        <v>Liquid</v>
      </c>
      <c r="F39">
        <f t="shared" si="10"/>
        <v>1955</v>
      </c>
      <c r="G39">
        <f t="shared" si="9"/>
        <v>2530660</v>
      </c>
      <c r="H39">
        <f t="shared" si="9"/>
        <v>697.15899999999999</v>
      </c>
      <c r="I39">
        <f t="shared" si="9"/>
        <v>33184.400000000001</v>
      </c>
      <c r="J39">
        <f t="shared" si="9"/>
        <v>0.60671799999999998</v>
      </c>
      <c r="K39">
        <f t="shared" si="9"/>
        <v>0</v>
      </c>
    </row>
    <row r="40" spans="2:11" x14ac:dyDescent="0.25">
      <c r="B40" t="str">
        <f t="shared" ref="B40" si="11">B15</f>
        <v>OPU_200_CW_1</v>
      </c>
      <c r="C40" t="str">
        <f t="shared" si="9"/>
        <v>216-B-3</v>
      </c>
      <c r="D40" t="str">
        <f t="shared" ref="D40:F40" si="12">D15</f>
        <v>216-B-3</v>
      </c>
      <c r="E40" t="str">
        <f t="shared" si="12"/>
        <v>Liquid</v>
      </c>
      <c r="F40">
        <f t="shared" si="12"/>
        <v>1961</v>
      </c>
      <c r="G40">
        <f t="shared" si="9"/>
        <v>3437540</v>
      </c>
      <c r="H40">
        <f t="shared" si="9"/>
        <v>3.32707E-2</v>
      </c>
      <c r="I40">
        <f t="shared" si="9"/>
        <v>2098.2199999999998</v>
      </c>
      <c r="J40">
        <f t="shared" si="9"/>
        <v>38.972900000000003</v>
      </c>
      <c r="K40">
        <f t="shared" si="9"/>
        <v>0</v>
      </c>
    </row>
    <row r="41" spans="2:11" x14ac:dyDescent="0.25">
      <c r="B41" t="str">
        <f>B17</f>
        <v>OPU_200_WA_1</v>
      </c>
      <c r="C41" t="str">
        <f>C17</f>
        <v>216-U-14</v>
      </c>
      <c r="D41" t="str">
        <f>D17</f>
        <v>216-U-14</v>
      </c>
      <c r="E41" t="str">
        <f>E17</f>
        <v>Liquid</v>
      </c>
      <c r="F41">
        <f>F17</f>
        <v>1961</v>
      </c>
      <c r="G41">
        <f>G17+G16</f>
        <v>2043225.8</v>
      </c>
      <c r="H41">
        <f t="shared" ref="H41:K41" si="13">H17+H16</f>
        <v>3.68099</v>
      </c>
      <c r="I41">
        <f t="shared" si="13"/>
        <v>20733.324000000001</v>
      </c>
      <c r="J41">
        <f t="shared" si="13"/>
        <v>52.348840000000003</v>
      </c>
      <c r="K41">
        <f t="shared" si="13"/>
        <v>0</v>
      </c>
    </row>
    <row r="42" spans="2:11" x14ac:dyDescent="0.25">
      <c r="B42" t="str">
        <f t="shared" ref="B42" si="14">B18</f>
        <v>OPU_200_CW_5</v>
      </c>
      <c r="C42" t="str">
        <f t="shared" ref="C42:K43" si="15">C18</f>
        <v>216-Z-11</v>
      </c>
      <c r="D42" t="str">
        <f t="shared" ref="D42:F42" si="16">D18</f>
        <v>216-Z-11</v>
      </c>
      <c r="E42" t="str">
        <f t="shared" si="16"/>
        <v>Liquid</v>
      </c>
      <c r="F42">
        <f t="shared" si="16"/>
        <v>1961</v>
      </c>
      <c r="G42">
        <f t="shared" si="15"/>
        <v>565044</v>
      </c>
      <c r="H42">
        <f t="shared" si="15"/>
        <v>155.52699999999999</v>
      </c>
      <c r="I42">
        <f t="shared" si="15"/>
        <v>7463.09</v>
      </c>
      <c r="J42">
        <f t="shared" si="15"/>
        <v>0.135353</v>
      </c>
      <c r="K42">
        <f t="shared" si="15"/>
        <v>0</v>
      </c>
    </row>
    <row r="43" spans="2:11" x14ac:dyDescent="0.25">
      <c r="B43" t="str">
        <f t="shared" ref="B43" si="17">B19</f>
        <v>OPU_200_CW_1</v>
      </c>
      <c r="C43" t="str">
        <f t="shared" si="15"/>
        <v>216-B-3</v>
      </c>
      <c r="D43" t="str">
        <f t="shared" ref="D43:F43" si="18">D19</f>
        <v>216-B-3</v>
      </c>
      <c r="E43" t="str">
        <f t="shared" si="18"/>
        <v>Liquid</v>
      </c>
      <c r="F43">
        <f t="shared" si="18"/>
        <v>1976</v>
      </c>
      <c r="G43">
        <f t="shared" si="15"/>
        <v>3421000</v>
      </c>
      <c r="H43">
        <f t="shared" si="15"/>
        <v>3.6090799999999999E-2</v>
      </c>
      <c r="I43">
        <f t="shared" si="15"/>
        <v>1735.42</v>
      </c>
      <c r="J43">
        <f t="shared" si="15"/>
        <v>0.22406400000000001</v>
      </c>
      <c r="K43">
        <f t="shared" si="15"/>
        <v>0</v>
      </c>
    </row>
    <row r="44" spans="2:11" x14ac:dyDescent="0.25">
      <c r="B44" t="str">
        <f>B21</f>
        <v>OPU_200_WA_1</v>
      </c>
      <c r="C44" t="str">
        <f>C21</f>
        <v>216-U-14</v>
      </c>
      <c r="D44" t="str">
        <f>D21</f>
        <v>216-U-14</v>
      </c>
      <c r="E44" t="str">
        <f>E21</f>
        <v>Liquid</v>
      </c>
      <c r="F44">
        <f>F21</f>
        <v>1976</v>
      </c>
      <c r="G44">
        <f>G21+G20</f>
        <v>5569497</v>
      </c>
      <c r="H44">
        <f t="shared" ref="H44:K44" si="19">H21+H20</f>
        <v>1.4640089000000001</v>
      </c>
      <c r="I44">
        <f t="shared" si="19"/>
        <v>263344.03999999998</v>
      </c>
      <c r="J44">
        <f t="shared" si="19"/>
        <v>0.11611437000000001</v>
      </c>
      <c r="K44">
        <f t="shared" si="19"/>
        <v>0</v>
      </c>
    </row>
    <row r="45" spans="2:11" x14ac:dyDescent="0.25">
      <c r="B45" t="str">
        <f t="shared" ref="B45" si="20">B22</f>
        <v>OPU_200_CW_5</v>
      </c>
      <c r="C45" t="str">
        <f t="shared" ref="C45:K46" si="21">C22</f>
        <v>216-Z-19</v>
      </c>
      <c r="D45" t="str">
        <f t="shared" ref="D45:F45" si="22">D22</f>
        <v>216-Z-19</v>
      </c>
      <c r="E45" t="str">
        <f t="shared" si="22"/>
        <v>Liquid</v>
      </c>
      <c r="F45">
        <f t="shared" si="22"/>
        <v>1976</v>
      </c>
      <c r="G45">
        <f t="shared" si="21"/>
        <v>755027</v>
      </c>
      <c r="H45">
        <f t="shared" si="21"/>
        <v>244.41399999999999</v>
      </c>
      <c r="I45">
        <f t="shared" si="21"/>
        <v>7818.9</v>
      </c>
      <c r="J45">
        <f t="shared" si="21"/>
        <v>0.21270700000000001</v>
      </c>
      <c r="K45">
        <f t="shared" si="21"/>
        <v>0</v>
      </c>
    </row>
    <row r="46" spans="2:11" x14ac:dyDescent="0.25">
      <c r="B46" t="str">
        <f t="shared" ref="B46" si="23">B23</f>
        <v>OPU_200_CW_1</v>
      </c>
      <c r="C46" t="str">
        <f t="shared" si="21"/>
        <v>216-B-3</v>
      </c>
      <c r="D46" t="str">
        <f t="shared" ref="D46:F46" si="24">D23</f>
        <v>216-B-3</v>
      </c>
      <c r="E46" t="str">
        <f t="shared" si="24"/>
        <v>Liquid</v>
      </c>
      <c r="F46">
        <f t="shared" si="24"/>
        <v>1984</v>
      </c>
      <c r="G46">
        <f t="shared" si="21"/>
        <v>5320000</v>
      </c>
      <c r="H46">
        <f t="shared" si="21"/>
        <v>5.2534900000000002E-2</v>
      </c>
      <c r="I46">
        <f t="shared" si="21"/>
        <v>2703.47</v>
      </c>
      <c r="J46">
        <f t="shared" si="21"/>
        <v>0.48102600000000001</v>
      </c>
      <c r="K46">
        <f t="shared" si="21"/>
        <v>0</v>
      </c>
    </row>
    <row r="47" spans="2:11" x14ac:dyDescent="0.25">
      <c r="B47" t="str">
        <f>B25</f>
        <v>OPU_200_WA_1</v>
      </c>
      <c r="C47" t="str">
        <f>C25</f>
        <v>216-U-14</v>
      </c>
      <c r="D47" t="str">
        <f>D25</f>
        <v>216-U-14</v>
      </c>
      <c r="E47" t="str">
        <f>E25</f>
        <v>Liquid</v>
      </c>
      <c r="F47">
        <f>F25</f>
        <v>1984</v>
      </c>
      <c r="G47">
        <f>G25+G24</f>
        <v>369603.9</v>
      </c>
      <c r="H47">
        <f t="shared" ref="H47:K47" si="25">H25+H24</f>
        <v>7.7718970000000001</v>
      </c>
      <c r="I47">
        <f t="shared" si="25"/>
        <v>92908.959999999992</v>
      </c>
      <c r="J47">
        <f t="shared" si="25"/>
        <v>2.6137084999999997E-2</v>
      </c>
      <c r="K47">
        <f t="shared" si="25"/>
        <v>0</v>
      </c>
    </row>
    <row r="48" spans="2:11" x14ac:dyDescent="0.25">
      <c r="B48" t="str">
        <f t="shared" ref="B48" si="26">B26</f>
        <v>OPU_200_CW_1</v>
      </c>
      <c r="C48" t="str">
        <f t="shared" ref="C48:K48" si="27">C26</f>
        <v>216-B-3</v>
      </c>
      <c r="D48" t="str">
        <f t="shared" ref="D48:F48" si="28">D26</f>
        <v>216-B-3</v>
      </c>
      <c r="E48" t="str">
        <f t="shared" si="28"/>
        <v>Liquid</v>
      </c>
      <c r="F48">
        <f t="shared" si="28"/>
        <v>1994</v>
      </c>
      <c r="G48">
        <f t="shared" si="27"/>
        <v>6874000</v>
      </c>
      <c r="H48">
        <f t="shared" si="27"/>
        <v>4.3555200000000002E-2</v>
      </c>
      <c r="I48">
        <f t="shared" si="27"/>
        <v>3599.1</v>
      </c>
      <c r="J48">
        <f t="shared" si="27"/>
        <v>1.35137</v>
      </c>
      <c r="K48">
        <f t="shared" si="27"/>
        <v>0</v>
      </c>
    </row>
    <row r="49" spans="2:11" x14ac:dyDescent="0.25">
      <c r="B49" t="str">
        <f>B28</f>
        <v>OPU_200_WA_1</v>
      </c>
      <c r="C49" t="str">
        <f>C28</f>
        <v>216-U-14</v>
      </c>
      <c r="D49" t="str">
        <f>D28</f>
        <v>216-U-14</v>
      </c>
      <c r="E49" t="str">
        <f>E28</f>
        <v>Liquid</v>
      </c>
      <c r="F49">
        <f>F28</f>
        <v>1994</v>
      </c>
      <c r="G49">
        <f>G28+G27</f>
        <v>110032.79</v>
      </c>
      <c r="H49">
        <f t="shared" ref="H49:K49" si="29">H28+H27</f>
        <v>2.4705478999999997</v>
      </c>
      <c r="I49">
        <f t="shared" si="29"/>
        <v>29117.96</v>
      </c>
      <c r="J49">
        <f t="shared" si="29"/>
        <v>8.3060619999999995E-3</v>
      </c>
      <c r="K49">
        <f t="shared" si="29"/>
        <v>0</v>
      </c>
    </row>
    <row r="50" spans="2:11" x14ac:dyDescent="0.25">
      <c r="B50" t="str">
        <f t="shared" ref="B50" si="30">B29</f>
        <v>OPU_200_CW_1</v>
      </c>
      <c r="C50" t="str">
        <f t="shared" ref="C50:K50" si="31">C29</f>
        <v>216-B-3</v>
      </c>
      <c r="D50" t="str">
        <f t="shared" ref="D50:F50" si="32">D29</f>
        <v>216-B-3</v>
      </c>
      <c r="E50" t="str">
        <f t="shared" si="32"/>
        <v>Liquid</v>
      </c>
      <c r="F50">
        <f t="shared" si="32"/>
        <v>1996</v>
      </c>
      <c r="G50">
        <f t="shared" si="31"/>
        <v>5469400</v>
      </c>
      <c r="H50">
        <f t="shared" si="31"/>
        <v>2.8911699999999999E-2</v>
      </c>
      <c r="I50">
        <f t="shared" si="31"/>
        <v>2888.05</v>
      </c>
      <c r="J50">
        <f t="shared" si="31"/>
        <v>1.1607099999999999</v>
      </c>
      <c r="K50">
        <f t="shared" si="31"/>
        <v>0</v>
      </c>
    </row>
  </sheetData>
  <sortState xmlns:xlrd2="http://schemas.microsoft.com/office/spreadsheetml/2017/richdata2" ref="B8:K29">
    <sortCondition ref="F8:F29"/>
    <sortCondition ref="D8:D2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6EE-BF98-4EBE-8583-46E31C5BEB44}">
  <dimension ref="A1:F58"/>
  <sheetViews>
    <sheetView workbookViewId="0"/>
  </sheetViews>
  <sheetFormatPr defaultRowHeight="15" x14ac:dyDescent="0.25"/>
  <cols>
    <col min="1" max="1" width="4.7109375" customWidth="1"/>
    <col min="2" max="6" width="12.7109375" customWidth="1"/>
  </cols>
  <sheetData>
    <row r="1" spans="1:6" x14ac:dyDescent="0.25">
      <c r="A1" s="1" t="str">
        <f>'F_CP-61786_R1_sorted_mar42020'!A1</f>
        <v>Source Reroute Code - Acceptance Testing (AT-1) Calculation of Expected Results</v>
      </c>
    </row>
    <row r="2" spans="1:6" x14ac:dyDescent="0.25">
      <c r="A2" t="s">
        <v>42</v>
      </c>
    </row>
    <row r="5" spans="1:6" x14ac:dyDescent="0.25">
      <c r="B5" t="s">
        <v>36</v>
      </c>
      <c r="C5" t="s">
        <v>37</v>
      </c>
      <c r="D5" t="s">
        <v>38</v>
      </c>
      <c r="E5" t="s">
        <v>39</v>
      </c>
      <c r="F5" t="s">
        <v>40</v>
      </c>
    </row>
    <row r="6" spans="1:6" x14ac:dyDescent="0.25">
      <c r="B6">
        <v>1945</v>
      </c>
      <c r="C6">
        <v>1</v>
      </c>
      <c r="D6">
        <v>0</v>
      </c>
      <c r="E6">
        <v>0</v>
      </c>
      <c r="F6">
        <v>0</v>
      </c>
    </row>
    <row r="7" spans="1:6" x14ac:dyDescent="0.25">
      <c r="B7">
        <v>1946</v>
      </c>
      <c r="C7">
        <v>1</v>
      </c>
      <c r="D7">
        <v>0</v>
      </c>
      <c r="E7">
        <v>0</v>
      </c>
      <c r="F7">
        <v>0</v>
      </c>
    </row>
    <row r="8" spans="1:6" x14ac:dyDescent="0.25">
      <c r="B8">
        <v>1947</v>
      </c>
      <c r="C8">
        <v>1</v>
      </c>
      <c r="D8">
        <v>0</v>
      </c>
      <c r="E8">
        <v>0</v>
      </c>
      <c r="F8">
        <v>0</v>
      </c>
    </row>
    <row r="9" spans="1:6" x14ac:dyDescent="0.25">
      <c r="B9">
        <v>1948</v>
      </c>
      <c r="C9">
        <v>1</v>
      </c>
      <c r="D9">
        <v>0</v>
      </c>
      <c r="E9">
        <v>0</v>
      </c>
      <c r="F9">
        <v>0</v>
      </c>
    </row>
    <row r="10" spans="1:6" x14ac:dyDescent="0.25">
      <c r="B10">
        <v>1949</v>
      </c>
      <c r="C10">
        <v>1</v>
      </c>
      <c r="D10">
        <v>0</v>
      </c>
      <c r="E10">
        <v>0</v>
      </c>
      <c r="F10">
        <v>0</v>
      </c>
    </row>
    <row r="11" spans="1:6" x14ac:dyDescent="0.25">
      <c r="B11">
        <v>1950</v>
      </c>
      <c r="C11">
        <v>1</v>
      </c>
      <c r="D11">
        <v>0</v>
      </c>
      <c r="E11">
        <v>0</v>
      </c>
      <c r="F11">
        <v>0</v>
      </c>
    </row>
    <row r="12" spans="1:6" x14ac:dyDescent="0.25">
      <c r="B12">
        <v>1951</v>
      </c>
      <c r="C12">
        <v>1</v>
      </c>
      <c r="D12">
        <v>0</v>
      </c>
      <c r="E12">
        <v>0</v>
      </c>
      <c r="F12">
        <v>0</v>
      </c>
    </row>
    <row r="13" spans="1:6" x14ac:dyDescent="0.25">
      <c r="B13">
        <v>1952</v>
      </c>
      <c r="C13">
        <v>1</v>
      </c>
      <c r="D13">
        <v>0</v>
      </c>
      <c r="E13">
        <v>0</v>
      </c>
      <c r="F13">
        <v>0</v>
      </c>
    </row>
    <row r="14" spans="1:6" x14ac:dyDescent="0.25">
      <c r="B14">
        <v>1953</v>
      </c>
      <c r="C14">
        <v>1</v>
      </c>
      <c r="D14">
        <v>0</v>
      </c>
      <c r="E14">
        <v>0</v>
      </c>
      <c r="F14">
        <v>0</v>
      </c>
    </row>
    <row r="15" spans="1:6" x14ac:dyDescent="0.25">
      <c r="B15">
        <v>1954</v>
      </c>
      <c r="C15">
        <v>1</v>
      </c>
      <c r="D15">
        <v>0</v>
      </c>
      <c r="E15">
        <v>0</v>
      </c>
      <c r="F15">
        <v>0</v>
      </c>
    </row>
    <row r="16" spans="1:6" x14ac:dyDescent="0.25">
      <c r="B16">
        <v>1955</v>
      </c>
      <c r="C16">
        <v>1</v>
      </c>
      <c r="D16">
        <v>0</v>
      </c>
      <c r="E16">
        <v>0</v>
      </c>
      <c r="F16">
        <v>0</v>
      </c>
    </row>
    <row r="17" spans="2:6" x14ac:dyDescent="0.25">
      <c r="B17">
        <v>1956</v>
      </c>
      <c r="C17">
        <v>1</v>
      </c>
      <c r="D17">
        <v>0</v>
      </c>
      <c r="E17">
        <v>0</v>
      </c>
      <c r="F17">
        <v>0</v>
      </c>
    </row>
    <row r="18" spans="2:6" x14ac:dyDescent="0.25">
      <c r="B18">
        <v>1957</v>
      </c>
      <c r="C18">
        <v>1</v>
      </c>
      <c r="D18">
        <v>0</v>
      </c>
      <c r="E18">
        <v>0</v>
      </c>
      <c r="F18">
        <v>0</v>
      </c>
    </row>
    <row r="19" spans="2:6" x14ac:dyDescent="0.25">
      <c r="B19">
        <v>1958</v>
      </c>
      <c r="C19">
        <v>1</v>
      </c>
      <c r="D19">
        <v>0</v>
      </c>
      <c r="E19">
        <v>0</v>
      </c>
      <c r="F19">
        <v>0</v>
      </c>
    </row>
    <row r="20" spans="2:6" x14ac:dyDescent="0.25">
      <c r="B20">
        <v>1959</v>
      </c>
      <c r="C20">
        <v>1</v>
      </c>
      <c r="D20">
        <v>0</v>
      </c>
      <c r="E20">
        <v>0</v>
      </c>
      <c r="F20">
        <v>0</v>
      </c>
    </row>
    <row r="21" spans="2:6" x14ac:dyDescent="0.25">
      <c r="B21">
        <v>1960</v>
      </c>
      <c r="C21">
        <v>1</v>
      </c>
      <c r="D21">
        <v>0</v>
      </c>
      <c r="E21">
        <v>0</v>
      </c>
      <c r="F21">
        <v>0</v>
      </c>
    </row>
    <row r="22" spans="2:6" x14ac:dyDescent="0.25">
      <c r="B22">
        <v>1961</v>
      </c>
      <c r="C22">
        <v>1</v>
      </c>
      <c r="D22">
        <v>0</v>
      </c>
      <c r="E22">
        <v>0</v>
      </c>
      <c r="F22">
        <v>0</v>
      </c>
    </row>
    <row r="23" spans="2:6" x14ac:dyDescent="0.25">
      <c r="B23">
        <v>1962</v>
      </c>
      <c r="C23">
        <v>1</v>
      </c>
      <c r="D23">
        <v>0</v>
      </c>
      <c r="E23">
        <v>0</v>
      </c>
      <c r="F23">
        <v>0</v>
      </c>
    </row>
    <row r="24" spans="2:6" x14ac:dyDescent="0.25">
      <c r="B24">
        <v>1963</v>
      </c>
      <c r="C24">
        <v>1</v>
      </c>
      <c r="D24">
        <v>0</v>
      </c>
      <c r="E24">
        <v>0</v>
      </c>
      <c r="F24">
        <v>0</v>
      </c>
    </row>
    <row r="25" spans="2:6" x14ac:dyDescent="0.25">
      <c r="B25">
        <v>1964</v>
      </c>
      <c r="C25">
        <v>1</v>
      </c>
      <c r="D25">
        <v>0</v>
      </c>
      <c r="E25">
        <v>0</v>
      </c>
      <c r="F25">
        <v>0</v>
      </c>
    </row>
    <row r="26" spans="2:6" x14ac:dyDescent="0.25">
      <c r="B26">
        <v>1965</v>
      </c>
      <c r="C26">
        <v>1</v>
      </c>
      <c r="D26">
        <v>0</v>
      </c>
      <c r="E26">
        <v>0</v>
      </c>
      <c r="F26">
        <v>0</v>
      </c>
    </row>
    <row r="27" spans="2:6" x14ac:dyDescent="0.25">
      <c r="B27">
        <v>1966</v>
      </c>
      <c r="C27">
        <v>1</v>
      </c>
      <c r="D27">
        <v>0</v>
      </c>
      <c r="E27">
        <v>0</v>
      </c>
      <c r="F27">
        <v>0</v>
      </c>
    </row>
    <row r="28" spans="2:6" x14ac:dyDescent="0.25">
      <c r="B28">
        <v>1967</v>
      </c>
      <c r="C28">
        <v>1</v>
      </c>
      <c r="D28">
        <v>0</v>
      </c>
      <c r="E28">
        <v>0</v>
      </c>
      <c r="F28">
        <v>0</v>
      </c>
    </row>
    <row r="29" spans="2:6" x14ac:dyDescent="0.25">
      <c r="B29">
        <v>1968</v>
      </c>
      <c r="C29">
        <v>1</v>
      </c>
      <c r="D29">
        <v>0</v>
      </c>
      <c r="E29">
        <v>0</v>
      </c>
      <c r="F29">
        <v>0</v>
      </c>
    </row>
    <row r="30" spans="2:6" x14ac:dyDescent="0.25">
      <c r="B30">
        <v>1969</v>
      </c>
      <c r="C30">
        <v>1</v>
      </c>
      <c r="D30">
        <v>0</v>
      </c>
      <c r="E30">
        <v>0</v>
      </c>
      <c r="F30">
        <v>0</v>
      </c>
    </row>
    <row r="31" spans="2:6" x14ac:dyDescent="0.25">
      <c r="B31">
        <v>1970</v>
      </c>
      <c r="C31">
        <v>1</v>
      </c>
      <c r="D31">
        <v>0</v>
      </c>
      <c r="E31">
        <v>0</v>
      </c>
      <c r="F31">
        <v>0</v>
      </c>
    </row>
    <row r="32" spans="2:6" x14ac:dyDescent="0.25">
      <c r="B32">
        <v>1971</v>
      </c>
      <c r="C32">
        <v>1</v>
      </c>
      <c r="D32">
        <v>0</v>
      </c>
      <c r="E32">
        <v>0</v>
      </c>
      <c r="F32">
        <v>0</v>
      </c>
    </row>
    <row r="33" spans="2:6" x14ac:dyDescent="0.25">
      <c r="B33">
        <v>1972</v>
      </c>
      <c r="C33">
        <v>1</v>
      </c>
      <c r="D33">
        <v>0</v>
      </c>
      <c r="E33">
        <v>0</v>
      </c>
      <c r="F33">
        <v>0</v>
      </c>
    </row>
    <row r="34" spans="2:6" x14ac:dyDescent="0.25">
      <c r="B34">
        <v>1973</v>
      </c>
      <c r="C34">
        <v>1</v>
      </c>
      <c r="D34">
        <v>0</v>
      </c>
      <c r="E34">
        <v>0</v>
      </c>
      <c r="F34">
        <v>0</v>
      </c>
    </row>
    <row r="35" spans="2:6" x14ac:dyDescent="0.25">
      <c r="B35">
        <v>1974</v>
      </c>
      <c r="C35">
        <v>1</v>
      </c>
      <c r="D35">
        <v>0</v>
      </c>
      <c r="E35">
        <v>0</v>
      </c>
      <c r="F35">
        <v>0</v>
      </c>
    </row>
    <row r="36" spans="2:6" x14ac:dyDescent="0.25">
      <c r="B36">
        <v>1975</v>
      </c>
      <c r="C36">
        <v>1</v>
      </c>
      <c r="D36">
        <v>0</v>
      </c>
      <c r="E36">
        <v>0</v>
      </c>
      <c r="F36">
        <v>0</v>
      </c>
    </row>
    <row r="37" spans="2:6" x14ac:dyDescent="0.25">
      <c r="B37">
        <v>1976</v>
      </c>
      <c r="C37">
        <v>1</v>
      </c>
      <c r="D37">
        <v>0</v>
      </c>
      <c r="E37">
        <v>0</v>
      </c>
      <c r="F37">
        <v>0</v>
      </c>
    </row>
    <row r="38" spans="2:6" x14ac:dyDescent="0.25">
      <c r="B38">
        <v>1977</v>
      </c>
      <c r="C38">
        <v>1</v>
      </c>
      <c r="D38">
        <v>0</v>
      </c>
      <c r="E38">
        <v>0</v>
      </c>
      <c r="F38">
        <v>0</v>
      </c>
    </row>
    <row r="39" spans="2:6" x14ac:dyDescent="0.25">
      <c r="B39">
        <v>1978</v>
      </c>
      <c r="C39">
        <v>1</v>
      </c>
      <c r="D39">
        <v>0</v>
      </c>
      <c r="E39">
        <v>0</v>
      </c>
      <c r="F39">
        <v>0</v>
      </c>
    </row>
    <row r="40" spans="2:6" x14ac:dyDescent="0.25">
      <c r="B40">
        <v>1979</v>
      </c>
      <c r="C40">
        <v>1</v>
      </c>
      <c r="D40">
        <v>0</v>
      </c>
      <c r="E40">
        <v>0</v>
      </c>
      <c r="F40">
        <v>0</v>
      </c>
    </row>
    <row r="41" spans="2:6" x14ac:dyDescent="0.25">
      <c r="B41">
        <v>1980</v>
      </c>
      <c r="C41">
        <v>1</v>
      </c>
      <c r="D41">
        <v>0</v>
      </c>
      <c r="E41">
        <v>0</v>
      </c>
      <c r="F41">
        <v>0</v>
      </c>
    </row>
    <row r="42" spans="2:6" x14ac:dyDescent="0.25">
      <c r="B42">
        <v>1981</v>
      </c>
      <c r="C42">
        <v>1</v>
      </c>
      <c r="D42">
        <v>0</v>
      </c>
      <c r="E42">
        <v>0</v>
      </c>
      <c r="F42">
        <v>0</v>
      </c>
    </row>
    <row r="43" spans="2:6" x14ac:dyDescent="0.25">
      <c r="B43">
        <v>1982</v>
      </c>
      <c r="C43">
        <v>1</v>
      </c>
      <c r="D43">
        <v>0</v>
      </c>
      <c r="E43">
        <v>0</v>
      </c>
      <c r="F43">
        <v>0</v>
      </c>
    </row>
    <row r="44" spans="2:6" x14ac:dyDescent="0.25">
      <c r="B44">
        <v>1983</v>
      </c>
      <c r="C44">
        <v>0.94179891500000001</v>
      </c>
      <c r="D44">
        <v>5.8201085E-2</v>
      </c>
      <c r="E44">
        <v>0</v>
      </c>
      <c r="F44">
        <v>0</v>
      </c>
    </row>
    <row r="45" spans="2:6" x14ac:dyDescent="0.25">
      <c r="B45">
        <v>1984</v>
      </c>
      <c r="C45">
        <v>0.82897405199999996</v>
      </c>
      <c r="D45">
        <v>0.15040141300000001</v>
      </c>
      <c r="E45">
        <v>2.0624534999999999E-2</v>
      </c>
      <c r="F45">
        <v>0</v>
      </c>
    </row>
    <row r="46" spans="2:6" x14ac:dyDescent="0.25">
      <c r="B46">
        <v>1985</v>
      </c>
      <c r="C46">
        <v>0.70228752000000005</v>
      </c>
      <c r="D46">
        <v>0.21310806700000001</v>
      </c>
      <c r="E46">
        <v>0</v>
      </c>
      <c r="F46">
        <v>8.4604413000000003E-2</v>
      </c>
    </row>
    <row r="47" spans="2:6" x14ac:dyDescent="0.25">
      <c r="B47">
        <v>1986</v>
      </c>
      <c r="C47">
        <v>0.70228752000000005</v>
      </c>
      <c r="D47">
        <v>0.21310806700000001</v>
      </c>
      <c r="E47">
        <v>0</v>
      </c>
      <c r="F47">
        <v>8.4604413000000003E-2</v>
      </c>
    </row>
    <row r="48" spans="2:6" x14ac:dyDescent="0.25">
      <c r="B48">
        <v>1987</v>
      </c>
      <c r="C48">
        <v>0.70228752000000005</v>
      </c>
      <c r="D48">
        <v>0.21310806700000001</v>
      </c>
      <c r="E48">
        <v>0</v>
      </c>
      <c r="F48">
        <v>8.4604413000000003E-2</v>
      </c>
    </row>
    <row r="49" spans="2:6" x14ac:dyDescent="0.25">
      <c r="B49">
        <v>1988</v>
      </c>
      <c r="C49">
        <v>0.70228752000000005</v>
      </c>
      <c r="D49">
        <v>0.21310806700000001</v>
      </c>
      <c r="E49">
        <v>0</v>
      </c>
      <c r="F49">
        <v>8.4604413000000003E-2</v>
      </c>
    </row>
    <row r="50" spans="2:6" x14ac:dyDescent="0.25">
      <c r="B50">
        <v>1989</v>
      </c>
      <c r="C50">
        <v>0.70228752000000005</v>
      </c>
      <c r="D50">
        <v>0.21310806700000001</v>
      </c>
      <c r="E50">
        <v>0</v>
      </c>
      <c r="F50">
        <v>8.4604413000000003E-2</v>
      </c>
    </row>
    <row r="51" spans="2:6" x14ac:dyDescent="0.25">
      <c r="B51">
        <v>1990</v>
      </c>
      <c r="C51">
        <v>0.70228752000000005</v>
      </c>
      <c r="D51">
        <v>0.21310806700000001</v>
      </c>
      <c r="E51">
        <v>0</v>
      </c>
      <c r="F51">
        <v>8.4604413000000003E-2</v>
      </c>
    </row>
    <row r="52" spans="2:6" x14ac:dyDescent="0.25">
      <c r="B52">
        <v>1991</v>
      </c>
      <c r="C52">
        <v>0.70228752000000005</v>
      </c>
      <c r="D52">
        <v>0.21310806700000001</v>
      </c>
      <c r="E52">
        <v>0</v>
      </c>
      <c r="F52">
        <v>8.4604413000000003E-2</v>
      </c>
    </row>
    <row r="53" spans="2:6" x14ac:dyDescent="0.25">
      <c r="B53">
        <v>1992</v>
      </c>
      <c r="C53">
        <v>0.70228752000000005</v>
      </c>
      <c r="D53">
        <v>0.21310806700000001</v>
      </c>
      <c r="E53">
        <v>0</v>
      </c>
      <c r="F53">
        <v>8.4604413000000003E-2</v>
      </c>
    </row>
    <row r="54" spans="2:6" x14ac:dyDescent="0.25">
      <c r="B54">
        <v>1993</v>
      </c>
      <c r="C54">
        <v>0.70228752000000005</v>
      </c>
      <c r="D54">
        <v>0.21310806700000001</v>
      </c>
      <c r="E54">
        <v>0</v>
      </c>
      <c r="F54">
        <v>8.4604413000000003E-2</v>
      </c>
    </row>
    <row r="55" spans="2:6" x14ac:dyDescent="0.25">
      <c r="B55">
        <v>1994</v>
      </c>
      <c r="C55">
        <v>0.23409584</v>
      </c>
      <c r="D55">
        <v>7.1036022000000004E-2</v>
      </c>
      <c r="E55">
        <v>0</v>
      </c>
      <c r="F55">
        <v>0.69486813800000002</v>
      </c>
    </row>
    <row r="56" spans="2:6" x14ac:dyDescent="0.25">
      <c r="B56">
        <v>1995</v>
      </c>
      <c r="C56">
        <v>0</v>
      </c>
      <c r="D56">
        <v>0</v>
      </c>
      <c r="E56">
        <v>0</v>
      </c>
      <c r="F56">
        <v>1</v>
      </c>
    </row>
    <row r="57" spans="2:6" x14ac:dyDescent="0.25">
      <c r="B57">
        <v>1996</v>
      </c>
      <c r="C57">
        <v>0</v>
      </c>
      <c r="D57">
        <v>0</v>
      </c>
      <c r="E57">
        <v>0</v>
      </c>
      <c r="F57">
        <v>1</v>
      </c>
    </row>
    <row r="58" spans="2:6" x14ac:dyDescent="0.25">
      <c r="B58">
        <v>1997</v>
      </c>
      <c r="C58">
        <v>0</v>
      </c>
      <c r="D58">
        <v>0</v>
      </c>
      <c r="E58">
        <v>0</v>
      </c>
      <c r="F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1E7D-10A9-429D-A661-BA55C206B352}">
  <dimension ref="A1:C16"/>
  <sheetViews>
    <sheetView workbookViewId="0"/>
  </sheetViews>
  <sheetFormatPr defaultRowHeight="15" x14ac:dyDescent="0.25"/>
  <cols>
    <col min="1" max="1" width="4.7109375" customWidth="1"/>
    <col min="2" max="2" width="15.7109375" customWidth="1"/>
    <col min="3" max="3" width="18.7109375" customWidth="1"/>
  </cols>
  <sheetData>
    <row r="1" spans="1:3" x14ac:dyDescent="0.25">
      <c r="A1" s="1" t="str">
        <f>'F_CP-61786_R1_sorted_mar42020'!A1</f>
        <v>Source Reroute Code - Acceptance Testing (AT-1) Calculation of Expected Results</v>
      </c>
    </row>
    <row r="2" spans="1:3" x14ac:dyDescent="0.25">
      <c r="A2" t="s">
        <v>43</v>
      </c>
    </row>
    <row r="5" spans="1:3" x14ac:dyDescent="0.25">
      <c r="B5" s="2" t="s">
        <v>44</v>
      </c>
      <c r="C5" s="2" t="s">
        <v>52</v>
      </c>
    </row>
    <row r="6" spans="1:3" x14ac:dyDescent="0.25">
      <c r="B6" t="s">
        <v>31</v>
      </c>
      <c r="C6">
        <v>658.304592447</v>
      </c>
    </row>
    <row r="7" spans="1:3" x14ac:dyDescent="0.25">
      <c r="B7" t="s">
        <v>32</v>
      </c>
      <c r="C7">
        <v>650.08165904500004</v>
      </c>
    </row>
    <row r="8" spans="1:3" x14ac:dyDescent="0.25">
      <c r="B8" t="s">
        <v>45</v>
      </c>
      <c r="C8">
        <v>4163.1649192799996</v>
      </c>
    </row>
    <row r="9" spans="1:3" x14ac:dyDescent="0.25">
      <c r="B9" t="s">
        <v>46</v>
      </c>
      <c r="C9">
        <v>41007.685310599998</v>
      </c>
    </row>
    <row r="10" spans="1:3" x14ac:dyDescent="0.25">
      <c r="B10" t="s">
        <v>24</v>
      </c>
      <c r="C10">
        <v>194229.40289299999</v>
      </c>
    </row>
    <row r="11" spans="1:3" x14ac:dyDescent="0.25">
      <c r="B11" t="s">
        <v>47</v>
      </c>
      <c r="C11">
        <v>2144.2471768300002</v>
      </c>
    </row>
    <row r="12" spans="1:3" x14ac:dyDescent="0.25">
      <c r="B12" t="s">
        <v>48</v>
      </c>
      <c r="C12">
        <v>20959.2514744</v>
      </c>
    </row>
    <row r="13" spans="1:3" x14ac:dyDescent="0.25">
      <c r="B13" t="s">
        <v>30</v>
      </c>
      <c r="C13">
        <v>146094.747</v>
      </c>
    </row>
    <row r="14" spans="1:3" x14ac:dyDescent="0.25">
      <c r="B14" t="s">
        <v>49</v>
      </c>
      <c r="C14">
        <v>44332.226000000002</v>
      </c>
    </row>
    <row r="15" spans="1:3" x14ac:dyDescent="0.25">
      <c r="B15" t="s">
        <v>50</v>
      </c>
      <c r="C15">
        <v>62630.25</v>
      </c>
    </row>
    <row r="16" spans="1:3" x14ac:dyDescent="0.25">
      <c r="B16" t="s">
        <v>51</v>
      </c>
      <c r="C16">
        <v>17600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0AC6-E0CB-4D3C-A147-4DC3CFA15D6C}">
  <dimension ref="A1:H60"/>
  <sheetViews>
    <sheetView tabSelected="1" topLeftCell="A48" workbookViewId="0">
      <selection activeCell="E55" sqref="E55"/>
    </sheetView>
  </sheetViews>
  <sheetFormatPr defaultRowHeight="15" x14ac:dyDescent="0.25"/>
  <cols>
    <col min="1" max="1" width="4.7109375" customWidth="1"/>
    <col min="2" max="2" width="15.7109375" customWidth="1"/>
    <col min="3" max="4" width="20.7109375" customWidth="1"/>
    <col min="5" max="5" width="22.7109375" customWidth="1"/>
    <col min="6" max="6" width="20.7109375" customWidth="1"/>
    <col min="7" max="7" width="18.7109375" customWidth="1"/>
    <col min="8" max="8" width="15.7109375" customWidth="1"/>
  </cols>
  <sheetData>
    <row r="1" spans="1:8" x14ac:dyDescent="0.25">
      <c r="A1" s="1" t="str">
        <f>'F_CP-61786_R1_sorted_mar42020'!A1</f>
        <v>Source Reroute Code - Acceptance Testing (AT-1) Calculation of Expected Results</v>
      </c>
    </row>
    <row r="2" spans="1:8" x14ac:dyDescent="0.25">
      <c r="A2" t="s">
        <v>58</v>
      </c>
    </row>
    <row r="5" spans="1:8" x14ac:dyDescent="0.25">
      <c r="B5" s="1" t="str">
        <f>"1944:"</f>
        <v>1944:</v>
      </c>
    </row>
    <row r="7" spans="1:8" x14ac:dyDescent="0.25">
      <c r="B7" s="2" t="s">
        <v>53</v>
      </c>
      <c r="C7" s="2" t="s">
        <v>55</v>
      </c>
      <c r="D7" s="2" t="s">
        <v>60</v>
      </c>
      <c r="E7" s="2" t="s">
        <v>56</v>
      </c>
      <c r="F7" s="2" t="s">
        <v>77</v>
      </c>
    </row>
    <row r="8" spans="1:8" x14ac:dyDescent="0.25">
      <c r="B8" t="s">
        <v>29</v>
      </c>
      <c r="C8">
        <f>'F_CP-61786_R1_sorted_mar42020'!F36/SUM('F_CP-61786_R1_sorted_mar42020'!F35:F36)</f>
        <v>0.26503014665470132</v>
      </c>
      <c r="D8">
        <f>Areas!C8/(Areas!C8+Areas!C10*ExpectedResults!C8)</f>
        <v>7.4823489974036608E-2</v>
      </c>
      <c r="E8" s="3">
        <f>'F_CP-61786_R1_sorted_mar42020'!F36*ExpectedResults!D8</f>
        <v>3204.3758169300972</v>
      </c>
      <c r="F8" s="3">
        <f>D8*'Appendix_B_of_CP-64710_07242020'!H36</f>
        <v>3.3658523906430654E-6</v>
      </c>
    </row>
    <row r="9" spans="1:8" x14ac:dyDescent="0.25">
      <c r="B9" t="s">
        <v>27</v>
      </c>
      <c r="C9">
        <f>'F_CP-61786_R1_sorted_mar42020'!F35/SUM('F_CP-61786_R1_sorted_mar42020'!F35:F36)</f>
        <v>0.73496985334529874</v>
      </c>
      <c r="D9">
        <f>Areas!C9/(Areas!C9+Areas!C10*ExpectedResults!C9)</f>
        <v>0.22315839618022762</v>
      </c>
      <c r="E9" s="3">
        <f>'F_CP-61786_R1_sorted_mar42020'!F35*ExpectedResults!D9</f>
        <v>26502.873573777862</v>
      </c>
      <c r="F9" s="3">
        <f>D9*'Appendix_B_of_CP-64710_07242020'!H35</f>
        <v>8.2148332379158001E-2</v>
      </c>
    </row>
    <row r="10" spans="1:8" x14ac:dyDescent="0.25">
      <c r="B10" t="s">
        <v>24</v>
      </c>
      <c r="E10" s="3">
        <f>SUM('F_CP-61786_R1_sorted_mar42020'!F35:F36)-SUM(ExpectedResults!E8:E9)</f>
        <v>131881.16060929204</v>
      </c>
      <c r="F10" s="3">
        <f>SUM('Appendix_B_of_CP-64710_07242020'!H35:H36)-SUM(ExpectedResults!F8:F9)</f>
        <v>0.28600998566845137</v>
      </c>
      <c r="H10" s="4"/>
    </row>
    <row r="13" spans="1:8" x14ac:dyDescent="0.25">
      <c r="B13" s="1" t="str">
        <f>"1955:"</f>
        <v>1955:</v>
      </c>
    </row>
    <row r="15" spans="1:8" x14ac:dyDescent="0.25">
      <c r="B15" s="2" t="s">
        <v>53</v>
      </c>
      <c r="C15" s="2" t="s">
        <v>55</v>
      </c>
      <c r="D15" s="2" t="s">
        <v>60</v>
      </c>
      <c r="E15" s="2" t="s">
        <v>59</v>
      </c>
      <c r="F15" s="2" t="s">
        <v>56</v>
      </c>
      <c r="G15" s="2" t="s">
        <v>62</v>
      </c>
      <c r="H15" s="2" t="s">
        <v>61</v>
      </c>
    </row>
    <row r="16" spans="1:8" x14ac:dyDescent="0.25">
      <c r="B16" t="s">
        <v>30</v>
      </c>
      <c r="D16">
        <f>'B-3_Pond_Fractions'!C16</f>
        <v>1</v>
      </c>
      <c r="F16" s="3">
        <f>D16*'F_CP-61786_R1_sorted_mar42020'!F37</f>
        <v>1430000</v>
      </c>
      <c r="H16" s="3">
        <f>D16*'F_CP-61786_R1_sorted_mar42020'!N37</f>
        <v>1.6979600000000001E-2</v>
      </c>
    </row>
    <row r="17" spans="2:8" x14ac:dyDescent="0.25">
      <c r="B17" t="s">
        <v>54</v>
      </c>
      <c r="C17">
        <f>'F_CP-61786_R1_sorted_mar42020'!F39/SUM('F_CP-61786_R1_sorted_mar42020'!F38:F39)</f>
        <v>0.21647353082318041</v>
      </c>
      <c r="D17">
        <f>Areas!C11/(Areas!C11+Areas!C10*ExpectedResults!C17)</f>
        <v>4.8523608268737244E-2</v>
      </c>
      <c r="F17" s="3">
        <f>D17*'F_CP-61786_R1_sorted_mar42020'!F39</f>
        <v>122796.75450136259</v>
      </c>
      <c r="H17" s="3">
        <f>D17*'F_CP-61786_R1_sorted_mar42020'!N39</f>
        <v>3.4250388896488186E-5</v>
      </c>
    </row>
    <row r="18" spans="2:8" x14ac:dyDescent="0.25">
      <c r="B18" t="s">
        <v>27</v>
      </c>
      <c r="C18">
        <f>'F_CP-61786_R1_sorted_mar42020'!F38/SUM('F_CP-61786_R1_sorted_mar42020'!F38:F39)</f>
        <v>0.78352646917681956</v>
      </c>
      <c r="D18">
        <f>Areas!C9/(Areas!C9+Areas!C10*ExpectedResults!C18)</f>
        <v>0.21226436886210426</v>
      </c>
      <c r="F18" s="3">
        <f>D18*'F_CP-61786_R1_sorted_mar42020'!F38</f>
        <v>1944284.3073972822</v>
      </c>
      <c r="H18" s="3">
        <f>D18*'F_CP-61786_R1_sorted_mar42020'!N38</f>
        <v>3.7118003672797946E-2</v>
      </c>
    </row>
    <row r="19" spans="2:8" x14ac:dyDescent="0.25">
      <c r="B19" t="s">
        <v>24</v>
      </c>
      <c r="E19">
        <f>SUM('F_CP-61786_R1_sorted_mar42020'!F38:F39)-SUM(ExpectedResults!F17:F18)</f>
        <v>9623308.938101355</v>
      </c>
      <c r="F19" s="3">
        <f>IF(E19&gt;7013071.953,7013071.953,E19)</f>
        <v>7013071.9529999997</v>
      </c>
      <c r="G19" s="4">
        <f>F19/SUM(F19:F20)</f>
        <v>0.72875889136566097</v>
      </c>
      <c r="H19" s="3">
        <f>G19*(SUM('F_CP-61786_R1_sorted_mar42020'!N38:N39)-SUM(ExpectedResults!H17:H18))</f>
        <v>0.10087513801192891</v>
      </c>
    </row>
    <row r="20" spans="2:8" x14ac:dyDescent="0.25">
      <c r="B20" t="s">
        <v>57</v>
      </c>
      <c r="F20" s="3">
        <f>IF(E19&gt;7013071.953,E19-7013071.953,0)</f>
        <v>2610236.9851013552</v>
      </c>
      <c r="G20" s="4">
        <f>F20/SUM(F19:F20)</f>
        <v>0.27124110863433903</v>
      </c>
      <c r="H20" s="3">
        <f>G20*(SUM('F_CP-61786_R1_sorted_mar42020'!N38:N39)-SUM(ExpectedResults!H17:H18))</f>
        <v>3.7545317926376685E-2</v>
      </c>
    </row>
    <row r="23" spans="2:8" x14ac:dyDescent="0.25">
      <c r="B23" s="1" t="str">
        <f>"1961:"</f>
        <v>1961:</v>
      </c>
    </row>
    <row r="25" spans="2:8" x14ac:dyDescent="0.25">
      <c r="B25" s="2" t="s">
        <v>53</v>
      </c>
      <c r="C25" s="2" t="s">
        <v>55</v>
      </c>
      <c r="D25" s="2" t="s">
        <v>60</v>
      </c>
      <c r="E25" s="2" t="s">
        <v>56</v>
      </c>
      <c r="F25" s="2" t="s">
        <v>63</v>
      </c>
    </row>
    <row r="26" spans="2:8" x14ac:dyDescent="0.25">
      <c r="B26" t="s">
        <v>30</v>
      </c>
      <c r="D26">
        <f>'B-3_Pond_Fractions'!C22</f>
        <v>1</v>
      </c>
      <c r="E26" s="3">
        <f>'F_CP-61786_R1_sorted_mar42020'!F40*ExpectedResults!D26</f>
        <v>3437540</v>
      </c>
      <c r="F26" s="3">
        <f>D26*'F_CP-61786_R1_sorted_mar42020'!O40</f>
        <v>4.2464699999999996E-3</v>
      </c>
    </row>
    <row r="27" spans="2:8" x14ac:dyDescent="0.25">
      <c r="B27" t="s">
        <v>31</v>
      </c>
      <c r="C27">
        <f>'F_CP-61786_R1_sorted_mar42020'!F42/SUM('F_CP-61786_R1_sorted_mar42020'!F41:F42)</f>
        <v>0.2166355643116368</v>
      </c>
      <c r="D27">
        <f>Areas!C6/(Areas!C6+Areas!C10*ExpectedResults!C27)</f>
        <v>1.5404234407487854E-2</v>
      </c>
      <c r="E27" s="3">
        <f>'F_CP-61786_R1_sorted_mar42020'!F42*ExpectedResults!D27</f>
        <v>8704.070226544567</v>
      </c>
      <c r="F27" s="3">
        <f>D27*'F_CP-61786_R1_sorted_mar42020'!O42</f>
        <v>3.9191145094842452E-11</v>
      </c>
    </row>
    <row r="28" spans="2:8" x14ac:dyDescent="0.25">
      <c r="B28" t="s">
        <v>27</v>
      </c>
      <c r="C28">
        <f>'F_CP-61786_R1_sorted_mar42020'!F41/SUM('F_CP-61786_R1_sorted_mar42020'!F41:F42)</f>
        <v>0.78336443568836334</v>
      </c>
      <c r="D28">
        <f>Areas!C9/(Areas!C9+Areas!C10*ExpectedResults!C28)</f>
        <v>0.21229895319895176</v>
      </c>
      <c r="E28" s="3">
        <f>'F_CP-61786_R1_sorted_mar42020'!F41*ExpectedResults!D28</f>
        <v>433774.69848909078</v>
      </c>
      <c r="F28" s="3">
        <f>D28*'F_CP-61786_R1_sorted_mar42020'!O41</f>
        <v>2.0188095527788683E-5</v>
      </c>
    </row>
    <row r="29" spans="2:8" x14ac:dyDescent="0.25">
      <c r="B29" t="s">
        <v>24</v>
      </c>
      <c r="E29" s="3">
        <f>SUM('F_CP-61786_R1_sorted_mar42020'!F41:F42)-SUM(ExpectedResults!E27:E28)</f>
        <v>2165791.0312843644</v>
      </c>
      <c r="F29" s="3">
        <f>SUM('F_CP-61786_R1_sorted_mar42020'!O41:O42)-SUM(ExpectedResults!F27:F28)</f>
        <v>7.4907179461066213E-5</v>
      </c>
    </row>
    <row r="32" spans="2:8" x14ac:dyDescent="0.25">
      <c r="B32" s="1" t="str">
        <f>"1976:"</f>
        <v>1976:</v>
      </c>
    </row>
    <row r="34" spans="2:6" x14ac:dyDescent="0.25">
      <c r="B34" s="2" t="s">
        <v>53</v>
      </c>
      <c r="C34" s="2" t="s">
        <v>55</v>
      </c>
      <c r="D34" s="2" t="s">
        <v>60</v>
      </c>
      <c r="E34" s="2" t="s">
        <v>56</v>
      </c>
      <c r="F34" s="2" t="s">
        <v>78</v>
      </c>
    </row>
    <row r="35" spans="2:6" x14ac:dyDescent="0.25">
      <c r="B35" t="s">
        <v>30</v>
      </c>
      <c r="D35">
        <f>'B-3_Pond_Fractions'!C37</f>
        <v>1</v>
      </c>
      <c r="E35" s="3">
        <f>D35*'F_CP-61786_R1_sorted_mar42020'!F43</f>
        <v>3421000</v>
      </c>
      <c r="F35" s="3">
        <f>D35*'Appendix_B_of_CP-64710_07242020'!J43</f>
        <v>0.22406400000000001</v>
      </c>
    </row>
    <row r="36" spans="2:6" x14ac:dyDescent="0.25">
      <c r="B36" t="s">
        <v>32</v>
      </c>
      <c r="C36">
        <f>'F_CP-61786_R1_sorted_mar42020'!F45/SUM('F_CP-61786_R1_sorted_mar42020'!F44:F45)</f>
        <v>0.1193808419416228</v>
      </c>
      <c r="D36">
        <f>Areas!C7/(Areas!C7+Areas!C10*ExpectedResults!C36)</f>
        <v>2.7271555916327753E-2</v>
      </c>
      <c r="E36" s="3">
        <f>D36*'F_CP-61786_R1_sorted_mar42020'!F45</f>
        <v>20590.761048837194</v>
      </c>
      <c r="F36" s="3">
        <f>D36*'Appendix_B_of_CP-64710_07242020'!J45</f>
        <v>5.8008508442943278E-3</v>
      </c>
    </row>
    <row r="37" spans="2:6" x14ac:dyDescent="0.25">
      <c r="B37" t="s">
        <v>27</v>
      </c>
      <c r="C37">
        <f>'F_CP-61786_R1_sorted_mar42020'!F44/SUM('F_CP-61786_R1_sorted_mar42020'!F44:F45)</f>
        <v>0.8806191580583772</v>
      </c>
      <c r="D37">
        <f>Areas!C9/(Areas!C9+Areas!C10*ExpectedResults!C37)</f>
        <v>0.19338703324421883</v>
      </c>
      <c r="E37" s="3">
        <f>D37*'F_CP-61786_R1_sorted_mar42020'!F44</f>
        <v>1077068.5014925769</v>
      </c>
      <c r="F37" s="3">
        <f>D37*'Appendix_B_of_CP-64710_07242020'!J44</f>
        <v>2.2455013531321528E-2</v>
      </c>
    </row>
    <row r="38" spans="2:6" x14ac:dyDescent="0.25">
      <c r="B38" t="s">
        <v>24</v>
      </c>
      <c r="E38" s="3">
        <f>SUM('F_CP-61786_R1_sorted_mar42020'!F44:F45)-SUM(ExpectedResults!E36:E37)</f>
        <v>5226864.7374585858</v>
      </c>
      <c r="F38" s="3">
        <f>SUM('Appendix_B_of_CP-64710_07242020'!J44:J45)-SUM(ExpectedResults!F36:F37)</f>
        <v>0.30056550562438417</v>
      </c>
    </row>
    <row r="41" spans="2:6" x14ac:dyDescent="0.25">
      <c r="B41" s="1" t="str">
        <f>"1984:"</f>
        <v>1984:</v>
      </c>
    </row>
    <row r="42" spans="2:6" x14ac:dyDescent="0.25">
      <c r="C42" s="2" t="s">
        <v>60</v>
      </c>
      <c r="D42" s="2" t="s">
        <v>56</v>
      </c>
      <c r="E42" s="2" t="s">
        <v>64</v>
      </c>
    </row>
    <row r="43" spans="2:6" x14ac:dyDescent="0.25">
      <c r="B43" t="s">
        <v>30</v>
      </c>
      <c r="C43">
        <f>'B-3_Pond_Fractions'!C45</f>
        <v>0.82897405199999996</v>
      </c>
      <c r="D43" s="3">
        <f>C43*'F_CP-61786_R1_sorted_mar42020'!F46</f>
        <v>4410141.9566399995</v>
      </c>
      <c r="E43" s="3">
        <f>C43*'F_CP-61786_R1_sorted_mar42020'!J46</f>
        <v>0.49890642755947201</v>
      </c>
    </row>
    <row r="44" spans="2:6" x14ac:dyDescent="0.25">
      <c r="B44" t="s">
        <v>49</v>
      </c>
      <c r="C44">
        <f>'B-3_Pond_Fractions'!D45</f>
        <v>0.15040141300000001</v>
      </c>
      <c r="D44" s="3">
        <f>C44*'F_CP-61786_R1_sorted_mar42020'!F46</f>
        <v>800135.51716000005</v>
      </c>
      <c r="E44" s="3">
        <f>C44*'F_CP-61786_R1_sorted_mar42020'!J46</f>
        <v>9.0516984794268007E-2</v>
      </c>
    </row>
    <row r="45" spans="2:6" x14ac:dyDescent="0.25">
      <c r="B45" t="s">
        <v>50</v>
      </c>
      <c r="C45">
        <f>'B-3_Pond_Fractions'!E45</f>
        <v>2.0624534999999999E-2</v>
      </c>
      <c r="D45" s="3">
        <f>C45*'F_CP-61786_R1_sorted_mar42020'!F46</f>
        <v>109722.52619999999</v>
      </c>
      <c r="E45" s="3">
        <f>C45*'F_CP-61786_R1_sorted_mar42020'!J46</f>
        <v>1.241258764626E-2</v>
      </c>
    </row>
    <row r="46" spans="2:6" x14ac:dyDescent="0.25">
      <c r="B46" t="s">
        <v>27</v>
      </c>
      <c r="C46">
        <f>Areas!C9/(Areas!C9+Areas!C10)</f>
        <v>0.17432491459470645</v>
      </c>
      <c r="D46" s="3">
        <f>C46*'F_CP-61786_R1_sorted_mar42020'!F47</f>
        <v>64431.168301370424</v>
      </c>
      <c r="E46" s="3">
        <f>C46*'F_CP-61786_R1_sorted_mar42020'!J47</f>
        <v>1.4037724680885397</v>
      </c>
    </row>
    <row r="47" spans="2:6" x14ac:dyDescent="0.25">
      <c r="B47" t="s">
        <v>24</v>
      </c>
      <c r="D47" s="3">
        <f>'F_CP-61786_R1_sorted_mar42020'!F47-ExpectedResults!D46</f>
        <v>305172.73169862962</v>
      </c>
      <c r="E47" s="3">
        <f>'F_CP-61786_R1_sorted_mar42020'!J47-ExpectedResults!E46</f>
        <v>6.6488485319114607</v>
      </c>
    </row>
    <row r="50" spans="2:5" x14ac:dyDescent="0.25">
      <c r="B50" s="1" t="str">
        <f>"1994:"</f>
        <v>1994:</v>
      </c>
    </row>
    <row r="51" spans="2:5" x14ac:dyDescent="0.25">
      <c r="C51" s="2" t="s">
        <v>60</v>
      </c>
      <c r="D51" s="2" t="s">
        <v>56</v>
      </c>
      <c r="E51" s="2" t="s">
        <v>79</v>
      </c>
    </row>
    <row r="52" spans="2:5" x14ac:dyDescent="0.25">
      <c r="B52" t="s">
        <v>30</v>
      </c>
      <c r="C52">
        <f>'B-3_Pond_Fractions'!C55</f>
        <v>0.23409584</v>
      </c>
      <c r="D52" s="3">
        <f>C52*'F_CP-61786_R1_sorted_mar42020'!F48</f>
        <v>1609174.8041600001</v>
      </c>
      <c r="E52" s="3">
        <f>C52*'Appendix_B_of_CP-64710_07242020'!I48</f>
        <v>842.53433774400003</v>
      </c>
    </row>
    <row r="53" spans="2:5" x14ac:dyDescent="0.25">
      <c r="B53" t="s">
        <v>49</v>
      </c>
      <c r="C53">
        <f>'B-3_Pond_Fractions'!D55</f>
        <v>7.1036022000000004E-2</v>
      </c>
      <c r="D53" s="3">
        <f>C53*'F_CP-61786_R1_sorted_mar42020'!F48</f>
        <v>488301.61522800004</v>
      </c>
      <c r="E53" s="3">
        <f>C53*'Appendix_B_of_CP-64710_07242020'!I48</f>
        <v>255.66574678020001</v>
      </c>
    </row>
    <row r="54" spans="2:5" x14ac:dyDescent="0.25">
      <c r="B54" t="s">
        <v>51</v>
      </c>
      <c r="C54">
        <f>'B-3_Pond_Fractions'!F55</f>
        <v>0.69486813800000002</v>
      </c>
      <c r="D54" s="3">
        <f>C54*'F_CP-61786_R1_sorted_mar42020'!F48</f>
        <v>4776523.5806120001</v>
      </c>
      <c r="E54" s="3">
        <f>C54*'Appendix_B_of_CP-64710_07242020'!I48</f>
        <v>2500.8999154757998</v>
      </c>
    </row>
    <row r="55" spans="2:5" x14ac:dyDescent="0.25">
      <c r="B55" t="s">
        <v>80</v>
      </c>
      <c r="D55" s="3">
        <f>'F_CP-61786_R1_sorted_mar42020'!F49</f>
        <v>110032.79</v>
      </c>
      <c r="E55" s="3">
        <f>'Appendix_B_of_CP-64710_07242020'!I49</f>
        <v>29117.96</v>
      </c>
    </row>
    <row r="58" spans="2:5" x14ac:dyDescent="0.25">
      <c r="B58" s="1" t="str">
        <f>"1996:"</f>
        <v>1996:</v>
      </c>
    </row>
    <row r="59" spans="2:5" x14ac:dyDescent="0.25">
      <c r="C59" s="2" t="s">
        <v>56</v>
      </c>
      <c r="D59" s="2" t="s">
        <v>65</v>
      </c>
    </row>
    <row r="60" spans="2:5" x14ac:dyDescent="0.25">
      <c r="B60" t="s">
        <v>51</v>
      </c>
      <c r="C60" s="3">
        <f>'F_CP-61786_R1_sorted_mar42020'!F50</f>
        <v>5469400</v>
      </c>
      <c r="D60" s="3">
        <f>'F_CP-61786_R1_sorted_mar42020'!K50</f>
        <v>1.34075E-6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F_CP-61786_R1_sorted_mar42020</vt:lpstr>
      <vt:lpstr>Appendix_B_of_CP-64710_07242020</vt:lpstr>
      <vt:lpstr>B-3_Pond_Fractions</vt:lpstr>
      <vt:lpstr>Areas</vt:lpstr>
      <vt:lpstr>ExpectedResults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McDonald</dc:creator>
  <cp:lastModifiedBy>John McDonald</cp:lastModifiedBy>
  <dcterms:created xsi:type="dcterms:W3CDTF">2020-03-31T17:43:04Z</dcterms:created>
  <dcterms:modified xsi:type="dcterms:W3CDTF">2020-08-11T16:07:49Z</dcterms:modified>
</cp:coreProperties>
</file>