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4-4\dgf-tools\cie-reroute-TPond\formal_testing\"/>
    </mc:Choice>
  </mc:AlternateContent>
  <xr:revisionPtr revIDLastSave="0" documentId="13_ncr:1_{6E77E480-03C7-4E1C-99CD-A7F98C508A3C}" xr6:coauthVersionLast="45" xr6:coauthVersionMax="45" xr10:uidLastSave="{00000000-0000-0000-0000-000000000000}"/>
  <bookViews>
    <workbookView xWindow="3900" yWindow="825" windowWidth="23865" windowHeight="13590" tabRatio="731" activeTab="4" xr2:uid="{25F5A339-4254-49A5-8B39-9E7F80CD7F28}"/>
  </bookViews>
  <sheets>
    <sheet name="F_CP-61786_R1_sorted_mar42020" sheetId="1" r:id="rId1"/>
    <sheet name="Appendix_B_of_CP-64710_07242020" sheetId="5" r:id="rId2"/>
    <sheet name="B-3_T-4_Pond_Fractions" sheetId="2" r:id="rId3"/>
    <sheet name="Areas" sheetId="3" r:id="rId4"/>
    <sheet name="ExpectedResul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5" i="4" l="1"/>
  <c r="D56" i="4"/>
  <c r="E56" i="4" s="1"/>
  <c r="D55" i="4"/>
  <c r="F55" i="4" s="1"/>
  <c r="B15" i="4"/>
  <c r="D80" i="4"/>
  <c r="C80" i="4"/>
  <c r="E74" i="4"/>
  <c r="D74" i="4"/>
  <c r="C53" i="4"/>
  <c r="C52" i="4"/>
  <c r="D45" i="4"/>
  <c r="F45" i="4" s="1"/>
  <c r="D44" i="4"/>
  <c r="F44" i="4" s="1"/>
  <c r="D43" i="4"/>
  <c r="E43" i="4" s="1"/>
  <c r="F56" i="4" l="1"/>
  <c r="E45" i="4"/>
  <c r="E44" i="4"/>
  <c r="F43" i="4"/>
  <c r="C41" i="4"/>
  <c r="D41" i="4" s="1"/>
  <c r="C40" i="4"/>
  <c r="D40" i="4" s="1"/>
  <c r="D39" i="4"/>
  <c r="F39" i="4" s="1"/>
  <c r="C32" i="4"/>
  <c r="C31" i="4"/>
  <c r="D24" i="4"/>
  <c r="D23" i="4"/>
  <c r="D18" i="4"/>
  <c r="K85" i="5"/>
  <c r="J85" i="5"/>
  <c r="I85" i="5"/>
  <c r="H85" i="5"/>
  <c r="G85" i="5"/>
  <c r="F85" i="5"/>
  <c r="E85" i="5"/>
  <c r="D85" i="5"/>
  <c r="C85" i="5"/>
  <c r="B85" i="5"/>
  <c r="K84" i="5"/>
  <c r="J84" i="5"/>
  <c r="I84" i="5"/>
  <c r="H84" i="5"/>
  <c r="G84" i="5"/>
  <c r="F84" i="5"/>
  <c r="E84" i="5"/>
  <c r="D84" i="5"/>
  <c r="C84" i="5"/>
  <c r="B84" i="5"/>
  <c r="K83" i="5"/>
  <c r="J83" i="5"/>
  <c r="I83" i="5"/>
  <c r="H83" i="5"/>
  <c r="G83" i="5"/>
  <c r="F83" i="5"/>
  <c r="E83" i="5"/>
  <c r="D83" i="5"/>
  <c r="C83" i="5"/>
  <c r="B83" i="5"/>
  <c r="K82" i="5"/>
  <c r="J82" i="5"/>
  <c r="I82" i="5"/>
  <c r="H82" i="5"/>
  <c r="G82" i="5"/>
  <c r="F82" i="5"/>
  <c r="E82" i="5"/>
  <c r="D82" i="5"/>
  <c r="C82" i="5"/>
  <c r="B82" i="5"/>
  <c r="K81" i="5"/>
  <c r="J81" i="5"/>
  <c r="I81" i="5"/>
  <c r="H81" i="5"/>
  <c r="G81" i="5"/>
  <c r="F81" i="5"/>
  <c r="E81" i="5"/>
  <c r="D81" i="5"/>
  <c r="C81" i="5"/>
  <c r="B81" i="5"/>
  <c r="K80" i="5"/>
  <c r="J80" i="5"/>
  <c r="I80" i="5"/>
  <c r="H80" i="5"/>
  <c r="G80" i="5"/>
  <c r="F80" i="5"/>
  <c r="E80" i="5"/>
  <c r="D80" i="5"/>
  <c r="C80" i="5"/>
  <c r="B80" i="5"/>
  <c r="K79" i="5"/>
  <c r="J79" i="5"/>
  <c r="I79" i="5"/>
  <c r="H79" i="5"/>
  <c r="G79" i="5"/>
  <c r="F79" i="5"/>
  <c r="E79" i="5"/>
  <c r="D79" i="5"/>
  <c r="C79" i="5"/>
  <c r="B79" i="5"/>
  <c r="K78" i="5"/>
  <c r="J78" i="5"/>
  <c r="I78" i="5"/>
  <c r="H78" i="5"/>
  <c r="G78" i="5"/>
  <c r="F78" i="5"/>
  <c r="E78" i="5"/>
  <c r="D78" i="5"/>
  <c r="C78" i="5"/>
  <c r="B78" i="5"/>
  <c r="K77" i="5"/>
  <c r="J77" i="5"/>
  <c r="I77" i="5"/>
  <c r="H77" i="5"/>
  <c r="G77" i="5"/>
  <c r="F77" i="5"/>
  <c r="E77" i="5"/>
  <c r="D77" i="5"/>
  <c r="C77" i="5"/>
  <c r="B77" i="5"/>
  <c r="K76" i="5"/>
  <c r="J76" i="5"/>
  <c r="I76" i="5"/>
  <c r="H76" i="5"/>
  <c r="G76" i="5"/>
  <c r="F76" i="5"/>
  <c r="E76" i="5"/>
  <c r="D76" i="5"/>
  <c r="C76" i="5"/>
  <c r="B76" i="5"/>
  <c r="K75" i="5"/>
  <c r="J75" i="5"/>
  <c r="I75" i="5"/>
  <c r="H75" i="5"/>
  <c r="G75" i="5"/>
  <c r="F75" i="5"/>
  <c r="E75" i="5"/>
  <c r="D75" i="5"/>
  <c r="C75" i="5"/>
  <c r="B75" i="5"/>
  <c r="K74" i="5"/>
  <c r="J74" i="5"/>
  <c r="I74" i="5"/>
  <c r="H74" i="5"/>
  <c r="G74" i="5"/>
  <c r="F74" i="5"/>
  <c r="E74" i="5"/>
  <c r="D74" i="5"/>
  <c r="C74" i="5"/>
  <c r="B74" i="5"/>
  <c r="K73" i="5"/>
  <c r="J73" i="5"/>
  <c r="I73" i="5"/>
  <c r="H73" i="5"/>
  <c r="G73" i="5"/>
  <c r="F73" i="5"/>
  <c r="E73" i="5"/>
  <c r="D73" i="5"/>
  <c r="C73" i="5"/>
  <c r="B73" i="5"/>
  <c r="K72" i="5"/>
  <c r="J72" i="5"/>
  <c r="I72" i="5"/>
  <c r="H72" i="5"/>
  <c r="G72" i="5"/>
  <c r="F72" i="5"/>
  <c r="E72" i="5"/>
  <c r="D72" i="5"/>
  <c r="C72" i="5"/>
  <c r="B72" i="5"/>
  <c r="K71" i="5"/>
  <c r="J71" i="5"/>
  <c r="I71" i="5"/>
  <c r="H71" i="5"/>
  <c r="G71" i="5"/>
  <c r="F71" i="5"/>
  <c r="E71" i="5"/>
  <c r="D71" i="5"/>
  <c r="C71" i="5"/>
  <c r="B71" i="5"/>
  <c r="K70" i="5"/>
  <c r="J70" i="5"/>
  <c r="I70" i="5"/>
  <c r="H70" i="5"/>
  <c r="G70" i="5"/>
  <c r="F70" i="5"/>
  <c r="E70" i="5"/>
  <c r="D70" i="5"/>
  <c r="C70" i="5"/>
  <c r="B70" i="5"/>
  <c r="K69" i="5"/>
  <c r="J69" i="5"/>
  <c r="I69" i="5"/>
  <c r="H69" i="5"/>
  <c r="G69" i="5"/>
  <c r="F69" i="5"/>
  <c r="E69" i="5"/>
  <c r="D69" i="5"/>
  <c r="C69" i="5"/>
  <c r="B69" i="5"/>
  <c r="K68" i="5"/>
  <c r="J68" i="5"/>
  <c r="I68" i="5"/>
  <c r="H68" i="5"/>
  <c r="G68" i="5"/>
  <c r="F68" i="5"/>
  <c r="E68" i="5"/>
  <c r="D68" i="5"/>
  <c r="C68" i="5"/>
  <c r="B68" i="5"/>
  <c r="K67" i="5"/>
  <c r="J67" i="5"/>
  <c r="I67" i="5"/>
  <c r="H67" i="5"/>
  <c r="G67" i="5"/>
  <c r="F67" i="5"/>
  <c r="E67" i="5"/>
  <c r="D67" i="5"/>
  <c r="C67" i="5"/>
  <c r="B67" i="5"/>
  <c r="K66" i="5"/>
  <c r="J66" i="5"/>
  <c r="I66" i="5"/>
  <c r="H66" i="5"/>
  <c r="G66" i="5"/>
  <c r="F66" i="5"/>
  <c r="E66" i="5"/>
  <c r="D66" i="5"/>
  <c r="C66" i="5"/>
  <c r="B66" i="5"/>
  <c r="K65" i="5"/>
  <c r="J65" i="5"/>
  <c r="I65" i="5"/>
  <c r="H65" i="5"/>
  <c r="G65" i="5"/>
  <c r="F65" i="5"/>
  <c r="E65" i="5"/>
  <c r="D65" i="5"/>
  <c r="C65" i="5"/>
  <c r="B65" i="5"/>
  <c r="K64" i="5"/>
  <c r="J64" i="5"/>
  <c r="I64" i="5"/>
  <c r="H64" i="5"/>
  <c r="G64" i="5"/>
  <c r="F64" i="5"/>
  <c r="E64" i="5"/>
  <c r="D64" i="5"/>
  <c r="C64" i="5"/>
  <c r="B64" i="5"/>
  <c r="K63" i="5"/>
  <c r="J63" i="5"/>
  <c r="I63" i="5"/>
  <c r="H63" i="5"/>
  <c r="G63" i="5"/>
  <c r="F63" i="5"/>
  <c r="E63" i="5"/>
  <c r="D63" i="5"/>
  <c r="C63" i="5"/>
  <c r="B63" i="5"/>
  <c r="K62" i="5"/>
  <c r="J62" i="5"/>
  <c r="I62" i="5"/>
  <c r="H62" i="5"/>
  <c r="G62" i="5"/>
  <c r="F62" i="5"/>
  <c r="E62" i="5"/>
  <c r="D62" i="5"/>
  <c r="C62" i="5"/>
  <c r="B62" i="5"/>
  <c r="K61" i="5"/>
  <c r="J61" i="5"/>
  <c r="I61" i="5"/>
  <c r="H61" i="5"/>
  <c r="G61" i="5"/>
  <c r="F61" i="5"/>
  <c r="E61" i="5"/>
  <c r="D61" i="5"/>
  <c r="C61" i="5"/>
  <c r="B61" i="5"/>
  <c r="K60" i="5"/>
  <c r="J60" i="5"/>
  <c r="I60" i="5"/>
  <c r="H60" i="5"/>
  <c r="G60" i="5"/>
  <c r="F60" i="5"/>
  <c r="E60" i="5"/>
  <c r="D60" i="5"/>
  <c r="C60" i="5"/>
  <c r="B60" i="5"/>
  <c r="K59" i="5"/>
  <c r="J59" i="5"/>
  <c r="I59" i="5"/>
  <c r="H59" i="5"/>
  <c r="G59" i="5"/>
  <c r="F59" i="5"/>
  <c r="E59" i="5"/>
  <c r="D59" i="5"/>
  <c r="C59" i="5"/>
  <c r="B59" i="5"/>
  <c r="K58" i="5"/>
  <c r="J58" i="5"/>
  <c r="I58" i="5"/>
  <c r="H58" i="5"/>
  <c r="G58" i="5"/>
  <c r="F58" i="5"/>
  <c r="E58" i="5"/>
  <c r="D58" i="5"/>
  <c r="C58" i="5"/>
  <c r="B58" i="5"/>
  <c r="K57" i="5"/>
  <c r="J57" i="5"/>
  <c r="I57" i="5"/>
  <c r="H57" i="5"/>
  <c r="G57" i="5"/>
  <c r="F57" i="5"/>
  <c r="E57" i="5"/>
  <c r="D57" i="5"/>
  <c r="C57" i="5"/>
  <c r="B57" i="5"/>
  <c r="K56" i="5"/>
  <c r="J56" i="5"/>
  <c r="I56" i="5"/>
  <c r="H56" i="5"/>
  <c r="G56" i="5"/>
  <c r="F56" i="5"/>
  <c r="E56" i="5"/>
  <c r="D56" i="5"/>
  <c r="C56" i="5"/>
  <c r="B56" i="5"/>
  <c r="K55" i="5"/>
  <c r="J55" i="5"/>
  <c r="I55" i="5"/>
  <c r="H55" i="5"/>
  <c r="G55" i="5"/>
  <c r="F55" i="5"/>
  <c r="E55" i="5"/>
  <c r="D55" i="5"/>
  <c r="C55" i="5"/>
  <c r="B55" i="5"/>
  <c r="K54" i="5"/>
  <c r="J54" i="5"/>
  <c r="I54" i="5"/>
  <c r="H54" i="5"/>
  <c r="G54" i="5"/>
  <c r="F54" i="5"/>
  <c r="E54" i="5"/>
  <c r="D54" i="5"/>
  <c r="C54" i="5"/>
  <c r="B54" i="5"/>
  <c r="K53" i="5"/>
  <c r="J53" i="5"/>
  <c r="I53" i="5"/>
  <c r="H53" i="5"/>
  <c r="G53" i="5"/>
  <c r="F53" i="5"/>
  <c r="E53" i="5"/>
  <c r="D53" i="5"/>
  <c r="C53" i="5"/>
  <c r="B53" i="5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F80" i="1"/>
  <c r="G80" i="1"/>
  <c r="E80" i="1"/>
  <c r="D80" i="1"/>
  <c r="C80" i="1"/>
  <c r="B80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F76" i="1"/>
  <c r="G76" i="1"/>
  <c r="E76" i="1"/>
  <c r="D76" i="1"/>
  <c r="C76" i="1"/>
  <c r="B76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F71" i="1"/>
  <c r="G71" i="1"/>
  <c r="E71" i="1"/>
  <c r="D71" i="1"/>
  <c r="C71" i="1"/>
  <c r="B71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F66" i="1"/>
  <c r="G66" i="1"/>
  <c r="E66" i="1"/>
  <c r="D66" i="1"/>
  <c r="C66" i="1"/>
  <c r="B66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E40" i="4" l="1"/>
  <c r="E42" i="4" s="1"/>
  <c r="F40" i="4"/>
  <c r="F41" i="4"/>
  <c r="E41" i="4"/>
  <c r="E39" i="4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F52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C75" i="4"/>
  <c r="C66" i="4"/>
  <c r="B37" i="4"/>
  <c r="D34" i="4"/>
  <c r="D12" i="4"/>
  <c r="D11" i="4"/>
  <c r="E34" i="4" l="1"/>
  <c r="F34" i="4"/>
  <c r="E12" i="4"/>
  <c r="F12" i="4"/>
  <c r="D66" i="4"/>
  <c r="E66" i="4"/>
  <c r="E75" i="4"/>
  <c r="D75" i="4"/>
  <c r="F11" i="4"/>
  <c r="E11" i="4"/>
  <c r="F42" i="4"/>
  <c r="C20" i="4"/>
  <c r="F24" i="4"/>
  <c r="F23" i="4"/>
  <c r="H24" i="4"/>
  <c r="H23" i="4"/>
  <c r="C19" i="4"/>
  <c r="K52" i="5"/>
  <c r="J52" i="5"/>
  <c r="I52" i="5"/>
  <c r="H52" i="5"/>
  <c r="G52" i="5"/>
  <c r="F52" i="5"/>
  <c r="E52" i="5"/>
  <c r="D52" i="5"/>
  <c r="C52" i="5"/>
  <c r="B52" i="5"/>
  <c r="B78" i="4" l="1"/>
  <c r="C73" i="4"/>
  <c r="C72" i="4"/>
  <c r="C71" i="4"/>
  <c r="B69" i="4"/>
  <c r="C64" i="4"/>
  <c r="C63" i="4"/>
  <c r="C62" i="4"/>
  <c r="C61" i="4"/>
  <c r="B59" i="4"/>
  <c r="D51" i="4"/>
  <c r="B48" i="4"/>
  <c r="D30" i="4"/>
  <c r="B27" i="4"/>
  <c r="B5" i="4"/>
  <c r="A1" i="4"/>
  <c r="D61" i="4" l="1"/>
  <c r="E61" i="4"/>
  <c r="E63" i="4"/>
  <c r="D63" i="4"/>
  <c r="E62" i="4"/>
  <c r="D62" i="4"/>
  <c r="E64" i="4"/>
  <c r="E65" i="4" s="1"/>
  <c r="D64" i="4"/>
  <c r="D65" i="4" s="1"/>
  <c r="F30" i="4"/>
  <c r="E30" i="4"/>
  <c r="E71" i="4"/>
  <c r="D71" i="4"/>
  <c r="E51" i="4"/>
  <c r="F51" i="4"/>
  <c r="E72" i="4"/>
  <c r="D72" i="4"/>
  <c r="D73" i="4"/>
  <c r="E73" i="4"/>
  <c r="A1" i="3"/>
  <c r="H18" i="4"/>
  <c r="F18" i="4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G52" i="1"/>
  <c r="E52" i="1"/>
  <c r="D52" i="1"/>
  <c r="C52" i="1"/>
  <c r="B52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1" i="2"/>
  <c r="D31" i="4" l="1"/>
  <c r="D52" i="4"/>
  <c r="D32" i="4"/>
  <c r="D53" i="4"/>
  <c r="D19" i="4"/>
  <c r="D20" i="4"/>
  <c r="C9" i="4"/>
  <c r="D9" i="4" s="1"/>
  <c r="F9" i="4" s="1"/>
  <c r="C8" i="4"/>
  <c r="D8" i="4" s="1"/>
  <c r="F8" i="4" s="1"/>
  <c r="F10" i="4" s="1"/>
  <c r="F53" i="4" l="1"/>
  <c r="E53" i="4"/>
  <c r="F32" i="4"/>
  <c r="E32" i="4"/>
  <c r="E52" i="4"/>
  <c r="E54" i="4" s="1"/>
  <c r="F52" i="4"/>
  <c r="F54" i="4" s="1"/>
  <c r="F31" i="4"/>
  <c r="F33" i="4" s="1"/>
  <c r="E31" i="4"/>
  <c r="E33" i="4" s="1"/>
  <c r="H20" i="4"/>
  <c r="F20" i="4"/>
  <c r="H19" i="4"/>
  <c r="F19" i="4"/>
  <c r="E21" i="4" s="1"/>
  <c r="E8" i="4"/>
  <c r="E9" i="4"/>
  <c r="F21" i="4" l="1"/>
  <c r="E10" i="4"/>
  <c r="F22" i="4" l="1"/>
  <c r="G21" i="4" s="1"/>
  <c r="H21" i="4" s="1"/>
  <c r="G22" i="4" l="1"/>
  <c r="H22" i="4" s="1"/>
</calcChain>
</file>

<file path=xl/sharedStrings.xml><?xml version="1.0" encoding="utf-8"?>
<sst xmlns="http://schemas.openxmlformats.org/spreadsheetml/2006/main" count="463" uniqueCount="99">
  <si>
    <t>Curies</t>
  </si>
  <si>
    <t>Inventory Module</t>
  </si>
  <si>
    <t>SIMV2 site name</t>
  </si>
  <si>
    <t>CA site name</t>
  </si>
  <si>
    <t>Source Type</t>
  </si>
  <si>
    <t>Volume [m3]</t>
  </si>
  <si>
    <t>Discharge/decay-corrected year</t>
  </si>
  <si>
    <t>C-14</t>
  </si>
  <si>
    <t>Cl-36</t>
  </si>
  <si>
    <t>H-3</t>
  </si>
  <si>
    <t>I-129</t>
  </si>
  <si>
    <t>Np-237</t>
  </si>
  <si>
    <t>Re-187</t>
  </si>
  <si>
    <t>Sr-90</t>
  </si>
  <si>
    <t>Tc-99</t>
  </si>
  <si>
    <t>U-232</t>
  </si>
  <si>
    <t>U-233</t>
  </si>
  <si>
    <t>U-234</t>
  </si>
  <si>
    <t>U-235</t>
  </si>
  <si>
    <t>U-236</t>
  </si>
  <si>
    <t>U-238</t>
  </si>
  <si>
    <t>Th-230 (decay only)</t>
  </si>
  <si>
    <t>Ra-226 (decay only)</t>
  </si>
  <si>
    <t>CERCLA_OPU-200-CW-1</t>
  </si>
  <si>
    <t>216-U-10</t>
  </si>
  <si>
    <t>Liquid</t>
  </si>
  <si>
    <t>CERCLA_OPU-200-WA-1</t>
  </si>
  <si>
    <t>216-U-14</t>
  </si>
  <si>
    <t>CERCLA_OPU-200-CW-5</t>
  </si>
  <si>
    <t>216-Z-1D</t>
  </si>
  <si>
    <t>216-B-3</t>
  </si>
  <si>
    <t>216-Z-11</t>
  </si>
  <si>
    <t>216-Z-19</t>
  </si>
  <si>
    <t>Data from input file "F_CP-61786_R1_sorted_mar42020.csv"</t>
  </si>
  <si>
    <t>Full Records for Years in the Spot Check:</t>
  </si>
  <si>
    <t>Adjusted Records for Years in the Spot Check (U-10 and U-14 summed and assigned to U-14):</t>
  </si>
  <si>
    <t>Year</t>
  </si>
  <si>
    <t>B-3_frac</t>
  </si>
  <si>
    <t>B-3A_frac</t>
  </si>
  <si>
    <t>B-3B_frac</t>
  </si>
  <si>
    <t>B-3C_frac</t>
  </si>
  <si>
    <t>Source Reroute Code - Acceptance Testing (AT-1) Calculation of Expected Results</t>
  </si>
  <si>
    <t>Site Areas</t>
  </si>
  <si>
    <t>Pond/Ditch</t>
  </si>
  <si>
    <t>216-Z-1Dtot</t>
  </si>
  <si>
    <t>216-U-14tot</t>
  </si>
  <si>
    <t>216-Z-1Dsouth</t>
  </si>
  <si>
    <t>216-U-14south</t>
  </si>
  <si>
    <t>216-B-3A-RAD</t>
  </si>
  <si>
    <t>216-B-3B-RAD</t>
  </si>
  <si>
    <t>216-B-3C-RAD</t>
  </si>
  <si>
    <t>Area (m2) in Code</t>
  </si>
  <si>
    <t>Site</t>
  </si>
  <si>
    <t>216-Z-1D South</t>
  </si>
  <si>
    <t>Fraction of U-10</t>
  </si>
  <si>
    <t>Infiltration Vol (m3)</t>
  </si>
  <si>
    <t>216-U-11</t>
  </si>
  <si>
    <t>Expected Results (highlighted green)</t>
  </si>
  <si>
    <t>Vol. Reaching U-10 (m3)</t>
  </si>
  <si>
    <t>Infiltration Fraction</t>
  </si>
  <si>
    <t>Sr-90 (Ci)</t>
  </si>
  <si>
    <t>U-10/U-11 Fraction</t>
  </si>
  <si>
    <t>Tc-99 (Ci)</t>
  </si>
  <si>
    <t>H-3 (Ci)</t>
  </si>
  <si>
    <t>I-129 (Ci)</t>
  </si>
  <si>
    <t>Data from input file "Appendix_B_of_CP-64710_07242020.csv"</t>
  </si>
  <si>
    <t>SIMV2 Site Name</t>
  </si>
  <si>
    <t>CIE Site Name</t>
  </si>
  <si>
    <t>Volume Mean [m3]</t>
  </si>
  <si>
    <t>Cr [kg]</t>
  </si>
  <si>
    <t>NO3 [kg]</t>
  </si>
  <si>
    <t>U-Total [kg]</t>
  </si>
  <si>
    <t>CN [kg]</t>
  </si>
  <si>
    <t>OPU_200_CW_1</t>
  </si>
  <si>
    <t>OPU_200_WA_1</t>
  </si>
  <si>
    <t>OPU_200_CW_5</t>
  </si>
  <si>
    <t>Cr (kg)</t>
  </si>
  <si>
    <t>U-Total (kg)</t>
  </si>
  <si>
    <t>NO3 (kg)</t>
  </si>
  <si>
    <t>216-U-14 South</t>
  </si>
  <si>
    <t>216-T-4A</t>
  </si>
  <si>
    <t>216-T-4-1</t>
  </si>
  <si>
    <t>T-4A_frac</t>
  </si>
  <si>
    <t>T-4-1_frac</t>
  </si>
  <si>
    <t>T-4B_frac</t>
  </si>
  <si>
    <t>T-4-2_frac</t>
  </si>
  <si>
    <t>T-4-2_South_frac</t>
  </si>
  <si>
    <t>Input file "B-3_T-4_Pond_Fractions.csv"</t>
  </si>
  <si>
    <t>216-T-4B</t>
  </si>
  <si>
    <t>216-T-4-2</t>
  </si>
  <si>
    <t>216-T-4-2 South</t>
  </si>
  <si>
    <t>CERCLA_OPU-200-SW-2</t>
  </si>
  <si>
    <t>SIM-v2 entrained solids</t>
  </si>
  <si>
    <t>Solids</t>
  </si>
  <si>
    <t>OPU_200_SW_2</t>
  </si>
  <si>
    <t>SIMSolids</t>
  </si>
  <si>
    <t>Area (m2) for Ratios</t>
  </si>
  <si>
    <t>216-T-4-1D</t>
  </si>
  <si>
    <t>216-T-4-2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</si>
</sst>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2" borderId="0" xfId="0" applyNumberFormat="1" applyFill="1"/>
    <xf numFmtId="0" fontId="0" fillId="0" borderId="0" xfId="0" applyNumberFormat="1"/>
    <xf numFmtId="46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657A-E7D3-4A9A-B83C-26F94EDC7121}">
  <dimension ref="A1:W81"/>
  <sheetViews>
    <sheetView topLeftCell="A43" workbookViewId="0">
      <selection activeCell="B57" sqref="B57"/>
    </sheetView>
  </sheetViews>
  <sheetFormatPr defaultRowHeight="15" x14ac:dyDescent="0.25"/>
  <cols>
    <col min="1" max="1" width="4.7109375" customWidth="1"/>
    <col min="2" max="2" width="22.140625" bestFit="1" customWidth="1"/>
    <col min="3" max="3" width="15.85546875" bestFit="1" customWidth="1"/>
    <col min="4" max="4" width="12.5703125" bestFit="1" customWidth="1"/>
    <col min="5" max="5" width="11.7109375" bestFit="1" customWidth="1"/>
    <col min="6" max="6" width="12.5703125" bestFit="1" customWidth="1"/>
    <col min="7" max="7" width="29.7109375" bestFit="1" customWidth="1"/>
    <col min="22" max="23" width="18.42578125" bestFit="1" customWidth="1"/>
  </cols>
  <sheetData>
    <row r="1" spans="1:23" x14ac:dyDescent="0.25">
      <c r="A1" s="1" t="s">
        <v>41</v>
      </c>
    </row>
    <row r="2" spans="1:23" x14ac:dyDescent="0.25">
      <c r="A2" t="s">
        <v>33</v>
      </c>
    </row>
    <row r="4" spans="1:23" x14ac:dyDescent="0.25">
      <c r="F4" s="6"/>
    </row>
    <row r="5" spans="1:23" x14ac:dyDescent="0.25">
      <c r="B5" s="1" t="s">
        <v>34</v>
      </c>
    </row>
    <row r="6" spans="1:23" x14ac:dyDescent="0.25">
      <c r="H6" t="s">
        <v>0</v>
      </c>
    </row>
    <row r="7" spans="1:23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</row>
    <row r="8" spans="1:23" x14ac:dyDescent="0.25">
      <c r="B8" t="s">
        <v>91</v>
      </c>
      <c r="C8" t="s">
        <v>80</v>
      </c>
      <c r="D8" t="s">
        <v>80</v>
      </c>
      <c r="E8" t="s">
        <v>25</v>
      </c>
      <c r="F8">
        <v>172000</v>
      </c>
      <c r="G8">
        <v>1944</v>
      </c>
    </row>
    <row r="9" spans="1:23" x14ac:dyDescent="0.25">
      <c r="B9" t="s">
        <v>23</v>
      </c>
      <c r="C9" t="s">
        <v>24</v>
      </c>
      <c r="D9" t="s">
        <v>24</v>
      </c>
      <c r="E9" t="s">
        <v>25</v>
      </c>
      <c r="F9">
        <v>114357</v>
      </c>
      <c r="G9">
        <v>1944</v>
      </c>
      <c r="J9">
        <v>1.1244500000000001E-5</v>
      </c>
      <c r="K9">
        <v>5.5552900000000003E-4</v>
      </c>
      <c r="L9">
        <v>4.3237200000000003E-6</v>
      </c>
      <c r="N9">
        <v>8.08035E-3</v>
      </c>
      <c r="P9">
        <v>1.5848399999999999E-10</v>
      </c>
      <c r="R9">
        <v>1.03249E-5</v>
      </c>
      <c r="S9">
        <v>4.6585800000000001E-7</v>
      </c>
      <c r="T9">
        <v>8.7886100000000002E-8</v>
      </c>
      <c r="U9">
        <v>1.0503799999999999E-5</v>
      </c>
    </row>
    <row r="10" spans="1:23" x14ac:dyDescent="0.25">
      <c r="B10" t="s">
        <v>26</v>
      </c>
      <c r="C10" t="s">
        <v>27</v>
      </c>
      <c r="D10" t="s">
        <v>27</v>
      </c>
      <c r="E10" t="s">
        <v>25</v>
      </c>
      <c r="F10">
        <v>4405.6099999999997</v>
      </c>
      <c r="G10">
        <v>1944</v>
      </c>
      <c r="J10">
        <v>4.3319900000000001E-7</v>
      </c>
      <c r="K10">
        <v>2.1401899999999999E-5</v>
      </c>
      <c r="L10">
        <v>1.6657199999999999E-7</v>
      </c>
      <c r="N10">
        <v>3.1129699999999998E-4</v>
      </c>
      <c r="P10">
        <v>6.1056299999999997E-12</v>
      </c>
      <c r="R10">
        <v>3.9776999999999999E-7</v>
      </c>
      <c r="S10">
        <v>1.7947300000000001E-8</v>
      </c>
      <c r="T10">
        <v>3.3858300000000001E-9</v>
      </c>
      <c r="U10">
        <v>4.04661E-7</v>
      </c>
    </row>
    <row r="11" spans="1:23" x14ac:dyDescent="0.25">
      <c r="B11" t="s">
        <v>28</v>
      </c>
      <c r="C11" t="s">
        <v>29</v>
      </c>
      <c r="D11" t="s">
        <v>29</v>
      </c>
      <c r="E11" t="s">
        <v>25</v>
      </c>
      <c r="F11">
        <v>42825.8</v>
      </c>
      <c r="G11">
        <v>1944</v>
      </c>
      <c r="L11">
        <v>1.32137E-5</v>
      </c>
      <c r="N11">
        <v>3.4529000000000001E-5</v>
      </c>
      <c r="O11">
        <v>1.7281E-10</v>
      </c>
      <c r="P11">
        <v>2.2721300000000001E-15</v>
      </c>
      <c r="U11">
        <v>8.4674300000000004E-11</v>
      </c>
    </row>
    <row r="12" spans="1:23" x14ac:dyDescent="0.25">
      <c r="B12" t="s">
        <v>23</v>
      </c>
      <c r="C12" t="s">
        <v>30</v>
      </c>
      <c r="D12" t="s">
        <v>30</v>
      </c>
      <c r="E12" t="s">
        <v>25</v>
      </c>
      <c r="F12" s="6">
        <v>1430000</v>
      </c>
      <c r="G12">
        <v>1955</v>
      </c>
      <c r="H12" s="6">
        <v>3.1370399999999998E-3</v>
      </c>
      <c r="J12" s="6">
        <v>0.67091699999999999</v>
      </c>
      <c r="K12" s="6">
        <v>2.6074100000000002E-5</v>
      </c>
      <c r="L12" s="6">
        <v>3.8322600000000002E-4</v>
      </c>
      <c r="N12" s="6">
        <v>1.6979600000000001E-2</v>
      </c>
      <c r="O12" s="6">
        <v>5.4189699999999995E-4</v>
      </c>
      <c r="P12" s="6">
        <v>7.9666500000000002E-7</v>
      </c>
      <c r="Q12" s="6">
        <v>3.9010399999999998E-6</v>
      </c>
      <c r="R12" s="6">
        <v>7.30307E-3</v>
      </c>
      <c r="S12" s="6">
        <v>3.1242599999999998E-4</v>
      </c>
      <c r="T12" s="6">
        <v>1.61161E-4</v>
      </c>
      <c r="U12" s="6">
        <v>7.4876400000000003E-3</v>
      </c>
    </row>
    <row r="13" spans="1:23" x14ac:dyDescent="0.25">
      <c r="B13" t="s">
        <v>91</v>
      </c>
      <c r="C13" t="s">
        <v>80</v>
      </c>
      <c r="D13" t="s">
        <v>80</v>
      </c>
      <c r="E13" t="s">
        <v>25</v>
      </c>
      <c r="F13" s="6">
        <v>3860000</v>
      </c>
      <c r="G13">
        <v>1955</v>
      </c>
      <c r="J13" s="6"/>
      <c r="O13" s="6"/>
      <c r="P13" s="6"/>
      <c r="Q13" s="6"/>
      <c r="R13" s="6"/>
      <c r="S13" s="6"/>
      <c r="T13" s="6"/>
      <c r="U13" s="6"/>
    </row>
    <row r="14" spans="1:23" x14ac:dyDescent="0.25">
      <c r="B14" t="s">
        <v>23</v>
      </c>
      <c r="C14" t="s">
        <v>24</v>
      </c>
      <c r="D14" t="s">
        <v>24</v>
      </c>
      <c r="E14" t="s">
        <v>25</v>
      </c>
      <c r="F14" s="6">
        <v>8819940</v>
      </c>
      <c r="G14">
        <v>1955</v>
      </c>
      <c r="H14" s="6">
        <v>2.2190000000000001E-2</v>
      </c>
      <c r="J14" s="6">
        <v>312.995</v>
      </c>
      <c r="K14" s="6">
        <v>1.5044500000000001E-2</v>
      </c>
      <c r="L14" s="6">
        <v>4.1741499999999997E-3</v>
      </c>
      <c r="N14" s="6">
        <v>0.16838</v>
      </c>
      <c r="P14" s="6">
        <v>8.3173000000000008E-6</v>
      </c>
      <c r="Q14" s="6">
        <v>3.6385499999999999E-5</v>
      </c>
      <c r="R14" s="6">
        <v>7.7446100000000004E-2</v>
      </c>
      <c r="S14" s="6">
        <v>3.3134599999999998E-3</v>
      </c>
      <c r="T14" s="6">
        <v>1.7072400000000001E-3</v>
      </c>
      <c r="U14" s="6">
        <v>7.9403000000000001E-2</v>
      </c>
    </row>
    <row r="15" spans="1:23" x14ac:dyDescent="0.25">
      <c r="B15" t="s">
        <v>26</v>
      </c>
      <c r="C15" t="s">
        <v>27</v>
      </c>
      <c r="D15" t="s">
        <v>27</v>
      </c>
      <c r="E15" t="s">
        <v>25</v>
      </c>
      <c r="F15" s="6">
        <v>339790</v>
      </c>
      <c r="G15">
        <v>1955</v>
      </c>
      <c r="H15" s="6">
        <v>8.5487599999999996E-4</v>
      </c>
      <c r="J15" s="6">
        <v>12.058199999999999</v>
      </c>
      <c r="K15" s="6">
        <v>5.7959299999999999E-4</v>
      </c>
      <c r="L15" s="6">
        <v>1.6081E-4</v>
      </c>
      <c r="N15" s="6">
        <v>6.4868599999999997E-3</v>
      </c>
      <c r="P15" s="6">
        <v>3.2042600000000001E-7</v>
      </c>
      <c r="Q15" s="6">
        <v>1.40176E-6</v>
      </c>
      <c r="R15" s="6">
        <v>2.9836300000000001E-3</v>
      </c>
      <c r="S15" s="6">
        <v>1.2765199999999999E-4</v>
      </c>
      <c r="T15" s="6">
        <v>6.57719E-5</v>
      </c>
      <c r="U15" s="6">
        <v>3.05902E-3</v>
      </c>
    </row>
    <row r="16" spans="1:23" x14ac:dyDescent="0.25">
      <c r="B16" t="s">
        <v>28</v>
      </c>
      <c r="C16" t="s">
        <v>29</v>
      </c>
      <c r="D16" t="s">
        <v>29</v>
      </c>
      <c r="E16" t="s">
        <v>25</v>
      </c>
      <c r="F16" s="6">
        <v>2530660</v>
      </c>
      <c r="G16">
        <v>1955</v>
      </c>
      <c r="L16" s="6">
        <v>2.1671099999999999E-4</v>
      </c>
      <c r="N16" s="6">
        <v>7.0585000000000005E-4</v>
      </c>
      <c r="O16" s="6">
        <v>4.59459E-9</v>
      </c>
      <c r="P16" s="6">
        <v>6.0081200000000005E-8</v>
      </c>
      <c r="R16" s="6">
        <v>2.38137E-4</v>
      </c>
      <c r="S16" s="6">
        <v>9.9717600000000006E-6</v>
      </c>
      <c r="T16" s="6">
        <v>8.4423099999999995E-6</v>
      </c>
      <c r="U16" s="6">
        <v>2.02318E-4</v>
      </c>
    </row>
    <row r="17" spans="2:21" x14ac:dyDescent="0.25">
      <c r="B17" t="s">
        <v>23</v>
      </c>
      <c r="C17" t="s">
        <v>30</v>
      </c>
      <c r="D17" t="s">
        <v>30</v>
      </c>
      <c r="E17" t="s">
        <v>25</v>
      </c>
      <c r="F17">
        <v>3437540</v>
      </c>
      <c r="G17">
        <v>1961</v>
      </c>
      <c r="H17">
        <v>4.1377499999999999E-3</v>
      </c>
      <c r="J17">
        <v>10.1051</v>
      </c>
      <c r="K17">
        <v>5.8361400000000002E-6</v>
      </c>
      <c r="L17">
        <v>7.5100999999999998E-5</v>
      </c>
      <c r="N17">
        <v>1.2676E-3</v>
      </c>
      <c r="O17">
        <v>4.2464699999999996E-3</v>
      </c>
      <c r="P17">
        <v>4.0997099999999999E-7</v>
      </c>
      <c r="Q17">
        <v>9.29471E-7</v>
      </c>
      <c r="R17">
        <v>1.27779E-2</v>
      </c>
      <c r="S17">
        <v>5.6287100000000005E-4</v>
      </c>
      <c r="T17">
        <v>1.86634E-4</v>
      </c>
      <c r="U17">
        <v>1.30101E-2</v>
      </c>
    </row>
    <row r="18" spans="2:21" x14ac:dyDescent="0.25">
      <c r="B18" t="s">
        <v>91</v>
      </c>
      <c r="C18" t="s">
        <v>80</v>
      </c>
      <c r="D18" t="s">
        <v>80</v>
      </c>
      <c r="E18" t="s">
        <v>25</v>
      </c>
      <c r="F18" s="6">
        <v>966020</v>
      </c>
      <c r="G18">
        <v>1961</v>
      </c>
      <c r="H18" s="6">
        <v>2.2274000000000001E-5</v>
      </c>
      <c r="J18" s="6">
        <v>1.0290799999999999E-2</v>
      </c>
      <c r="K18" s="6">
        <v>1.2203400000000001E-5</v>
      </c>
      <c r="L18" s="6">
        <v>2.9152800000000001E-6</v>
      </c>
      <c r="N18" s="6">
        <v>0.325517</v>
      </c>
      <c r="O18" s="6">
        <v>4.7313200000000002E-4</v>
      </c>
      <c r="P18" s="6">
        <v>2.9265299999999999E-10</v>
      </c>
      <c r="R18" s="6">
        <v>1.5724699999999999E-5</v>
      </c>
      <c r="S18" s="6">
        <v>7.0176700000000004E-7</v>
      </c>
      <c r="T18" s="6">
        <v>1.7996600000000001E-7</v>
      </c>
      <c r="U18" s="6">
        <v>1.6026299999999999E-5</v>
      </c>
    </row>
    <row r="19" spans="2:21" x14ac:dyDescent="0.25">
      <c r="B19" t="s">
        <v>92</v>
      </c>
      <c r="C19" t="s">
        <v>80</v>
      </c>
      <c r="D19" t="s">
        <v>80</v>
      </c>
      <c r="E19" t="s">
        <v>93</v>
      </c>
      <c r="G19">
        <v>1961</v>
      </c>
      <c r="H19" s="6">
        <v>4.7015500000000002E-10</v>
      </c>
      <c r="J19" s="6">
        <v>4.36806E-7</v>
      </c>
      <c r="L19" s="6">
        <v>1.3210700000000001E-11</v>
      </c>
      <c r="N19" s="6">
        <v>6.1777499999999996E-5</v>
      </c>
      <c r="O19" s="6">
        <v>8.3412700000000001E-9</v>
      </c>
      <c r="P19" s="6">
        <v>1.1411899999999999E-6</v>
      </c>
      <c r="Q19" s="6">
        <v>4.5674399999999998E-5</v>
      </c>
      <c r="R19" s="6">
        <v>3.3152399999999999E-6</v>
      </c>
      <c r="S19" s="6">
        <v>1.27943E-7</v>
      </c>
      <c r="T19" s="6">
        <v>1.4542099999999999E-7</v>
      </c>
      <c r="U19" s="6">
        <v>2.2328399999999999E-6</v>
      </c>
    </row>
    <row r="20" spans="2:21" x14ac:dyDescent="0.25">
      <c r="B20" t="s">
        <v>23</v>
      </c>
      <c r="C20" t="s">
        <v>24</v>
      </c>
      <c r="D20" t="s">
        <v>24</v>
      </c>
      <c r="E20" t="s">
        <v>25</v>
      </c>
      <c r="F20">
        <v>1967430</v>
      </c>
      <c r="G20">
        <v>1961</v>
      </c>
      <c r="H20">
        <v>4.7347700000000001E-3</v>
      </c>
      <c r="J20">
        <v>14.837300000000001</v>
      </c>
      <c r="K20">
        <v>3.3498400000000002E-3</v>
      </c>
      <c r="L20">
        <v>9.4075300000000001E-4</v>
      </c>
      <c r="N20">
        <v>4.0220199999999998E-2</v>
      </c>
      <c r="O20">
        <v>9.1565199999999995E-5</v>
      </c>
      <c r="P20">
        <v>1.67124E-6</v>
      </c>
      <c r="Q20">
        <v>7.9680099999999996E-6</v>
      </c>
      <c r="R20">
        <v>1.64184E-2</v>
      </c>
      <c r="S20">
        <v>7.0229400000000001E-4</v>
      </c>
      <c r="T20">
        <v>3.6267299999999999E-4</v>
      </c>
      <c r="U20">
        <v>1.6830399999999999E-2</v>
      </c>
    </row>
    <row r="21" spans="2:21" x14ac:dyDescent="0.25">
      <c r="B21" t="s">
        <v>26</v>
      </c>
      <c r="C21" t="s">
        <v>27</v>
      </c>
      <c r="D21" t="s">
        <v>27</v>
      </c>
      <c r="E21" t="s">
        <v>25</v>
      </c>
      <c r="F21">
        <v>75795.8</v>
      </c>
      <c r="G21">
        <v>1961</v>
      </c>
      <c r="H21">
        <v>1.8240800000000001E-4</v>
      </c>
      <c r="J21">
        <v>0.57161099999999998</v>
      </c>
      <c r="K21">
        <v>1.2905300000000001E-4</v>
      </c>
      <c r="L21">
        <v>3.6242699999999998E-5</v>
      </c>
      <c r="N21">
        <v>1.5494899999999999E-3</v>
      </c>
      <c r="O21">
        <v>3.5275699999999999E-6</v>
      </c>
      <c r="P21">
        <v>6.4384800000000006E-8</v>
      </c>
      <c r="Q21">
        <v>3.0696899999999997E-7</v>
      </c>
      <c r="R21">
        <v>6.3252299999999996E-4</v>
      </c>
      <c r="S21">
        <v>2.7056E-5</v>
      </c>
      <c r="T21">
        <v>1.3971999999999999E-5</v>
      </c>
      <c r="U21">
        <v>6.4839699999999999E-4</v>
      </c>
    </row>
    <row r="22" spans="2:21" x14ac:dyDescent="0.25">
      <c r="B22" t="s">
        <v>28</v>
      </c>
      <c r="C22" t="s">
        <v>31</v>
      </c>
      <c r="D22" t="s">
        <v>31</v>
      </c>
      <c r="E22" t="s">
        <v>25</v>
      </c>
      <c r="F22">
        <v>565044</v>
      </c>
      <c r="G22">
        <v>1961</v>
      </c>
      <c r="L22">
        <v>1.24516E-4</v>
      </c>
      <c r="N22">
        <v>3.3789200000000001E-4</v>
      </c>
      <c r="O22">
        <v>2.5441800000000002E-9</v>
      </c>
      <c r="P22">
        <v>1.2618399999999999E-8</v>
      </c>
      <c r="R22">
        <v>5.28978E-5</v>
      </c>
      <c r="S22">
        <v>2.2237899999999999E-6</v>
      </c>
      <c r="T22">
        <v>1.8760699999999999E-6</v>
      </c>
      <c r="U22">
        <v>4.5135100000000001E-5</v>
      </c>
    </row>
    <row r="23" spans="2:21" x14ac:dyDescent="0.25">
      <c r="B23" t="s">
        <v>23</v>
      </c>
      <c r="C23" t="s">
        <v>30</v>
      </c>
      <c r="D23" t="s">
        <v>30</v>
      </c>
      <c r="E23" t="s">
        <v>25</v>
      </c>
      <c r="F23" s="6">
        <v>4426000</v>
      </c>
      <c r="G23">
        <v>1972</v>
      </c>
      <c r="H23" s="6">
        <v>9.0677599999999998E-4</v>
      </c>
      <c r="J23" s="6">
        <v>10088.299999999999</v>
      </c>
      <c r="K23" s="6">
        <v>2.0921299999999998E-6</v>
      </c>
      <c r="L23" s="6">
        <v>1.7369E-3</v>
      </c>
      <c r="N23" s="6">
        <v>22.511800000000001</v>
      </c>
      <c r="O23" s="6">
        <v>3.53849E-3</v>
      </c>
      <c r="P23" s="6">
        <v>3.4521799999999999E-8</v>
      </c>
      <c r="Q23" s="6">
        <v>2.0060599999999999E-7</v>
      </c>
      <c r="R23" s="6">
        <v>1.6759699999999999E-4</v>
      </c>
      <c r="S23" s="6">
        <v>7.0074400000000003E-6</v>
      </c>
      <c r="T23" s="6">
        <v>4.9739300000000003E-6</v>
      </c>
      <c r="U23" s="6">
        <v>1.3857499999999999E-4</v>
      </c>
    </row>
    <row r="24" spans="2:21" x14ac:dyDescent="0.25">
      <c r="B24" t="s">
        <v>91</v>
      </c>
      <c r="C24" t="s">
        <v>80</v>
      </c>
      <c r="D24" t="s">
        <v>80</v>
      </c>
      <c r="E24" t="s">
        <v>25</v>
      </c>
      <c r="F24" s="6">
        <v>469020</v>
      </c>
      <c r="G24">
        <v>1972</v>
      </c>
      <c r="H24" s="6">
        <v>8.3839499999999998E-10</v>
      </c>
      <c r="J24" s="6">
        <v>355.02499999999998</v>
      </c>
      <c r="K24" s="6">
        <v>1.17318E-5</v>
      </c>
      <c r="L24" s="6">
        <v>7.1500600000000001E-6</v>
      </c>
      <c r="N24" s="6">
        <v>0.29164200000000001</v>
      </c>
      <c r="O24" s="6">
        <v>2.2349699999999999E-8</v>
      </c>
      <c r="P24" s="6">
        <v>1.2716E-10</v>
      </c>
      <c r="R24" s="6">
        <v>1.2393900000000001E-6</v>
      </c>
      <c r="S24" s="6">
        <v>4.7158200000000002E-8</v>
      </c>
      <c r="T24" s="6">
        <v>3.5806899999999999E-8</v>
      </c>
      <c r="U24" s="6">
        <v>8.6973100000000002E-7</v>
      </c>
    </row>
    <row r="25" spans="2:21" x14ac:dyDescent="0.25">
      <c r="B25" t="s">
        <v>92</v>
      </c>
      <c r="C25" t="s">
        <v>80</v>
      </c>
      <c r="D25" t="s">
        <v>80</v>
      </c>
      <c r="E25" t="s">
        <v>93</v>
      </c>
      <c r="G25">
        <v>1972</v>
      </c>
      <c r="H25" s="6">
        <v>4.6952700000000001E-10</v>
      </c>
      <c r="J25" s="6">
        <v>2.3524000000000001E-7</v>
      </c>
      <c r="L25" s="6">
        <v>1.5278999999999999E-11</v>
      </c>
      <c r="N25" s="6">
        <v>4.7403800000000002E-5</v>
      </c>
      <c r="O25" s="6">
        <v>8.3409600000000005E-9</v>
      </c>
      <c r="P25" s="6">
        <v>1.0207E-6</v>
      </c>
      <c r="Q25" s="6">
        <v>4.56722E-5</v>
      </c>
      <c r="R25" s="6">
        <v>3.3182299999999998E-6</v>
      </c>
      <c r="S25" s="6">
        <v>1.2795100000000001E-7</v>
      </c>
      <c r="T25" s="6">
        <v>1.45497E-7</v>
      </c>
      <c r="U25" s="6">
        <v>2.2328399999999999E-6</v>
      </c>
    </row>
    <row r="26" spans="2:21" x14ac:dyDescent="0.25">
      <c r="B26" t="s">
        <v>23</v>
      </c>
      <c r="C26" t="s">
        <v>24</v>
      </c>
      <c r="D26" t="s">
        <v>24</v>
      </c>
      <c r="E26" t="s">
        <v>25</v>
      </c>
      <c r="F26" s="6">
        <v>1639540</v>
      </c>
      <c r="G26">
        <v>1972</v>
      </c>
      <c r="H26" s="6">
        <v>1.8130799999999999E-3</v>
      </c>
      <c r="J26" s="6">
        <v>7.6107999999999995E-2</v>
      </c>
      <c r="K26" s="6">
        <v>2.6641199999999999E-3</v>
      </c>
      <c r="L26" s="6">
        <v>1.3113E-4</v>
      </c>
      <c r="N26" s="6">
        <v>3.5543999999999999E-2</v>
      </c>
      <c r="O26" s="6">
        <v>1.35356E-4</v>
      </c>
      <c r="P26" s="6">
        <v>3.3034099999999999E-6</v>
      </c>
      <c r="Q26" s="6">
        <v>9.1843600000000001E-7</v>
      </c>
      <c r="R26" s="6">
        <v>8.7069000000000001E-3</v>
      </c>
      <c r="S26" s="6">
        <v>3.75919E-4</v>
      </c>
      <c r="T26" s="6">
        <v>4.2796400000000002E-4</v>
      </c>
      <c r="U26" s="6">
        <v>6.55924E-3</v>
      </c>
    </row>
    <row r="27" spans="2:21" x14ac:dyDescent="0.25">
      <c r="B27" t="s">
        <v>26</v>
      </c>
      <c r="C27" t="s">
        <v>27</v>
      </c>
      <c r="D27" t="s">
        <v>27</v>
      </c>
      <c r="E27" t="s">
        <v>25</v>
      </c>
      <c r="F27" s="6">
        <v>63163.5</v>
      </c>
      <c r="G27">
        <v>1972</v>
      </c>
      <c r="H27" s="6">
        <v>6.9849200000000002E-5</v>
      </c>
      <c r="J27" s="6">
        <v>2.9320800000000001E-3</v>
      </c>
      <c r="K27" s="6">
        <v>1.02636E-4</v>
      </c>
      <c r="L27" s="6">
        <v>5.0518200000000002E-6</v>
      </c>
      <c r="N27" s="6">
        <v>1.3693399999999999E-3</v>
      </c>
      <c r="O27" s="6">
        <v>5.2146199999999997E-6</v>
      </c>
      <c r="P27" s="6">
        <v>1.2726399999999999E-7</v>
      </c>
      <c r="Q27" s="6">
        <v>3.5382900000000001E-8</v>
      </c>
      <c r="R27" s="6">
        <v>3.3543499999999998E-4</v>
      </c>
      <c r="S27" s="6">
        <v>1.44824E-5</v>
      </c>
      <c r="T27" s="6">
        <v>1.6487400000000001E-5</v>
      </c>
      <c r="U27" s="6">
        <v>2.5269600000000001E-4</v>
      </c>
    </row>
    <row r="28" spans="2:21" x14ac:dyDescent="0.25">
      <c r="B28" t="s">
        <v>28</v>
      </c>
      <c r="C28" t="s">
        <v>32</v>
      </c>
      <c r="D28" t="s">
        <v>32</v>
      </c>
      <c r="E28" t="s">
        <v>25</v>
      </c>
      <c r="F28" s="6">
        <v>656029</v>
      </c>
      <c r="G28">
        <v>1972</v>
      </c>
      <c r="L28" s="6">
        <v>6.1272999999999994E-5</v>
      </c>
      <c r="N28" s="6">
        <v>1.1988499999999999E-4</v>
      </c>
      <c r="O28" s="6">
        <v>1.1744899999999999E-9</v>
      </c>
      <c r="P28" s="6">
        <v>1.5691199999999999E-8</v>
      </c>
      <c r="Q28" s="6">
        <v>1.6560799999999999E-9</v>
      </c>
      <c r="R28" s="6">
        <v>7.3943399999999994E-5</v>
      </c>
      <c r="S28" s="6">
        <v>3.0905100000000002E-6</v>
      </c>
      <c r="T28" s="6">
        <v>2.6203900000000001E-6</v>
      </c>
      <c r="U28" s="6">
        <v>6.26939E-5</v>
      </c>
    </row>
    <row r="29" spans="2:21" x14ac:dyDescent="0.25">
      <c r="B29" t="s">
        <v>23</v>
      </c>
      <c r="C29" t="s">
        <v>30</v>
      </c>
      <c r="D29" t="s">
        <v>30</v>
      </c>
      <c r="E29" t="s">
        <v>25</v>
      </c>
      <c r="F29">
        <v>3421000</v>
      </c>
      <c r="G29">
        <v>1976</v>
      </c>
      <c r="H29">
        <v>1.7396499999999999E-3</v>
      </c>
      <c r="J29">
        <v>0.439859</v>
      </c>
      <c r="K29">
        <v>1.8688800000000001E-6</v>
      </c>
      <c r="L29">
        <v>1.0657599999999999E-5</v>
      </c>
      <c r="N29">
        <v>9.5851400000000005E-4</v>
      </c>
      <c r="O29">
        <v>3.1608700000000001E-3</v>
      </c>
      <c r="P29">
        <v>4.32139E-8</v>
      </c>
      <c r="Q29">
        <v>3.6035400000000003E-7</v>
      </c>
      <c r="R29">
        <v>9.8991499999999996E-5</v>
      </c>
      <c r="S29">
        <v>4.2734200000000002E-6</v>
      </c>
      <c r="T29">
        <v>4.8602300000000001E-6</v>
      </c>
      <c r="U29">
        <v>7.4615600000000004E-5</v>
      </c>
    </row>
    <row r="30" spans="2:21" x14ac:dyDescent="0.25">
      <c r="B30" t="s">
        <v>91</v>
      </c>
      <c r="C30" t="s">
        <v>80</v>
      </c>
      <c r="D30" t="s">
        <v>80</v>
      </c>
      <c r="E30" t="s">
        <v>25</v>
      </c>
      <c r="F30" s="6">
        <v>90115</v>
      </c>
      <c r="G30">
        <v>1976</v>
      </c>
      <c r="H30" s="6">
        <v>8.3798699999999999E-10</v>
      </c>
      <c r="J30" s="6">
        <v>58.350999999999999</v>
      </c>
      <c r="K30" s="6">
        <v>1.17318E-5</v>
      </c>
      <c r="L30" s="6">
        <v>5.5561699999999999E-6</v>
      </c>
      <c r="N30" s="6">
        <v>1.8024300000000001E-6</v>
      </c>
      <c r="O30" s="6">
        <v>2.2349399999999999E-8</v>
      </c>
      <c r="P30" s="6">
        <v>2.1989800000000001E-11</v>
      </c>
      <c r="R30" s="6">
        <v>2.1019999999999999E-7</v>
      </c>
      <c r="S30" s="6">
        <v>8.0982E-9</v>
      </c>
      <c r="T30" s="6">
        <v>6.0650099999999999E-9</v>
      </c>
      <c r="U30" s="6">
        <v>1.4961500000000001E-7</v>
      </c>
    </row>
    <row r="31" spans="2:21" x14ac:dyDescent="0.25">
      <c r="B31" t="s">
        <v>92</v>
      </c>
      <c r="C31" t="s">
        <v>80</v>
      </c>
      <c r="D31" t="s">
        <v>80</v>
      </c>
      <c r="E31" t="s">
        <v>93</v>
      </c>
      <c r="G31">
        <v>1976</v>
      </c>
      <c r="H31" s="6">
        <v>4.6929800000000001E-10</v>
      </c>
      <c r="J31" s="6">
        <v>1.8783400000000001E-7</v>
      </c>
      <c r="L31" s="6">
        <v>1.58133E-11</v>
      </c>
      <c r="N31" s="6">
        <v>4.30516E-5</v>
      </c>
      <c r="O31" s="6">
        <v>8.3408500000000002E-9</v>
      </c>
      <c r="P31" s="6">
        <v>9.8044499999999994E-7</v>
      </c>
      <c r="Q31" s="6">
        <v>4.5671399999999998E-5</v>
      </c>
      <c r="R31" s="6">
        <v>3.3192700000000002E-6</v>
      </c>
      <c r="S31" s="6">
        <v>1.2795300000000001E-7</v>
      </c>
      <c r="T31" s="6">
        <v>1.45525E-7</v>
      </c>
      <c r="U31" s="6">
        <v>2.2328399999999999E-6</v>
      </c>
    </row>
    <row r="32" spans="2:21" x14ac:dyDescent="0.25">
      <c r="B32" t="s">
        <v>23</v>
      </c>
      <c r="C32" t="s">
        <v>24</v>
      </c>
      <c r="D32" t="s">
        <v>24</v>
      </c>
      <c r="E32" t="s">
        <v>25</v>
      </c>
      <c r="F32">
        <v>5362890</v>
      </c>
      <c r="G32">
        <v>1976</v>
      </c>
      <c r="H32">
        <v>9.39745E-5</v>
      </c>
      <c r="J32">
        <v>2.1664900000000001E-2</v>
      </c>
      <c r="K32">
        <v>1.94104E-3</v>
      </c>
      <c r="L32">
        <v>3.3553899999999997E-5</v>
      </c>
      <c r="N32">
        <v>0.28317399999999998</v>
      </c>
      <c r="O32">
        <v>2.4661499999999999E-3</v>
      </c>
      <c r="P32">
        <v>1.7727699999999999E-8</v>
      </c>
      <c r="Q32">
        <v>1.69567E-9</v>
      </c>
      <c r="R32">
        <v>4.9206799999999998E-5</v>
      </c>
      <c r="S32">
        <v>2.1258699999999999E-6</v>
      </c>
      <c r="T32">
        <v>2.40054E-6</v>
      </c>
      <c r="U32">
        <v>3.7233900000000003E-5</v>
      </c>
    </row>
    <row r="33" spans="2:21" x14ac:dyDescent="0.25">
      <c r="B33" t="s">
        <v>26</v>
      </c>
      <c r="C33" t="s">
        <v>27</v>
      </c>
      <c r="D33" t="s">
        <v>27</v>
      </c>
      <c r="E33" t="s">
        <v>25</v>
      </c>
      <c r="F33">
        <v>206607</v>
      </c>
      <c r="G33">
        <v>1976</v>
      </c>
      <c r="H33">
        <v>3.6203899999999998E-6</v>
      </c>
      <c r="J33">
        <v>8.3464599999999998E-4</v>
      </c>
      <c r="K33">
        <v>7.4779100000000004E-5</v>
      </c>
      <c r="L33">
        <v>1.2926699999999999E-6</v>
      </c>
      <c r="N33">
        <v>1.09093E-2</v>
      </c>
      <c r="O33">
        <v>9.5008900000000004E-5</v>
      </c>
      <c r="P33">
        <v>6.8296300000000001E-10</v>
      </c>
      <c r="Q33">
        <v>6.5325899999999994E-11</v>
      </c>
      <c r="R33">
        <v>1.8956999999999999E-6</v>
      </c>
      <c r="S33">
        <v>8.1899699999999996E-8</v>
      </c>
      <c r="T33">
        <v>9.2481200000000004E-8</v>
      </c>
      <c r="U33">
        <v>1.43444E-6</v>
      </c>
    </row>
    <row r="34" spans="2:21" x14ac:dyDescent="0.25">
      <c r="B34" t="s">
        <v>28</v>
      </c>
      <c r="C34" t="s">
        <v>32</v>
      </c>
      <c r="D34" t="s">
        <v>32</v>
      </c>
      <c r="E34" t="s">
        <v>25</v>
      </c>
      <c r="F34">
        <v>755027</v>
      </c>
      <c r="G34">
        <v>1976</v>
      </c>
      <c r="L34">
        <v>5.79474E-5</v>
      </c>
      <c r="N34">
        <v>1.00784E-4</v>
      </c>
      <c r="O34">
        <v>1.0865900000000001E-9</v>
      </c>
      <c r="P34">
        <v>1.7052299999999999E-8</v>
      </c>
      <c r="Q34">
        <v>4.7856699999999997E-9</v>
      </c>
      <c r="R34">
        <v>8.37054E-5</v>
      </c>
      <c r="S34">
        <v>3.4966600000000001E-6</v>
      </c>
      <c r="T34">
        <v>2.9661599999999998E-6</v>
      </c>
      <c r="U34">
        <v>7.09298E-5</v>
      </c>
    </row>
    <row r="35" spans="2:21" x14ac:dyDescent="0.25">
      <c r="B35" t="s">
        <v>23</v>
      </c>
      <c r="C35" t="s">
        <v>30</v>
      </c>
      <c r="D35" t="s">
        <v>30</v>
      </c>
      <c r="E35" t="s">
        <v>25</v>
      </c>
      <c r="F35">
        <v>5320000</v>
      </c>
      <c r="G35">
        <v>1984</v>
      </c>
      <c r="H35">
        <v>3.6765399999999998E-3</v>
      </c>
      <c r="J35">
        <v>0.60183600000000004</v>
      </c>
      <c r="K35">
        <v>2.7203999999999998E-6</v>
      </c>
      <c r="L35">
        <v>1.6351700000000001E-5</v>
      </c>
      <c r="N35">
        <v>1.1508E-3</v>
      </c>
      <c r="O35">
        <v>4.6009400000000004E-3</v>
      </c>
      <c r="P35">
        <v>9.9749500000000003E-8</v>
      </c>
      <c r="Q35">
        <v>5.3429899999999999E-7</v>
      </c>
      <c r="R35">
        <v>2.3220099999999999E-4</v>
      </c>
      <c r="S35">
        <v>8.9011599999999993E-6</v>
      </c>
      <c r="T35">
        <v>2.23975E-5</v>
      </c>
      <c r="U35">
        <v>1.60166E-4</v>
      </c>
    </row>
    <row r="36" spans="2:21" x14ac:dyDescent="0.25">
      <c r="B36" t="s">
        <v>91</v>
      </c>
      <c r="C36" t="s">
        <v>80</v>
      </c>
      <c r="D36" t="s">
        <v>80</v>
      </c>
      <c r="E36" t="s">
        <v>25</v>
      </c>
      <c r="F36" s="6">
        <v>19020</v>
      </c>
      <c r="G36">
        <v>1984</v>
      </c>
      <c r="H36" s="6">
        <v>8.3717200000000003E-10</v>
      </c>
      <c r="J36" s="6">
        <v>8.9735500000000003E-8</v>
      </c>
      <c r="K36" s="6">
        <v>1.17318E-5</v>
      </c>
      <c r="L36" s="6">
        <v>2.1608399999999999E-7</v>
      </c>
      <c r="N36" s="6">
        <v>1.1065699999999999E-6</v>
      </c>
      <c r="O36" s="6">
        <v>2.23488E-8</v>
      </c>
      <c r="P36" s="6">
        <v>1.84008E-12</v>
      </c>
      <c r="Q36" s="6">
        <v>4.3811600000000001E-11</v>
      </c>
      <c r="R36" s="6">
        <v>8.2398799999999995E-9</v>
      </c>
      <c r="S36" s="6">
        <v>3.1555700000000002E-10</v>
      </c>
      <c r="T36" s="6">
        <v>2.3779600000000001E-10</v>
      </c>
      <c r="U36" s="6">
        <v>5.8262200000000002E-9</v>
      </c>
    </row>
    <row r="37" spans="2:21" x14ac:dyDescent="0.25">
      <c r="B37" t="s">
        <v>92</v>
      </c>
      <c r="C37" t="s">
        <v>80</v>
      </c>
      <c r="D37" t="s">
        <v>80</v>
      </c>
      <c r="E37" t="s">
        <v>93</v>
      </c>
      <c r="G37">
        <v>1984</v>
      </c>
      <c r="H37" s="6">
        <v>4.6884200000000002E-10</v>
      </c>
      <c r="J37" s="6">
        <v>1.19757E-7</v>
      </c>
      <c r="L37" s="6">
        <v>1.66029E-11</v>
      </c>
      <c r="N37" s="6">
        <v>3.5509200000000002E-5</v>
      </c>
      <c r="O37" s="6">
        <v>8.3406399999999994E-9</v>
      </c>
      <c r="P37" s="6">
        <v>9.0546299999999999E-7</v>
      </c>
      <c r="Q37" s="6">
        <v>4.5669800000000001E-5</v>
      </c>
      <c r="R37" s="6">
        <v>3.3212399999999999E-6</v>
      </c>
      <c r="S37" s="6">
        <v>1.2795799999999999E-7</v>
      </c>
      <c r="T37" s="6">
        <v>1.4558000000000001E-7</v>
      </c>
      <c r="U37" s="6">
        <v>2.2328399999999999E-6</v>
      </c>
    </row>
    <row r="38" spans="2:21" x14ac:dyDescent="0.25">
      <c r="B38" t="s">
        <v>23</v>
      </c>
      <c r="C38" t="s">
        <v>24</v>
      </c>
      <c r="D38" t="s">
        <v>24</v>
      </c>
      <c r="E38" t="s">
        <v>25</v>
      </c>
      <c r="F38">
        <v>355893</v>
      </c>
      <c r="G38">
        <v>1984</v>
      </c>
      <c r="H38">
        <v>1.7111900000000001E-4</v>
      </c>
      <c r="J38">
        <v>7.7538999999999998</v>
      </c>
      <c r="K38">
        <v>9.3926100000000004E-7</v>
      </c>
      <c r="L38">
        <v>2.0665399999999999E-6</v>
      </c>
      <c r="N38">
        <v>2.4525600000000002E-2</v>
      </c>
      <c r="O38">
        <v>4.9178199999999996E-4</v>
      </c>
      <c r="P38">
        <v>2.8093600000000002E-8</v>
      </c>
      <c r="Q38">
        <v>1.22508E-6</v>
      </c>
      <c r="R38">
        <v>1.2119E-5</v>
      </c>
      <c r="S38">
        <v>4.6462399999999999E-7</v>
      </c>
      <c r="T38">
        <v>1.1610899999999999E-6</v>
      </c>
      <c r="U38">
        <v>8.3801600000000004E-6</v>
      </c>
    </row>
    <row r="39" spans="2:21" x14ac:dyDescent="0.25">
      <c r="B39" t="s">
        <v>26</v>
      </c>
      <c r="C39" t="s">
        <v>27</v>
      </c>
      <c r="D39" t="s">
        <v>27</v>
      </c>
      <c r="E39" t="s">
        <v>25</v>
      </c>
      <c r="F39">
        <v>13710.9</v>
      </c>
      <c r="G39">
        <v>1984</v>
      </c>
      <c r="H39">
        <v>6.5923899999999999E-6</v>
      </c>
      <c r="J39">
        <v>0.29872100000000001</v>
      </c>
      <c r="K39">
        <v>3.61852E-8</v>
      </c>
      <c r="L39">
        <v>7.9614000000000001E-8</v>
      </c>
      <c r="N39">
        <v>9.4485499999999998E-4</v>
      </c>
      <c r="O39">
        <v>1.8946000000000001E-5</v>
      </c>
      <c r="P39">
        <v>1.08231E-9</v>
      </c>
      <c r="Q39">
        <v>4.7196600000000001E-8</v>
      </c>
      <c r="R39">
        <v>4.6688800000000002E-7</v>
      </c>
      <c r="S39">
        <v>1.7899800000000001E-8</v>
      </c>
      <c r="T39">
        <v>4.4731300000000002E-8</v>
      </c>
      <c r="U39">
        <v>3.2284699999999998E-7</v>
      </c>
    </row>
    <row r="40" spans="2:21" x14ac:dyDescent="0.25">
      <c r="B40" t="s">
        <v>23</v>
      </c>
      <c r="C40" t="s">
        <v>30</v>
      </c>
      <c r="D40" t="s">
        <v>30</v>
      </c>
      <c r="E40" t="s">
        <v>25</v>
      </c>
      <c r="F40">
        <v>6874000</v>
      </c>
      <c r="G40">
        <v>1994</v>
      </c>
      <c r="H40">
        <v>8.8381100000000004</v>
      </c>
      <c r="J40">
        <v>812.99099999999999</v>
      </c>
      <c r="K40">
        <v>2.0984999999999999E-6</v>
      </c>
      <c r="L40">
        <v>4.0168000000000001E-3</v>
      </c>
      <c r="N40">
        <v>1.2583</v>
      </c>
      <c r="O40">
        <v>3.54902E-3</v>
      </c>
      <c r="P40">
        <v>2.3583399999999999E-7</v>
      </c>
      <c r="Q40">
        <v>3.57649E-7</v>
      </c>
      <c r="R40">
        <v>6.5085900000000005E-4</v>
      </c>
      <c r="S40">
        <v>2.5008299999999999E-5</v>
      </c>
      <c r="T40">
        <v>6.2949500000000004E-5</v>
      </c>
      <c r="U40">
        <v>4.4996199999999999E-4</v>
      </c>
    </row>
    <row r="41" spans="2:21" x14ac:dyDescent="0.25">
      <c r="B41" t="s">
        <v>91</v>
      </c>
      <c r="C41" t="s">
        <v>80</v>
      </c>
      <c r="D41" t="s">
        <v>80</v>
      </c>
      <c r="E41" t="s">
        <v>25</v>
      </c>
      <c r="F41" s="6">
        <v>19020</v>
      </c>
      <c r="G41">
        <v>1994</v>
      </c>
      <c r="H41" s="6">
        <v>8.3615499999999999E-10</v>
      </c>
      <c r="J41" s="6">
        <v>5.11236E-8</v>
      </c>
      <c r="K41" s="6">
        <v>1.17318E-5</v>
      </c>
      <c r="L41" s="6">
        <v>2.1608399999999999E-7</v>
      </c>
      <c r="N41" s="6">
        <v>8.6979499999999999E-7</v>
      </c>
      <c r="O41" s="6">
        <v>2.2348100000000001E-8</v>
      </c>
      <c r="P41" s="6">
        <v>1.66397E-12</v>
      </c>
      <c r="Q41" s="6">
        <v>5.3217700000000002E-11</v>
      </c>
      <c r="R41" s="6">
        <v>8.3056900000000005E-9</v>
      </c>
      <c r="S41" s="6">
        <v>3.1586400000000002E-10</v>
      </c>
      <c r="T41" s="6">
        <v>2.3995599999999998E-10</v>
      </c>
      <c r="U41" s="6">
        <v>5.8262200000000002E-9</v>
      </c>
    </row>
    <row r="42" spans="2:21" x14ac:dyDescent="0.25">
      <c r="B42" t="s">
        <v>92</v>
      </c>
      <c r="C42" t="s">
        <v>80</v>
      </c>
      <c r="D42" t="s">
        <v>80</v>
      </c>
      <c r="E42" t="s">
        <v>93</v>
      </c>
      <c r="G42">
        <v>1994</v>
      </c>
      <c r="H42" s="6">
        <v>4.6827199999999999E-10</v>
      </c>
      <c r="J42" s="6">
        <v>6.8227299999999996E-8</v>
      </c>
      <c r="L42" s="6">
        <v>1.733E-11</v>
      </c>
      <c r="N42" s="6">
        <v>2.7911300000000002E-5</v>
      </c>
      <c r="O42" s="6">
        <v>8.3403599999999995E-9</v>
      </c>
      <c r="P42" s="6">
        <v>8.18804E-7</v>
      </c>
      <c r="Q42" s="6">
        <v>4.5667799999999997E-5</v>
      </c>
      <c r="R42" s="6">
        <v>3.3235200000000002E-6</v>
      </c>
      <c r="S42" s="6">
        <v>1.2796499999999999E-7</v>
      </c>
      <c r="T42" s="6">
        <v>1.4564900000000001E-7</v>
      </c>
      <c r="U42" s="6">
        <v>2.2328399999999999E-6</v>
      </c>
    </row>
    <row r="43" spans="2:21" x14ac:dyDescent="0.25">
      <c r="B43" t="s">
        <v>23</v>
      </c>
      <c r="C43" t="s">
        <v>24</v>
      </c>
      <c r="D43" t="s">
        <v>24</v>
      </c>
      <c r="E43" t="s">
        <v>25</v>
      </c>
      <c r="F43">
        <v>105951</v>
      </c>
      <c r="G43">
        <v>1994</v>
      </c>
      <c r="H43">
        <v>5.4186099999999999E-5</v>
      </c>
      <c r="J43">
        <v>1.4044000000000001</v>
      </c>
      <c r="K43">
        <v>2.92429E-7</v>
      </c>
      <c r="L43">
        <v>6.3905899999999998E-7</v>
      </c>
      <c r="N43">
        <v>5.8492800000000001E-3</v>
      </c>
      <c r="O43">
        <v>1.52406E-4</v>
      </c>
      <c r="P43">
        <v>8.0766E-9</v>
      </c>
      <c r="Q43">
        <v>3.89489E-7</v>
      </c>
      <c r="R43">
        <v>3.8516399999999999E-6</v>
      </c>
      <c r="S43">
        <v>1.4766199999999999E-7</v>
      </c>
      <c r="T43">
        <v>3.6910500000000002E-7</v>
      </c>
      <c r="U43">
        <v>2.6631099999999998E-6</v>
      </c>
    </row>
    <row r="44" spans="2:21" x14ac:dyDescent="0.25">
      <c r="B44" t="s">
        <v>26</v>
      </c>
      <c r="C44" t="s">
        <v>27</v>
      </c>
      <c r="D44" t="s">
        <v>27</v>
      </c>
      <c r="E44" t="s">
        <v>25</v>
      </c>
      <c r="F44">
        <v>4081.79</v>
      </c>
      <c r="G44">
        <v>1994</v>
      </c>
      <c r="H44">
        <v>2.0875299999999999E-6</v>
      </c>
      <c r="J44">
        <v>5.4104800000000002E-2</v>
      </c>
      <c r="K44">
        <v>1.1265899999999999E-8</v>
      </c>
      <c r="L44">
        <v>2.4619899999999999E-8</v>
      </c>
      <c r="N44">
        <v>2.25345E-4</v>
      </c>
      <c r="O44">
        <v>5.87147E-6</v>
      </c>
      <c r="P44">
        <v>3.1115299999999998E-10</v>
      </c>
      <c r="Q44">
        <v>1.5005199999999999E-8</v>
      </c>
      <c r="R44">
        <v>1.4838499999999999E-7</v>
      </c>
      <c r="S44">
        <v>5.6887299999999996E-9</v>
      </c>
      <c r="T44">
        <v>1.42199E-8</v>
      </c>
      <c r="U44">
        <v>1.02597E-7</v>
      </c>
    </row>
    <row r="45" spans="2:21" x14ac:dyDescent="0.25">
      <c r="B45" t="s">
        <v>23</v>
      </c>
      <c r="C45" t="s">
        <v>30</v>
      </c>
      <c r="D45" t="s">
        <v>30</v>
      </c>
      <c r="E45" t="s">
        <v>25</v>
      </c>
      <c r="F45">
        <v>5469400</v>
      </c>
      <c r="G45">
        <v>1996</v>
      </c>
      <c r="H45">
        <v>9.0155999999999992</v>
      </c>
      <c r="J45">
        <v>890.09500000000003</v>
      </c>
      <c r="K45">
        <v>1.34075E-6</v>
      </c>
      <c r="L45">
        <v>4.4200200000000002E-3</v>
      </c>
      <c r="N45">
        <v>1.2235</v>
      </c>
      <c r="O45">
        <v>2.2674800000000001E-3</v>
      </c>
      <c r="P45">
        <v>1.97091E-7</v>
      </c>
      <c r="Q45">
        <v>2.33622E-7</v>
      </c>
      <c r="R45">
        <v>5.5927600000000004E-4</v>
      </c>
      <c r="S45">
        <v>2.14812E-5</v>
      </c>
      <c r="T45">
        <v>5.4080299999999998E-5</v>
      </c>
      <c r="U45">
        <v>3.8647600000000002E-4</v>
      </c>
    </row>
    <row r="48" spans="2:21" x14ac:dyDescent="0.25">
      <c r="B48" s="1" t="s">
        <v>35</v>
      </c>
    </row>
    <row r="50" spans="2:23" x14ac:dyDescent="0.25">
      <c r="B50" t="str">
        <f t="shared" ref="B50:W50" si="0">B7</f>
        <v>Inventory Module</v>
      </c>
      <c r="C50" t="str">
        <f t="shared" si="0"/>
        <v>SIMV2 site name</v>
      </c>
      <c r="D50" t="str">
        <f t="shared" si="0"/>
        <v>CA site name</v>
      </c>
      <c r="E50" t="str">
        <f t="shared" si="0"/>
        <v>Source Type</v>
      </c>
      <c r="F50" t="str">
        <f t="shared" si="0"/>
        <v>Volume [m3]</v>
      </c>
      <c r="G50" t="str">
        <f t="shared" si="0"/>
        <v>Discharge/decay-corrected year</v>
      </c>
      <c r="H50" t="str">
        <f t="shared" si="0"/>
        <v>C-14</v>
      </c>
      <c r="I50" t="str">
        <f t="shared" si="0"/>
        <v>Cl-36</v>
      </c>
      <c r="J50" t="str">
        <f t="shared" si="0"/>
        <v>H-3</v>
      </c>
      <c r="K50" t="str">
        <f t="shared" si="0"/>
        <v>I-129</v>
      </c>
      <c r="L50" t="str">
        <f t="shared" si="0"/>
        <v>Np-237</v>
      </c>
      <c r="M50" t="str">
        <f t="shared" si="0"/>
        <v>Re-187</v>
      </c>
      <c r="N50" t="str">
        <f t="shared" si="0"/>
        <v>Sr-90</v>
      </c>
      <c r="O50" t="str">
        <f t="shared" si="0"/>
        <v>Tc-99</v>
      </c>
      <c r="P50" t="str">
        <f t="shared" si="0"/>
        <v>U-232</v>
      </c>
      <c r="Q50" t="str">
        <f t="shared" si="0"/>
        <v>U-233</v>
      </c>
      <c r="R50" t="str">
        <f t="shared" si="0"/>
        <v>U-234</v>
      </c>
      <c r="S50" t="str">
        <f t="shared" si="0"/>
        <v>U-235</v>
      </c>
      <c r="T50" t="str">
        <f t="shared" si="0"/>
        <v>U-236</v>
      </c>
      <c r="U50" t="str">
        <f t="shared" si="0"/>
        <v>U-238</v>
      </c>
      <c r="V50" t="str">
        <f t="shared" si="0"/>
        <v>Th-230 (decay only)</v>
      </c>
      <c r="W50" t="str">
        <f t="shared" si="0"/>
        <v>Ra-226 (decay only)</v>
      </c>
    </row>
    <row r="51" spans="2:23" x14ac:dyDescent="0.25">
      <c r="B51" t="str">
        <f>B8</f>
        <v>CERCLA_OPU-200-SW-2</v>
      </c>
      <c r="C51" t="str">
        <f>C8</f>
        <v>216-T-4A</v>
      </c>
      <c r="D51" t="str">
        <f>D8</f>
        <v>216-T-4A</v>
      </c>
      <c r="E51" t="str">
        <f>E8</f>
        <v>Liquid</v>
      </c>
      <c r="F51">
        <f>F8+F6</f>
        <v>172000</v>
      </c>
      <c r="G51">
        <f>G8</f>
        <v>1944</v>
      </c>
      <c r="H51">
        <f>H8</f>
        <v>0</v>
      </c>
      <c r="I51">
        <f t="shared" ref="I51:W51" si="1">I8</f>
        <v>0</v>
      </c>
      <c r="J51">
        <f t="shared" si="1"/>
        <v>0</v>
      </c>
      <c r="K51">
        <f t="shared" si="1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1"/>
        <v>0</v>
      </c>
      <c r="P51">
        <f t="shared" si="1"/>
        <v>0</v>
      </c>
      <c r="Q51">
        <f t="shared" si="1"/>
        <v>0</v>
      </c>
      <c r="R51">
        <f t="shared" si="1"/>
        <v>0</v>
      </c>
      <c r="S51">
        <f t="shared" si="1"/>
        <v>0</v>
      </c>
      <c r="T51">
        <f t="shared" si="1"/>
        <v>0</v>
      </c>
      <c r="U51">
        <f t="shared" si="1"/>
        <v>0</v>
      </c>
      <c r="V51">
        <f t="shared" si="1"/>
        <v>0</v>
      </c>
      <c r="W51">
        <f t="shared" si="1"/>
        <v>0</v>
      </c>
    </row>
    <row r="52" spans="2:23" x14ac:dyDescent="0.25">
      <c r="B52" t="str">
        <f t="shared" ref="B52:E55" si="2">B10</f>
        <v>CERCLA_OPU-200-WA-1</v>
      </c>
      <c r="C52" t="str">
        <f t="shared" si="2"/>
        <v>216-U-14</v>
      </c>
      <c r="D52" t="str">
        <f t="shared" si="2"/>
        <v>216-U-14</v>
      </c>
      <c r="E52" t="str">
        <f t="shared" si="2"/>
        <v>Liquid</v>
      </c>
      <c r="F52">
        <f>F10+F9</f>
        <v>118762.61</v>
      </c>
      <c r="G52">
        <f>G10</f>
        <v>1944</v>
      </c>
      <c r="H52">
        <f t="shared" ref="H52:O52" si="3">H10+H9</f>
        <v>0</v>
      </c>
      <c r="I52">
        <f t="shared" si="3"/>
        <v>0</v>
      </c>
      <c r="J52">
        <f t="shared" si="3"/>
        <v>1.1677699000000001E-5</v>
      </c>
      <c r="K52">
        <f t="shared" si="3"/>
        <v>5.769309E-4</v>
      </c>
      <c r="L52">
        <f t="shared" si="3"/>
        <v>4.4902920000000006E-6</v>
      </c>
      <c r="M52">
        <f t="shared" si="3"/>
        <v>0</v>
      </c>
      <c r="N52">
        <f t="shared" si="3"/>
        <v>8.3916470000000003E-3</v>
      </c>
      <c r="O52">
        <f t="shared" si="3"/>
        <v>0</v>
      </c>
      <c r="P52">
        <f t="shared" ref="P52:W52" si="4">P10+P9</f>
        <v>1.6458962999999998E-10</v>
      </c>
      <c r="Q52">
        <f t="shared" si="4"/>
        <v>0</v>
      </c>
      <c r="R52">
        <f t="shared" si="4"/>
        <v>1.0722669999999999E-5</v>
      </c>
      <c r="S52">
        <f t="shared" si="4"/>
        <v>4.8380529999999999E-7</v>
      </c>
      <c r="T52">
        <f t="shared" si="4"/>
        <v>9.1271930000000009E-8</v>
      </c>
      <c r="U52">
        <f t="shared" si="4"/>
        <v>1.0908460999999999E-5</v>
      </c>
      <c r="V52">
        <f t="shared" si="4"/>
        <v>0</v>
      </c>
      <c r="W52">
        <f t="shared" si="4"/>
        <v>0</v>
      </c>
    </row>
    <row r="53" spans="2:23" x14ac:dyDescent="0.25">
      <c r="B53" t="str">
        <f t="shared" si="2"/>
        <v>CERCLA_OPU-200-CW-5</v>
      </c>
      <c r="C53" t="str">
        <f t="shared" si="2"/>
        <v>216-Z-1D</v>
      </c>
      <c r="D53" t="str">
        <f t="shared" si="2"/>
        <v>216-Z-1D</v>
      </c>
      <c r="E53" t="str">
        <f t="shared" si="2"/>
        <v>Liquid</v>
      </c>
      <c r="F53">
        <f>F11</f>
        <v>42825.8</v>
      </c>
      <c r="G53">
        <f>G11</f>
        <v>1944</v>
      </c>
      <c r="H53">
        <f t="shared" ref="H53:W53" si="5">H11</f>
        <v>0</v>
      </c>
      <c r="I53">
        <f t="shared" si="5"/>
        <v>0</v>
      </c>
      <c r="J53">
        <f t="shared" si="5"/>
        <v>0</v>
      </c>
      <c r="K53">
        <f t="shared" si="5"/>
        <v>0</v>
      </c>
      <c r="L53">
        <f t="shared" si="5"/>
        <v>1.32137E-5</v>
      </c>
      <c r="M53">
        <f t="shared" si="5"/>
        <v>0</v>
      </c>
      <c r="N53">
        <f t="shared" si="5"/>
        <v>3.4529000000000001E-5</v>
      </c>
      <c r="O53">
        <f t="shared" si="5"/>
        <v>1.7281E-10</v>
      </c>
      <c r="P53">
        <f t="shared" si="5"/>
        <v>2.2721300000000001E-15</v>
      </c>
      <c r="Q53">
        <f t="shared" si="5"/>
        <v>0</v>
      </c>
      <c r="R53">
        <f t="shared" si="5"/>
        <v>0</v>
      </c>
      <c r="S53">
        <f t="shared" si="5"/>
        <v>0</v>
      </c>
      <c r="T53">
        <f t="shared" si="5"/>
        <v>0</v>
      </c>
      <c r="U53">
        <f t="shared" si="5"/>
        <v>8.4674300000000004E-11</v>
      </c>
      <c r="V53">
        <f t="shared" si="5"/>
        <v>0</v>
      </c>
      <c r="W53">
        <f t="shared" si="5"/>
        <v>0</v>
      </c>
    </row>
    <row r="54" spans="2:23" x14ac:dyDescent="0.25">
      <c r="B54" t="str">
        <f t="shared" si="2"/>
        <v>CERCLA_OPU-200-CW-1</v>
      </c>
      <c r="C54" t="str">
        <f t="shared" si="2"/>
        <v>216-B-3</v>
      </c>
      <c r="D54" t="str">
        <f t="shared" si="2"/>
        <v>216-B-3</v>
      </c>
      <c r="E54" t="str">
        <f t="shared" si="2"/>
        <v>Liquid</v>
      </c>
      <c r="F54">
        <f>F12</f>
        <v>1430000</v>
      </c>
      <c r="G54">
        <f>G12</f>
        <v>1955</v>
      </c>
      <c r="H54">
        <f t="shared" ref="H54:W54" si="6">H12</f>
        <v>3.1370399999999998E-3</v>
      </c>
      <c r="I54">
        <f t="shared" si="6"/>
        <v>0</v>
      </c>
      <c r="J54">
        <f t="shared" si="6"/>
        <v>0.67091699999999999</v>
      </c>
      <c r="K54">
        <f t="shared" si="6"/>
        <v>2.6074100000000002E-5</v>
      </c>
      <c r="L54">
        <f t="shared" si="6"/>
        <v>3.8322600000000002E-4</v>
      </c>
      <c r="M54">
        <f t="shared" si="6"/>
        <v>0</v>
      </c>
      <c r="N54">
        <f t="shared" si="6"/>
        <v>1.6979600000000001E-2</v>
      </c>
      <c r="O54">
        <f t="shared" si="6"/>
        <v>5.4189699999999995E-4</v>
      </c>
      <c r="P54">
        <f t="shared" si="6"/>
        <v>7.9666500000000002E-7</v>
      </c>
      <c r="Q54">
        <f t="shared" si="6"/>
        <v>3.9010399999999998E-6</v>
      </c>
      <c r="R54">
        <f t="shared" si="6"/>
        <v>7.30307E-3</v>
      </c>
      <c r="S54">
        <f t="shared" si="6"/>
        <v>3.1242599999999998E-4</v>
      </c>
      <c r="T54">
        <f t="shared" si="6"/>
        <v>1.61161E-4</v>
      </c>
      <c r="U54">
        <f t="shared" si="6"/>
        <v>7.4876400000000003E-3</v>
      </c>
      <c r="V54">
        <f t="shared" si="6"/>
        <v>0</v>
      </c>
      <c r="W54">
        <f t="shared" si="6"/>
        <v>0</v>
      </c>
    </row>
    <row r="55" spans="2:23" x14ac:dyDescent="0.25">
      <c r="B55" t="str">
        <f t="shared" si="2"/>
        <v>CERCLA_OPU-200-SW-2</v>
      </c>
      <c r="C55" t="str">
        <f t="shared" si="2"/>
        <v>216-T-4A</v>
      </c>
      <c r="D55" t="str">
        <f t="shared" si="2"/>
        <v>216-T-4A</v>
      </c>
      <c r="E55" t="str">
        <f t="shared" si="2"/>
        <v>Liquid</v>
      </c>
      <c r="F55">
        <f>F13</f>
        <v>3860000</v>
      </c>
      <c r="G55">
        <f>G13</f>
        <v>1955</v>
      </c>
      <c r="H55">
        <f t="shared" ref="H55:W55" si="7">H13</f>
        <v>0</v>
      </c>
      <c r="I55">
        <f t="shared" si="7"/>
        <v>0</v>
      </c>
      <c r="J55">
        <f t="shared" si="7"/>
        <v>0</v>
      </c>
      <c r="K55">
        <f t="shared" si="7"/>
        <v>0</v>
      </c>
      <c r="L55">
        <f t="shared" si="7"/>
        <v>0</v>
      </c>
      <c r="M55">
        <f t="shared" si="7"/>
        <v>0</v>
      </c>
      <c r="N55">
        <f t="shared" si="7"/>
        <v>0</v>
      </c>
      <c r="O55">
        <f t="shared" si="7"/>
        <v>0</v>
      </c>
      <c r="P55">
        <f t="shared" si="7"/>
        <v>0</v>
      </c>
      <c r="Q55">
        <f t="shared" si="7"/>
        <v>0</v>
      </c>
      <c r="R55">
        <f t="shared" si="7"/>
        <v>0</v>
      </c>
      <c r="S55">
        <f t="shared" si="7"/>
        <v>0</v>
      </c>
      <c r="T55">
        <f t="shared" si="7"/>
        <v>0</v>
      </c>
      <c r="U55">
        <f t="shared" si="7"/>
        <v>0</v>
      </c>
      <c r="V55">
        <f t="shared" si="7"/>
        <v>0</v>
      </c>
      <c r="W55">
        <f t="shared" si="7"/>
        <v>0</v>
      </c>
    </row>
    <row r="56" spans="2:23" x14ac:dyDescent="0.25">
      <c r="B56" t="str">
        <f>B15</f>
        <v>CERCLA_OPU-200-WA-1</v>
      </c>
      <c r="C56" t="str">
        <f>C15</f>
        <v>216-U-14</v>
      </c>
      <c r="D56" t="str">
        <f>D15</f>
        <v>216-U-14</v>
      </c>
      <c r="E56" t="str">
        <f>E15</f>
        <v>Liquid</v>
      </c>
      <c r="F56" s="6">
        <f>F15+F14</f>
        <v>9159730</v>
      </c>
      <c r="G56">
        <f>G15</f>
        <v>1955</v>
      </c>
      <c r="H56" s="6">
        <f t="shared" ref="H56:W56" si="8">H15+H14</f>
        <v>2.3044876000000002E-2</v>
      </c>
      <c r="I56" s="6">
        <f t="shared" si="8"/>
        <v>0</v>
      </c>
      <c r="J56" s="6">
        <f t="shared" si="8"/>
        <v>325.0532</v>
      </c>
      <c r="K56" s="6">
        <f t="shared" si="8"/>
        <v>1.5624093E-2</v>
      </c>
      <c r="L56" s="6">
        <f t="shared" si="8"/>
        <v>4.3349599999999997E-3</v>
      </c>
      <c r="M56" s="6">
        <f t="shared" si="8"/>
        <v>0</v>
      </c>
      <c r="N56" s="6">
        <f t="shared" si="8"/>
        <v>0.17486686000000001</v>
      </c>
      <c r="O56" s="6">
        <f t="shared" si="8"/>
        <v>0</v>
      </c>
      <c r="P56" s="6">
        <f t="shared" si="8"/>
        <v>8.6377260000000015E-6</v>
      </c>
      <c r="Q56" s="6">
        <f t="shared" si="8"/>
        <v>3.778726E-5</v>
      </c>
      <c r="R56" s="6">
        <f t="shared" si="8"/>
        <v>8.0429730000000005E-2</v>
      </c>
      <c r="S56" s="6">
        <f t="shared" si="8"/>
        <v>3.4411119999999996E-3</v>
      </c>
      <c r="T56" s="6">
        <f t="shared" si="8"/>
        <v>1.7730119E-3</v>
      </c>
      <c r="U56" s="6">
        <f t="shared" si="8"/>
        <v>8.2462019999999997E-2</v>
      </c>
      <c r="V56" s="6">
        <f t="shared" si="8"/>
        <v>0</v>
      </c>
      <c r="W56" s="6">
        <f t="shared" si="8"/>
        <v>0</v>
      </c>
    </row>
    <row r="57" spans="2:23" x14ac:dyDescent="0.25">
      <c r="B57" t="str">
        <f>B16</f>
        <v>CERCLA_OPU-200-CW-5</v>
      </c>
      <c r="C57" t="str">
        <f t="shared" ref="C57:W60" si="9">C16</f>
        <v>216-Z-1D</v>
      </c>
      <c r="D57" t="str">
        <f t="shared" si="9"/>
        <v>216-Z-1D</v>
      </c>
      <c r="E57" t="str">
        <f t="shared" si="9"/>
        <v>Liquid</v>
      </c>
      <c r="F57">
        <f t="shared" si="9"/>
        <v>2530660</v>
      </c>
      <c r="G57">
        <f t="shared" si="9"/>
        <v>1955</v>
      </c>
      <c r="H57">
        <f t="shared" si="9"/>
        <v>0</v>
      </c>
      <c r="I57">
        <f t="shared" si="9"/>
        <v>0</v>
      </c>
      <c r="J57">
        <f t="shared" si="9"/>
        <v>0</v>
      </c>
      <c r="K57">
        <f t="shared" si="9"/>
        <v>0</v>
      </c>
      <c r="L57">
        <f t="shared" si="9"/>
        <v>2.1671099999999999E-4</v>
      </c>
      <c r="M57">
        <f t="shared" si="9"/>
        <v>0</v>
      </c>
      <c r="N57">
        <f t="shared" si="9"/>
        <v>7.0585000000000005E-4</v>
      </c>
      <c r="O57">
        <f t="shared" si="9"/>
        <v>4.59459E-9</v>
      </c>
      <c r="P57">
        <f t="shared" si="9"/>
        <v>6.0081200000000005E-8</v>
      </c>
      <c r="Q57">
        <f t="shared" si="9"/>
        <v>0</v>
      </c>
      <c r="R57">
        <f t="shared" si="9"/>
        <v>2.38137E-4</v>
      </c>
      <c r="S57">
        <f t="shared" si="9"/>
        <v>9.9717600000000006E-6</v>
      </c>
      <c r="T57">
        <f t="shared" si="9"/>
        <v>8.4423099999999995E-6</v>
      </c>
      <c r="U57">
        <f t="shared" si="9"/>
        <v>2.02318E-4</v>
      </c>
      <c r="V57">
        <f t="shared" si="9"/>
        <v>0</v>
      </c>
      <c r="W57">
        <f t="shared" si="9"/>
        <v>0</v>
      </c>
    </row>
    <row r="58" spans="2:23" x14ac:dyDescent="0.25">
      <c r="B58" t="str">
        <f>B17</f>
        <v>CERCLA_OPU-200-CW-1</v>
      </c>
      <c r="C58" t="str">
        <f t="shared" si="9"/>
        <v>216-B-3</v>
      </c>
      <c r="D58" t="str">
        <f t="shared" si="9"/>
        <v>216-B-3</v>
      </c>
      <c r="E58" t="str">
        <f t="shared" si="9"/>
        <v>Liquid</v>
      </c>
      <c r="F58">
        <f t="shared" si="9"/>
        <v>3437540</v>
      </c>
      <c r="G58">
        <f t="shared" si="9"/>
        <v>1961</v>
      </c>
      <c r="H58">
        <f t="shared" si="9"/>
        <v>4.1377499999999999E-3</v>
      </c>
      <c r="I58">
        <f t="shared" si="9"/>
        <v>0</v>
      </c>
      <c r="J58">
        <f t="shared" si="9"/>
        <v>10.1051</v>
      </c>
      <c r="K58">
        <f t="shared" si="9"/>
        <v>5.8361400000000002E-6</v>
      </c>
      <c r="L58">
        <f t="shared" si="9"/>
        <v>7.5100999999999998E-5</v>
      </c>
      <c r="M58">
        <f t="shared" si="9"/>
        <v>0</v>
      </c>
      <c r="N58">
        <f t="shared" si="9"/>
        <v>1.2676E-3</v>
      </c>
      <c r="O58">
        <f t="shared" si="9"/>
        <v>4.2464699999999996E-3</v>
      </c>
      <c r="P58">
        <f t="shared" si="9"/>
        <v>4.0997099999999999E-7</v>
      </c>
      <c r="Q58">
        <f t="shared" si="9"/>
        <v>9.29471E-7</v>
      </c>
      <c r="R58">
        <f t="shared" si="9"/>
        <v>1.27779E-2</v>
      </c>
      <c r="S58">
        <f t="shared" si="9"/>
        <v>5.6287100000000005E-4</v>
      </c>
      <c r="T58">
        <f t="shared" si="9"/>
        <v>1.86634E-4</v>
      </c>
      <c r="U58">
        <f t="shared" si="9"/>
        <v>1.30101E-2</v>
      </c>
      <c r="V58">
        <f t="shared" si="9"/>
        <v>0</v>
      </c>
      <c r="W58">
        <f t="shared" si="9"/>
        <v>0</v>
      </c>
    </row>
    <row r="59" spans="2:23" x14ac:dyDescent="0.25">
      <c r="B59" t="str">
        <f>B18</f>
        <v>CERCLA_OPU-200-SW-2</v>
      </c>
      <c r="C59" t="str">
        <f t="shared" si="9"/>
        <v>216-T-4A</v>
      </c>
      <c r="D59" t="str">
        <f t="shared" si="9"/>
        <v>216-T-4A</v>
      </c>
      <c r="E59" t="str">
        <f t="shared" si="9"/>
        <v>Liquid</v>
      </c>
      <c r="F59">
        <f t="shared" si="9"/>
        <v>966020</v>
      </c>
      <c r="G59">
        <f t="shared" si="9"/>
        <v>1961</v>
      </c>
      <c r="H59">
        <f t="shared" si="9"/>
        <v>2.2274000000000001E-5</v>
      </c>
      <c r="I59">
        <f t="shared" si="9"/>
        <v>0</v>
      </c>
      <c r="J59">
        <f t="shared" si="9"/>
        <v>1.0290799999999999E-2</v>
      </c>
      <c r="K59">
        <f t="shared" si="9"/>
        <v>1.2203400000000001E-5</v>
      </c>
      <c r="L59">
        <f t="shared" si="9"/>
        <v>2.9152800000000001E-6</v>
      </c>
      <c r="M59">
        <f t="shared" si="9"/>
        <v>0</v>
      </c>
      <c r="N59">
        <f t="shared" si="9"/>
        <v>0.325517</v>
      </c>
      <c r="O59">
        <f t="shared" si="9"/>
        <v>4.7313200000000002E-4</v>
      </c>
      <c r="P59">
        <f t="shared" si="9"/>
        <v>2.9265299999999999E-10</v>
      </c>
      <c r="Q59">
        <f t="shared" si="9"/>
        <v>0</v>
      </c>
      <c r="R59">
        <f t="shared" si="9"/>
        <v>1.5724699999999999E-5</v>
      </c>
      <c r="S59">
        <f t="shared" si="9"/>
        <v>7.0176700000000004E-7</v>
      </c>
      <c r="T59">
        <f t="shared" si="9"/>
        <v>1.7996600000000001E-7</v>
      </c>
      <c r="U59">
        <f t="shared" si="9"/>
        <v>1.6026299999999999E-5</v>
      </c>
      <c r="V59">
        <f t="shared" si="9"/>
        <v>0</v>
      </c>
      <c r="W59">
        <f t="shared" si="9"/>
        <v>0</v>
      </c>
    </row>
    <row r="60" spans="2:23" x14ac:dyDescent="0.25">
      <c r="B60" t="str">
        <f>B19</f>
        <v>SIM-v2 entrained solids</v>
      </c>
      <c r="C60" t="str">
        <f t="shared" si="9"/>
        <v>216-T-4A</v>
      </c>
      <c r="D60" t="str">
        <f t="shared" si="9"/>
        <v>216-T-4A</v>
      </c>
      <c r="E60" t="str">
        <f t="shared" si="9"/>
        <v>Solids</v>
      </c>
      <c r="F60">
        <f t="shared" si="9"/>
        <v>0</v>
      </c>
      <c r="G60">
        <f t="shared" si="9"/>
        <v>1961</v>
      </c>
      <c r="H60">
        <f t="shared" si="9"/>
        <v>4.7015500000000002E-10</v>
      </c>
      <c r="I60">
        <f t="shared" si="9"/>
        <v>0</v>
      </c>
      <c r="J60">
        <f t="shared" si="9"/>
        <v>4.36806E-7</v>
      </c>
      <c r="K60">
        <f t="shared" si="9"/>
        <v>0</v>
      </c>
      <c r="L60">
        <f t="shared" si="9"/>
        <v>1.3210700000000001E-11</v>
      </c>
      <c r="M60">
        <f t="shared" si="9"/>
        <v>0</v>
      </c>
      <c r="N60">
        <f t="shared" si="9"/>
        <v>6.1777499999999996E-5</v>
      </c>
      <c r="O60">
        <f t="shared" si="9"/>
        <v>8.3412700000000001E-9</v>
      </c>
      <c r="P60">
        <f t="shared" si="9"/>
        <v>1.1411899999999999E-6</v>
      </c>
      <c r="Q60">
        <f t="shared" si="9"/>
        <v>4.5674399999999998E-5</v>
      </c>
      <c r="R60">
        <f t="shared" si="9"/>
        <v>3.3152399999999999E-6</v>
      </c>
      <c r="S60">
        <f t="shared" si="9"/>
        <v>1.27943E-7</v>
      </c>
      <c r="T60">
        <f t="shared" si="9"/>
        <v>1.4542099999999999E-7</v>
      </c>
      <c r="U60">
        <f t="shared" si="9"/>
        <v>2.2328399999999999E-6</v>
      </c>
      <c r="V60">
        <f t="shared" si="9"/>
        <v>0</v>
      </c>
      <c r="W60">
        <f t="shared" si="9"/>
        <v>0</v>
      </c>
    </row>
    <row r="61" spans="2:23" x14ac:dyDescent="0.25">
      <c r="B61" t="str">
        <f>B21</f>
        <v>CERCLA_OPU-200-WA-1</v>
      </c>
      <c r="C61" t="str">
        <f>C21</f>
        <v>216-U-14</v>
      </c>
      <c r="D61" t="str">
        <f>D21</f>
        <v>216-U-14</v>
      </c>
      <c r="E61" t="str">
        <f>E21</f>
        <v>Liquid</v>
      </c>
      <c r="F61">
        <f>F21+F20</f>
        <v>2043225.8</v>
      </c>
      <c r="G61">
        <f>G21</f>
        <v>1961</v>
      </c>
      <c r="H61">
        <f t="shared" ref="H61:W61" si="10">H21+H20</f>
        <v>4.9171780000000003E-3</v>
      </c>
      <c r="I61">
        <f t="shared" si="10"/>
        <v>0</v>
      </c>
      <c r="J61">
        <f t="shared" si="10"/>
        <v>15.408911000000002</v>
      </c>
      <c r="K61">
        <f t="shared" si="10"/>
        <v>3.4788930000000003E-3</v>
      </c>
      <c r="L61">
        <f t="shared" si="10"/>
        <v>9.7699570000000006E-4</v>
      </c>
      <c r="M61">
        <f t="shared" si="10"/>
        <v>0</v>
      </c>
      <c r="N61">
        <f t="shared" si="10"/>
        <v>4.1769689999999998E-2</v>
      </c>
      <c r="O61">
        <f t="shared" si="10"/>
        <v>9.509276999999999E-5</v>
      </c>
      <c r="P61">
        <f t="shared" si="10"/>
        <v>1.7356248000000001E-6</v>
      </c>
      <c r="Q61">
        <f t="shared" si="10"/>
        <v>8.2749790000000004E-6</v>
      </c>
      <c r="R61">
        <f t="shared" si="10"/>
        <v>1.7050922999999999E-2</v>
      </c>
      <c r="S61">
        <f t="shared" si="10"/>
        <v>7.2935000000000003E-4</v>
      </c>
      <c r="T61">
        <f t="shared" si="10"/>
        <v>3.76645E-4</v>
      </c>
      <c r="U61">
        <f t="shared" si="10"/>
        <v>1.7478796999999997E-2</v>
      </c>
      <c r="V61">
        <f t="shared" si="10"/>
        <v>0</v>
      </c>
      <c r="W61">
        <f t="shared" si="10"/>
        <v>0</v>
      </c>
    </row>
    <row r="62" spans="2:23" x14ac:dyDescent="0.25">
      <c r="B62" t="str">
        <f>B22</f>
        <v>CERCLA_OPU-200-CW-5</v>
      </c>
      <c r="C62" t="str">
        <f t="shared" ref="C62:W65" si="11">C22</f>
        <v>216-Z-11</v>
      </c>
      <c r="D62" t="str">
        <f t="shared" si="11"/>
        <v>216-Z-11</v>
      </c>
      <c r="E62" t="str">
        <f t="shared" si="11"/>
        <v>Liquid</v>
      </c>
      <c r="F62">
        <f t="shared" si="11"/>
        <v>565044</v>
      </c>
      <c r="G62">
        <f t="shared" si="11"/>
        <v>1961</v>
      </c>
      <c r="H62">
        <f t="shared" si="11"/>
        <v>0</v>
      </c>
      <c r="I62">
        <f t="shared" si="11"/>
        <v>0</v>
      </c>
      <c r="J62">
        <f t="shared" si="11"/>
        <v>0</v>
      </c>
      <c r="K62">
        <f t="shared" si="11"/>
        <v>0</v>
      </c>
      <c r="L62">
        <f t="shared" si="11"/>
        <v>1.24516E-4</v>
      </c>
      <c r="M62">
        <f t="shared" si="11"/>
        <v>0</v>
      </c>
      <c r="N62">
        <f t="shared" si="11"/>
        <v>3.3789200000000001E-4</v>
      </c>
      <c r="O62">
        <f t="shared" si="11"/>
        <v>2.5441800000000002E-9</v>
      </c>
      <c r="P62">
        <f t="shared" si="11"/>
        <v>1.2618399999999999E-8</v>
      </c>
      <c r="Q62">
        <f t="shared" si="11"/>
        <v>0</v>
      </c>
      <c r="R62">
        <f t="shared" si="11"/>
        <v>5.28978E-5</v>
      </c>
      <c r="S62">
        <f t="shared" si="11"/>
        <v>2.2237899999999999E-6</v>
      </c>
      <c r="T62">
        <f t="shared" si="11"/>
        <v>1.8760699999999999E-6</v>
      </c>
      <c r="U62">
        <f t="shared" si="11"/>
        <v>4.5135100000000001E-5</v>
      </c>
      <c r="V62">
        <f t="shared" si="11"/>
        <v>0</v>
      </c>
      <c r="W62">
        <f t="shared" si="11"/>
        <v>0</v>
      </c>
    </row>
    <row r="63" spans="2:23" x14ac:dyDescent="0.25">
      <c r="B63" t="str">
        <f>B23</f>
        <v>CERCLA_OPU-200-CW-1</v>
      </c>
      <c r="C63" t="str">
        <f t="shared" si="11"/>
        <v>216-B-3</v>
      </c>
      <c r="D63" t="str">
        <f t="shared" si="11"/>
        <v>216-B-3</v>
      </c>
      <c r="E63" t="str">
        <f t="shared" si="11"/>
        <v>Liquid</v>
      </c>
      <c r="F63">
        <f t="shared" si="11"/>
        <v>4426000</v>
      </c>
      <c r="G63">
        <f t="shared" si="11"/>
        <v>1972</v>
      </c>
      <c r="H63">
        <f t="shared" si="11"/>
        <v>9.0677599999999998E-4</v>
      </c>
      <c r="I63">
        <f t="shared" si="11"/>
        <v>0</v>
      </c>
      <c r="J63">
        <f t="shared" si="11"/>
        <v>10088.299999999999</v>
      </c>
      <c r="K63">
        <f t="shared" si="11"/>
        <v>2.0921299999999998E-6</v>
      </c>
      <c r="L63">
        <f t="shared" si="11"/>
        <v>1.7369E-3</v>
      </c>
      <c r="M63">
        <f t="shared" si="11"/>
        <v>0</v>
      </c>
      <c r="N63">
        <f t="shared" si="11"/>
        <v>22.511800000000001</v>
      </c>
      <c r="O63">
        <f t="shared" si="11"/>
        <v>3.53849E-3</v>
      </c>
      <c r="P63">
        <f t="shared" si="11"/>
        <v>3.4521799999999999E-8</v>
      </c>
      <c r="Q63">
        <f t="shared" si="11"/>
        <v>2.0060599999999999E-7</v>
      </c>
      <c r="R63">
        <f t="shared" si="11"/>
        <v>1.6759699999999999E-4</v>
      </c>
      <c r="S63">
        <f t="shared" si="11"/>
        <v>7.0074400000000003E-6</v>
      </c>
      <c r="T63">
        <f t="shared" si="11"/>
        <v>4.9739300000000003E-6</v>
      </c>
      <c r="U63">
        <f t="shared" si="11"/>
        <v>1.3857499999999999E-4</v>
      </c>
      <c r="V63">
        <f t="shared" si="11"/>
        <v>0</v>
      </c>
      <c r="W63">
        <f t="shared" si="11"/>
        <v>0</v>
      </c>
    </row>
    <row r="64" spans="2:23" x14ac:dyDescent="0.25">
      <c r="B64" t="str">
        <f>B24</f>
        <v>CERCLA_OPU-200-SW-2</v>
      </c>
      <c r="C64" t="str">
        <f t="shared" si="11"/>
        <v>216-T-4A</v>
      </c>
      <c r="D64" t="str">
        <f t="shared" si="11"/>
        <v>216-T-4A</v>
      </c>
      <c r="E64" t="str">
        <f t="shared" si="11"/>
        <v>Liquid</v>
      </c>
      <c r="F64">
        <f t="shared" si="11"/>
        <v>469020</v>
      </c>
      <c r="G64">
        <f t="shared" si="11"/>
        <v>1972</v>
      </c>
      <c r="H64">
        <f t="shared" si="11"/>
        <v>8.3839499999999998E-10</v>
      </c>
      <c r="I64">
        <f t="shared" si="11"/>
        <v>0</v>
      </c>
      <c r="J64">
        <f t="shared" si="11"/>
        <v>355.02499999999998</v>
      </c>
      <c r="K64">
        <f t="shared" si="11"/>
        <v>1.17318E-5</v>
      </c>
      <c r="L64">
        <f t="shared" si="11"/>
        <v>7.1500600000000001E-6</v>
      </c>
      <c r="M64">
        <f t="shared" si="11"/>
        <v>0</v>
      </c>
      <c r="N64">
        <f t="shared" si="11"/>
        <v>0.29164200000000001</v>
      </c>
      <c r="O64">
        <f t="shared" si="11"/>
        <v>2.2349699999999999E-8</v>
      </c>
      <c r="P64">
        <f t="shared" si="11"/>
        <v>1.2716E-10</v>
      </c>
      <c r="Q64">
        <f t="shared" si="11"/>
        <v>0</v>
      </c>
      <c r="R64">
        <f t="shared" si="11"/>
        <v>1.2393900000000001E-6</v>
      </c>
      <c r="S64">
        <f t="shared" si="11"/>
        <v>4.7158200000000002E-8</v>
      </c>
      <c r="T64">
        <f t="shared" si="11"/>
        <v>3.5806899999999999E-8</v>
      </c>
      <c r="U64">
        <f t="shared" si="11"/>
        <v>8.6973100000000002E-7</v>
      </c>
      <c r="V64">
        <f t="shared" si="11"/>
        <v>0</v>
      </c>
      <c r="W64">
        <f t="shared" si="11"/>
        <v>0</v>
      </c>
    </row>
    <row r="65" spans="2:23" x14ac:dyDescent="0.25">
      <c r="B65" t="str">
        <f>B25</f>
        <v>SIM-v2 entrained solids</v>
      </c>
      <c r="C65" t="str">
        <f t="shared" si="11"/>
        <v>216-T-4A</v>
      </c>
      <c r="D65" t="str">
        <f t="shared" si="11"/>
        <v>216-T-4A</v>
      </c>
      <c r="E65" t="str">
        <f t="shared" si="11"/>
        <v>Solids</v>
      </c>
      <c r="F65">
        <f t="shared" si="11"/>
        <v>0</v>
      </c>
      <c r="G65">
        <f t="shared" si="11"/>
        <v>1972</v>
      </c>
      <c r="H65">
        <f t="shared" si="11"/>
        <v>4.6952700000000001E-10</v>
      </c>
      <c r="I65">
        <f t="shared" si="11"/>
        <v>0</v>
      </c>
      <c r="J65">
        <f t="shared" si="11"/>
        <v>2.3524000000000001E-7</v>
      </c>
      <c r="K65">
        <f t="shared" si="11"/>
        <v>0</v>
      </c>
      <c r="L65">
        <f t="shared" si="11"/>
        <v>1.5278999999999999E-11</v>
      </c>
      <c r="M65">
        <f t="shared" si="11"/>
        <v>0</v>
      </c>
      <c r="N65">
        <f t="shared" si="11"/>
        <v>4.7403800000000002E-5</v>
      </c>
      <c r="O65">
        <f t="shared" si="11"/>
        <v>8.3409600000000005E-9</v>
      </c>
      <c r="P65">
        <f t="shared" si="11"/>
        <v>1.0207E-6</v>
      </c>
      <c r="Q65">
        <f t="shared" si="11"/>
        <v>4.56722E-5</v>
      </c>
      <c r="R65">
        <f t="shared" si="11"/>
        <v>3.3182299999999998E-6</v>
      </c>
      <c r="S65">
        <f t="shared" si="11"/>
        <v>1.2795100000000001E-7</v>
      </c>
      <c r="T65">
        <f t="shared" si="11"/>
        <v>1.45497E-7</v>
      </c>
      <c r="U65">
        <f t="shared" si="11"/>
        <v>2.2328399999999999E-6</v>
      </c>
      <c r="V65">
        <f t="shared" si="11"/>
        <v>0</v>
      </c>
      <c r="W65">
        <f t="shared" si="11"/>
        <v>0</v>
      </c>
    </row>
    <row r="66" spans="2:23" x14ac:dyDescent="0.25">
      <c r="B66" t="str">
        <f>B27</f>
        <v>CERCLA_OPU-200-WA-1</v>
      </c>
      <c r="C66" t="str">
        <f>C27</f>
        <v>216-U-14</v>
      </c>
      <c r="D66" t="str">
        <f>D27</f>
        <v>216-U-14</v>
      </c>
      <c r="E66" t="str">
        <f>E27</f>
        <v>Liquid</v>
      </c>
      <c r="F66" s="6">
        <f>F27+F26</f>
        <v>1702703.5</v>
      </c>
      <c r="G66">
        <f>G27</f>
        <v>1972</v>
      </c>
      <c r="H66" s="6">
        <f t="shared" ref="H66:W66" si="12">H27+H26</f>
        <v>1.8829291999999998E-3</v>
      </c>
      <c r="I66" s="6">
        <f t="shared" si="12"/>
        <v>0</v>
      </c>
      <c r="J66" s="6">
        <f t="shared" si="12"/>
        <v>7.9040079999999999E-2</v>
      </c>
      <c r="K66" s="6">
        <f t="shared" si="12"/>
        <v>2.766756E-3</v>
      </c>
      <c r="L66" s="6">
        <f t="shared" si="12"/>
        <v>1.3618182000000001E-4</v>
      </c>
      <c r="M66" s="6">
        <f t="shared" si="12"/>
        <v>0</v>
      </c>
      <c r="N66" s="6">
        <f t="shared" si="12"/>
        <v>3.6913339999999996E-2</v>
      </c>
      <c r="O66" s="6">
        <f t="shared" si="12"/>
        <v>1.4057062000000001E-4</v>
      </c>
      <c r="P66" s="6">
        <f t="shared" si="12"/>
        <v>3.4306739999999997E-6</v>
      </c>
      <c r="Q66" s="6">
        <f t="shared" si="12"/>
        <v>9.5381890000000003E-7</v>
      </c>
      <c r="R66" s="6">
        <f t="shared" si="12"/>
        <v>9.0423350000000003E-3</v>
      </c>
      <c r="S66" s="6">
        <f t="shared" si="12"/>
        <v>3.9040139999999999E-4</v>
      </c>
      <c r="T66" s="6">
        <f t="shared" si="12"/>
        <v>4.4445140000000003E-4</v>
      </c>
      <c r="U66" s="6">
        <f t="shared" si="12"/>
        <v>6.8119360000000002E-3</v>
      </c>
      <c r="V66" s="6">
        <f t="shared" si="12"/>
        <v>0</v>
      </c>
      <c r="W66" s="6">
        <f t="shared" si="12"/>
        <v>0</v>
      </c>
    </row>
    <row r="67" spans="2:23" x14ac:dyDescent="0.25">
      <c r="B67" t="str">
        <f>B28</f>
        <v>CERCLA_OPU-200-CW-5</v>
      </c>
      <c r="C67" t="str">
        <f t="shared" ref="C67:W70" si="13">C28</f>
        <v>216-Z-19</v>
      </c>
      <c r="D67" t="str">
        <f t="shared" si="13"/>
        <v>216-Z-19</v>
      </c>
      <c r="E67" t="str">
        <f t="shared" si="13"/>
        <v>Liquid</v>
      </c>
      <c r="F67">
        <f t="shared" si="13"/>
        <v>656029</v>
      </c>
      <c r="G67">
        <f t="shared" si="13"/>
        <v>1972</v>
      </c>
      <c r="H67">
        <f t="shared" si="13"/>
        <v>0</v>
      </c>
      <c r="I67">
        <f t="shared" si="13"/>
        <v>0</v>
      </c>
      <c r="J67">
        <f t="shared" si="13"/>
        <v>0</v>
      </c>
      <c r="K67">
        <f t="shared" si="13"/>
        <v>0</v>
      </c>
      <c r="L67">
        <f t="shared" si="13"/>
        <v>6.1272999999999994E-5</v>
      </c>
      <c r="M67">
        <f t="shared" si="13"/>
        <v>0</v>
      </c>
      <c r="N67">
        <f t="shared" si="13"/>
        <v>1.1988499999999999E-4</v>
      </c>
      <c r="O67">
        <f t="shared" si="13"/>
        <v>1.1744899999999999E-9</v>
      </c>
      <c r="P67">
        <f t="shared" si="13"/>
        <v>1.5691199999999999E-8</v>
      </c>
      <c r="Q67">
        <f t="shared" si="13"/>
        <v>1.6560799999999999E-9</v>
      </c>
      <c r="R67">
        <f t="shared" si="13"/>
        <v>7.3943399999999994E-5</v>
      </c>
      <c r="S67">
        <f t="shared" si="13"/>
        <v>3.0905100000000002E-6</v>
      </c>
      <c r="T67">
        <f t="shared" si="13"/>
        <v>2.6203900000000001E-6</v>
      </c>
      <c r="U67">
        <f t="shared" si="13"/>
        <v>6.26939E-5</v>
      </c>
      <c r="V67">
        <f t="shared" si="13"/>
        <v>0</v>
      </c>
      <c r="W67">
        <f t="shared" si="13"/>
        <v>0</v>
      </c>
    </row>
    <row r="68" spans="2:23" x14ac:dyDescent="0.25">
      <c r="B68" t="str">
        <f>B29</f>
        <v>CERCLA_OPU-200-CW-1</v>
      </c>
      <c r="C68" t="str">
        <f t="shared" si="13"/>
        <v>216-B-3</v>
      </c>
      <c r="D68" t="str">
        <f t="shared" si="13"/>
        <v>216-B-3</v>
      </c>
      <c r="E68" t="str">
        <f t="shared" si="13"/>
        <v>Liquid</v>
      </c>
      <c r="F68">
        <f t="shared" si="13"/>
        <v>3421000</v>
      </c>
      <c r="G68">
        <f t="shared" si="13"/>
        <v>1976</v>
      </c>
      <c r="H68">
        <f t="shared" si="13"/>
        <v>1.7396499999999999E-3</v>
      </c>
      <c r="I68">
        <f t="shared" si="13"/>
        <v>0</v>
      </c>
      <c r="J68">
        <f t="shared" si="13"/>
        <v>0.439859</v>
      </c>
      <c r="K68">
        <f t="shared" si="13"/>
        <v>1.8688800000000001E-6</v>
      </c>
      <c r="L68">
        <f t="shared" si="13"/>
        <v>1.0657599999999999E-5</v>
      </c>
      <c r="M68">
        <f t="shared" si="13"/>
        <v>0</v>
      </c>
      <c r="N68">
        <f t="shared" si="13"/>
        <v>9.5851400000000005E-4</v>
      </c>
      <c r="O68">
        <f t="shared" si="13"/>
        <v>3.1608700000000001E-3</v>
      </c>
      <c r="P68">
        <f t="shared" si="13"/>
        <v>4.32139E-8</v>
      </c>
      <c r="Q68">
        <f t="shared" si="13"/>
        <v>3.6035400000000003E-7</v>
      </c>
      <c r="R68">
        <f t="shared" si="13"/>
        <v>9.8991499999999996E-5</v>
      </c>
      <c r="S68">
        <f t="shared" si="13"/>
        <v>4.2734200000000002E-6</v>
      </c>
      <c r="T68">
        <f t="shared" si="13"/>
        <v>4.8602300000000001E-6</v>
      </c>
      <c r="U68">
        <f t="shared" si="13"/>
        <v>7.4615600000000004E-5</v>
      </c>
      <c r="V68">
        <f t="shared" si="13"/>
        <v>0</v>
      </c>
      <c r="W68">
        <f t="shared" si="13"/>
        <v>0</v>
      </c>
    </row>
    <row r="69" spans="2:23" x14ac:dyDescent="0.25">
      <c r="B69" t="str">
        <f>B30</f>
        <v>CERCLA_OPU-200-SW-2</v>
      </c>
      <c r="C69" t="str">
        <f t="shared" si="13"/>
        <v>216-T-4A</v>
      </c>
      <c r="D69" t="str">
        <f t="shared" si="13"/>
        <v>216-T-4A</v>
      </c>
      <c r="E69" t="str">
        <f t="shared" si="13"/>
        <v>Liquid</v>
      </c>
      <c r="F69">
        <f t="shared" si="13"/>
        <v>90115</v>
      </c>
      <c r="G69">
        <f t="shared" si="13"/>
        <v>1976</v>
      </c>
      <c r="H69">
        <f t="shared" si="13"/>
        <v>8.3798699999999999E-10</v>
      </c>
      <c r="I69">
        <f t="shared" si="13"/>
        <v>0</v>
      </c>
      <c r="J69">
        <f t="shared" si="13"/>
        <v>58.350999999999999</v>
      </c>
      <c r="K69">
        <f t="shared" si="13"/>
        <v>1.17318E-5</v>
      </c>
      <c r="L69">
        <f t="shared" si="13"/>
        <v>5.5561699999999999E-6</v>
      </c>
      <c r="M69">
        <f t="shared" si="13"/>
        <v>0</v>
      </c>
      <c r="N69">
        <f t="shared" si="13"/>
        <v>1.8024300000000001E-6</v>
      </c>
      <c r="O69">
        <f t="shared" si="13"/>
        <v>2.2349399999999999E-8</v>
      </c>
      <c r="P69">
        <f t="shared" si="13"/>
        <v>2.1989800000000001E-11</v>
      </c>
      <c r="Q69">
        <f t="shared" si="13"/>
        <v>0</v>
      </c>
      <c r="R69">
        <f t="shared" si="13"/>
        <v>2.1019999999999999E-7</v>
      </c>
      <c r="S69">
        <f t="shared" si="13"/>
        <v>8.0982E-9</v>
      </c>
      <c r="T69">
        <f t="shared" si="13"/>
        <v>6.0650099999999999E-9</v>
      </c>
      <c r="U69">
        <f t="shared" si="13"/>
        <v>1.4961500000000001E-7</v>
      </c>
      <c r="V69">
        <f t="shared" si="13"/>
        <v>0</v>
      </c>
      <c r="W69">
        <f t="shared" si="13"/>
        <v>0</v>
      </c>
    </row>
    <row r="70" spans="2:23" x14ac:dyDescent="0.25">
      <c r="B70" t="str">
        <f>B31</f>
        <v>SIM-v2 entrained solids</v>
      </c>
      <c r="C70" t="str">
        <f t="shared" si="13"/>
        <v>216-T-4A</v>
      </c>
      <c r="D70" t="str">
        <f t="shared" si="13"/>
        <v>216-T-4A</v>
      </c>
      <c r="E70" t="str">
        <f t="shared" si="13"/>
        <v>Solids</v>
      </c>
      <c r="F70">
        <f t="shared" si="13"/>
        <v>0</v>
      </c>
      <c r="G70">
        <f t="shared" si="13"/>
        <v>1976</v>
      </c>
      <c r="H70">
        <f t="shared" si="13"/>
        <v>4.6929800000000001E-10</v>
      </c>
      <c r="I70">
        <f t="shared" si="13"/>
        <v>0</v>
      </c>
      <c r="J70">
        <f t="shared" si="13"/>
        <v>1.8783400000000001E-7</v>
      </c>
      <c r="K70">
        <f t="shared" si="13"/>
        <v>0</v>
      </c>
      <c r="L70">
        <f t="shared" si="13"/>
        <v>1.58133E-11</v>
      </c>
      <c r="M70">
        <f t="shared" si="13"/>
        <v>0</v>
      </c>
      <c r="N70">
        <f t="shared" si="13"/>
        <v>4.30516E-5</v>
      </c>
      <c r="O70">
        <f t="shared" si="13"/>
        <v>8.3408500000000002E-9</v>
      </c>
      <c r="P70">
        <f t="shared" si="13"/>
        <v>9.8044499999999994E-7</v>
      </c>
      <c r="Q70">
        <f t="shared" si="13"/>
        <v>4.5671399999999998E-5</v>
      </c>
      <c r="R70">
        <f t="shared" si="13"/>
        <v>3.3192700000000002E-6</v>
      </c>
      <c r="S70">
        <f t="shared" si="13"/>
        <v>1.2795300000000001E-7</v>
      </c>
      <c r="T70">
        <f t="shared" si="13"/>
        <v>1.45525E-7</v>
      </c>
      <c r="U70">
        <f t="shared" si="13"/>
        <v>2.2328399999999999E-6</v>
      </c>
      <c r="V70">
        <f t="shared" si="13"/>
        <v>0</v>
      </c>
      <c r="W70">
        <f t="shared" si="13"/>
        <v>0</v>
      </c>
    </row>
    <row r="71" spans="2:23" x14ac:dyDescent="0.25">
      <c r="B71" t="str">
        <f>B33</f>
        <v>CERCLA_OPU-200-WA-1</v>
      </c>
      <c r="C71" t="str">
        <f>C33</f>
        <v>216-U-14</v>
      </c>
      <c r="D71" t="str">
        <f>D33</f>
        <v>216-U-14</v>
      </c>
      <c r="E71" t="str">
        <f>E33</f>
        <v>Liquid</v>
      </c>
      <c r="F71">
        <f>F33+F32</f>
        <v>5569497</v>
      </c>
      <c r="G71">
        <f>G33</f>
        <v>1976</v>
      </c>
      <c r="H71">
        <f t="shared" ref="H71:W71" si="14">H33+H32</f>
        <v>9.7594889999999996E-5</v>
      </c>
      <c r="I71">
        <f t="shared" si="14"/>
        <v>0</v>
      </c>
      <c r="J71">
        <f t="shared" si="14"/>
        <v>2.2499546000000002E-2</v>
      </c>
      <c r="K71">
        <f t="shared" si="14"/>
        <v>2.0158190999999999E-3</v>
      </c>
      <c r="L71">
        <f t="shared" si="14"/>
        <v>3.4846569999999997E-5</v>
      </c>
      <c r="M71">
        <f t="shared" si="14"/>
        <v>0</v>
      </c>
      <c r="N71">
        <f t="shared" si="14"/>
        <v>0.29408329999999999</v>
      </c>
      <c r="O71">
        <f t="shared" si="14"/>
        <v>2.5611588999999999E-3</v>
      </c>
      <c r="P71">
        <f t="shared" si="14"/>
        <v>1.8410663E-8</v>
      </c>
      <c r="Q71">
        <f t="shared" si="14"/>
        <v>1.7609959E-9</v>
      </c>
      <c r="R71">
        <f t="shared" si="14"/>
        <v>5.1102500000000001E-5</v>
      </c>
      <c r="S71">
        <f t="shared" si="14"/>
        <v>2.2077697000000001E-6</v>
      </c>
      <c r="T71">
        <f t="shared" si="14"/>
        <v>2.4930211999999999E-6</v>
      </c>
      <c r="U71">
        <f t="shared" si="14"/>
        <v>3.866834E-5</v>
      </c>
      <c r="V71">
        <f t="shared" si="14"/>
        <v>0</v>
      </c>
      <c r="W71">
        <f t="shared" si="14"/>
        <v>0</v>
      </c>
    </row>
    <row r="72" spans="2:23" x14ac:dyDescent="0.25">
      <c r="B72" t="str">
        <f>B34</f>
        <v>CERCLA_OPU-200-CW-5</v>
      </c>
      <c r="C72" t="str">
        <f t="shared" ref="C72:W75" si="15">C34</f>
        <v>216-Z-19</v>
      </c>
      <c r="D72" t="str">
        <f t="shared" si="15"/>
        <v>216-Z-19</v>
      </c>
      <c r="E72" t="str">
        <f t="shared" si="15"/>
        <v>Liquid</v>
      </c>
      <c r="F72">
        <f t="shared" si="15"/>
        <v>755027</v>
      </c>
      <c r="G72">
        <f t="shared" si="15"/>
        <v>1976</v>
      </c>
      <c r="H72">
        <f t="shared" si="15"/>
        <v>0</v>
      </c>
      <c r="I72">
        <f t="shared" si="15"/>
        <v>0</v>
      </c>
      <c r="J72">
        <f t="shared" si="15"/>
        <v>0</v>
      </c>
      <c r="K72">
        <f t="shared" si="15"/>
        <v>0</v>
      </c>
      <c r="L72">
        <f t="shared" si="15"/>
        <v>5.79474E-5</v>
      </c>
      <c r="M72">
        <f t="shared" si="15"/>
        <v>0</v>
      </c>
      <c r="N72">
        <f t="shared" si="15"/>
        <v>1.00784E-4</v>
      </c>
      <c r="O72">
        <f t="shared" si="15"/>
        <v>1.0865900000000001E-9</v>
      </c>
      <c r="P72">
        <f t="shared" si="15"/>
        <v>1.7052299999999999E-8</v>
      </c>
      <c r="Q72">
        <f t="shared" si="15"/>
        <v>4.7856699999999997E-9</v>
      </c>
      <c r="R72">
        <f t="shared" si="15"/>
        <v>8.37054E-5</v>
      </c>
      <c r="S72">
        <f t="shared" si="15"/>
        <v>3.4966600000000001E-6</v>
      </c>
      <c r="T72">
        <f t="shared" si="15"/>
        <v>2.9661599999999998E-6</v>
      </c>
      <c r="U72">
        <f t="shared" si="15"/>
        <v>7.09298E-5</v>
      </c>
      <c r="V72">
        <f t="shared" si="15"/>
        <v>0</v>
      </c>
      <c r="W72">
        <f t="shared" si="15"/>
        <v>0</v>
      </c>
    </row>
    <row r="73" spans="2:23" x14ac:dyDescent="0.25">
      <c r="B73" t="str">
        <f>B35</f>
        <v>CERCLA_OPU-200-CW-1</v>
      </c>
      <c r="C73" t="str">
        <f t="shared" si="15"/>
        <v>216-B-3</v>
      </c>
      <c r="D73" t="str">
        <f t="shared" si="15"/>
        <v>216-B-3</v>
      </c>
      <c r="E73" t="str">
        <f t="shared" si="15"/>
        <v>Liquid</v>
      </c>
      <c r="F73">
        <f t="shared" si="15"/>
        <v>5320000</v>
      </c>
      <c r="G73">
        <f t="shared" si="15"/>
        <v>1984</v>
      </c>
      <c r="H73">
        <f t="shared" si="15"/>
        <v>3.6765399999999998E-3</v>
      </c>
      <c r="I73">
        <f t="shared" si="15"/>
        <v>0</v>
      </c>
      <c r="J73">
        <f t="shared" si="15"/>
        <v>0.60183600000000004</v>
      </c>
      <c r="K73">
        <f t="shared" si="15"/>
        <v>2.7203999999999998E-6</v>
      </c>
      <c r="L73">
        <f t="shared" si="15"/>
        <v>1.6351700000000001E-5</v>
      </c>
      <c r="M73">
        <f t="shared" si="15"/>
        <v>0</v>
      </c>
      <c r="N73">
        <f t="shared" si="15"/>
        <v>1.1508E-3</v>
      </c>
      <c r="O73">
        <f t="shared" si="15"/>
        <v>4.6009400000000004E-3</v>
      </c>
      <c r="P73">
        <f t="shared" si="15"/>
        <v>9.9749500000000003E-8</v>
      </c>
      <c r="Q73">
        <f t="shared" si="15"/>
        <v>5.3429899999999999E-7</v>
      </c>
      <c r="R73">
        <f t="shared" si="15"/>
        <v>2.3220099999999999E-4</v>
      </c>
      <c r="S73">
        <f t="shared" si="15"/>
        <v>8.9011599999999993E-6</v>
      </c>
      <c r="T73">
        <f t="shared" si="15"/>
        <v>2.23975E-5</v>
      </c>
      <c r="U73">
        <f t="shared" si="15"/>
        <v>1.60166E-4</v>
      </c>
      <c r="V73">
        <f t="shared" si="15"/>
        <v>0</v>
      </c>
      <c r="W73">
        <f t="shared" si="15"/>
        <v>0</v>
      </c>
    </row>
    <row r="74" spans="2:23" x14ac:dyDescent="0.25">
      <c r="B74" t="str">
        <f>B36</f>
        <v>CERCLA_OPU-200-SW-2</v>
      </c>
      <c r="C74" t="str">
        <f t="shared" si="15"/>
        <v>216-T-4A</v>
      </c>
      <c r="D74" t="str">
        <f t="shared" si="15"/>
        <v>216-T-4A</v>
      </c>
      <c r="E74" t="str">
        <f t="shared" si="15"/>
        <v>Liquid</v>
      </c>
      <c r="F74">
        <f t="shared" si="15"/>
        <v>19020</v>
      </c>
      <c r="G74">
        <f t="shared" si="15"/>
        <v>1984</v>
      </c>
      <c r="H74">
        <f t="shared" si="15"/>
        <v>8.3717200000000003E-10</v>
      </c>
      <c r="I74">
        <f t="shared" si="15"/>
        <v>0</v>
      </c>
      <c r="J74">
        <f t="shared" si="15"/>
        <v>8.9735500000000003E-8</v>
      </c>
      <c r="K74">
        <f t="shared" si="15"/>
        <v>1.17318E-5</v>
      </c>
      <c r="L74">
        <f t="shared" si="15"/>
        <v>2.1608399999999999E-7</v>
      </c>
      <c r="M74">
        <f t="shared" si="15"/>
        <v>0</v>
      </c>
      <c r="N74">
        <f t="shared" si="15"/>
        <v>1.1065699999999999E-6</v>
      </c>
      <c r="O74">
        <f t="shared" si="15"/>
        <v>2.23488E-8</v>
      </c>
      <c r="P74">
        <f t="shared" si="15"/>
        <v>1.84008E-12</v>
      </c>
      <c r="Q74">
        <f t="shared" si="15"/>
        <v>4.3811600000000001E-11</v>
      </c>
      <c r="R74">
        <f t="shared" si="15"/>
        <v>8.2398799999999995E-9</v>
      </c>
      <c r="S74">
        <f t="shared" si="15"/>
        <v>3.1555700000000002E-10</v>
      </c>
      <c r="T74">
        <f t="shared" si="15"/>
        <v>2.3779600000000001E-10</v>
      </c>
      <c r="U74">
        <f t="shared" si="15"/>
        <v>5.8262200000000002E-9</v>
      </c>
      <c r="V74">
        <f t="shared" si="15"/>
        <v>0</v>
      </c>
      <c r="W74">
        <f t="shared" si="15"/>
        <v>0</v>
      </c>
    </row>
    <row r="75" spans="2:23" x14ac:dyDescent="0.25">
      <c r="B75" t="str">
        <f>B37</f>
        <v>SIM-v2 entrained solids</v>
      </c>
      <c r="C75" t="str">
        <f t="shared" si="15"/>
        <v>216-T-4A</v>
      </c>
      <c r="D75" t="str">
        <f t="shared" si="15"/>
        <v>216-T-4A</v>
      </c>
      <c r="E75" t="str">
        <f t="shared" si="15"/>
        <v>Solids</v>
      </c>
      <c r="F75">
        <f t="shared" si="15"/>
        <v>0</v>
      </c>
      <c r="G75">
        <f t="shared" si="15"/>
        <v>1984</v>
      </c>
      <c r="H75">
        <f t="shared" si="15"/>
        <v>4.6884200000000002E-10</v>
      </c>
      <c r="I75">
        <f t="shared" si="15"/>
        <v>0</v>
      </c>
      <c r="J75">
        <f t="shared" si="15"/>
        <v>1.19757E-7</v>
      </c>
      <c r="K75">
        <f t="shared" si="15"/>
        <v>0</v>
      </c>
      <c r="L75">
        <f t="shared" si="15"/>
        <v>1.66029E-11</v>
      </c>
      <c r="M75">
        <f t="shared" si="15"/>
        <v>0</v>
      </c>
      <c r="N75">
        <f t="shared" si="15"/>
        <v>3.5509200000000002E-5</v>
      </c>
      <c r="O75">
        <f t="shared" si="15"/>
        <v>8.3406399999999994E-9</v>
      </c>
      <c r="P75">
        <f t="shared" si="15"/>
        <v>9.0546299999999999E-7</v>
      </c>
      <c r="Q75">
        <f t="shared" si="15"/>
        <v>4.5669800000000001E-5</v>
      </c>
      <c r="R75">
        <f t="shared" si="15"/>
        <v>3.3212399999999999E-6</v>
      </c>
      <c r="S75">
        <f t="shared" si="15"/>
        <v>1.2795799999999999E-7</v>
      </c>
      <c r="T75">
        <f t="shared" si="15"/>
        <v>1.4558000000000001E-7</v>
      </c>
      <c r="U75">
        <f t="shared" si="15"/>
        <v>2.2328399999999999E-6</v>
      </c>
      <c r="V75">
        <f t="shared" si="15"/>
        <v>0</v>
      </c>
      <c r="W75">
        <f t="shared" si="15"/>
        <v>0</v>
      </c>
    </row>
    <row r="76" spans="2:23" x14ac:dyDescent="0.25">
      <c r="B76" t="str">
        <f>B39</f>
        <v>CERCLA_OPU-200-WA-1</v>
      </c>
      <c r="C76" t="str">
        <f>C39</f>
        <v>216-U-14</v>
      </c>
      <c r="D76" t="str">
        <f>D39</f>
        <v>216-U-14</v>
      </c>
      <c r="E76" t="str">
        <f>E39</f>
        <v>Liquid</v>
      </c>
      <c r="F76">
        <f>F39+F38</f>
        <v>369603.9</v>
      </c>
      <c r="G76">
        <f>G39</f>
        <v>1984</v>
      </c>
      <c r="H76">
        <f t="shared" ref="H76:W76" si="16">H39+H38</f>
        <v>1.7771139000000001E-4</v>
      </c>
      <c r="I76">
        <f t="shared" si="16"/>
        <v>0</v>
      </c>
      <c r="J76">
        <f t="shared" si="16"/>
        <v>8.0526210000000003</v>
      </c>
      <c r="K76">
        <f t="shared" si="16"/>
        <v>9.754462000000001E-7</v>
      </c>
      <c r="L76">
        <f t="shared" si="16"/>
        <v>2.1461539999999999E-6</v>
      </c>
      <c r="M76">
        <f t="shared" si="16"/>
        <v>0</v>
      </c>
      <c r="N76">
        <f t="shared" si="16"/>
        <v>2.5470455000000003E-2</v>
      </c>
      <c r="O76">
        <f t="shared" si="16"/>
        <v>5.1072800000000001E-4</v>
      </c>
      <c r="P76">
        <f t="shared" si="16"/>
        <v>2.917591E-8</v>
      </c>
      <c r="Q76">
        <f t="shared" si="16"/>
        <v>1.2722765999999999E-6</v>
      </c>
      <c r="R76">
        <f t="shared" si="16"/>
        <v>1.2585888E-5</v>
      </c>
      <c r="S76">
        <f t="shared" si="16"/>
        <v>4.8252379999999998E-7</v>
      </c>
      <c r="T76">
        <f t="shared" si="16"/>
        <v>1.2058212999999999E-6</v>
      </c>
      <c r="U76">
        <f t="shared" si="16"/>
        <v>8.7030070000000003E-6</v>
      </c>
      <c r="V76">
        <f t="shared" si="16"/>
        <v>0</v>
      </c>
      <c r="W76">
        <f t="shared" si="16"/>
        <v>0</v>
      </c>
    </row>
    <row r="77" spans="2:23" x14ac:dyDescent="0.25">
      <c r="B77" t="str">
        <f>B40</f>
        <v>CERCLA_OPU-200-CW-1</v>
      </c>
      <c r="C77" t="str">
        <f t="shared" ref="C77:W79" si="17">C40</f>
        <v>216-B-3</v>
      </c>
      <c r="D77" t="str">
        <f t="shared" si="17"/>
        <v>216-B-3</v>
      </c>
      <c r="E77" t="str">
        <f t="shared" si="17"/>
        <v>Liquid</v>
      </c>
      <c r="F77">
        <f t="shared" si="17"/>
        <v>6874000</v>
      </c>
      <c r="G77">
        <f t="shared" si="17"/>
        <v>1994</v>
      </c>
      <c r="H77">
        <f t="shared" si="17"/>
        <v>8.8381100000000004</v>
      </c>
      <c r="I77">
        <f t="shared" si="17"/>
        <v>0</v>
      </c>
      <c r="J77">
        <f t="shared" si="17"/>
        <v>812.99099999999999</v>
      </c>
      <c r="K77">
        <f t="shared" si="17"/>
        <v>2.0984999999999999E-6</v>
      </c>
      <c r="L77">
        <f t="shared" si="17"/>
        <v>4.0168000000000001E-3</v>
      </c>
      <c r="M77">
        <f t="shared" si="17"/>
        <v>0</v>
      </c>
      <c r="N77">
        <f t="shared" si="17"/>
        <v>1.2583</v>
      </c>
      <c r="O77">
        <f t="shared" si="17"/>
        <v>3.54902E-3</v>
      </c>
      <c r="P77">
        <f t="shared" si="17"/>
        <v>2.3583399999999999E-7</v>
      </c>
      <c r="Q77">
        <f t="shared" si="17"/>
        <v>3.57649E-7</v>
      </c>
      <c r="R77">
        <f t="shared" si="17"/>
        <v>6.5085900000000005E-4</v>
      </c>
      <c r="S77">
        <f t="shared" si="17"/>
        <v>2.5008299999999999E-5</v>
      </c>
      <c r="T77">
        <f t="shared" si="17"/>
        <v>6.2949500000000004E-5</v>
      </c>
      <c r="U77">
        <f t="shared" si="17"/>
        <v>4.4996199999999999E-4</v>
      </c>
      <c r="V77">
        <f t="shared" si="17"/>
        <v>0</v>
      </c>
      <c r="W77">
        <f t="shared" si="17"/>
        <v>0</v>
      </c>
    </row>
    <row r="78" spans="2:23" x14ac:dyDescent="0.25">
      <c r="B78" t="str">
        <f>B41</f>
        <v>CERCLA_OPU-200-SW-2</v>
      </c>
      <c r="C78" t="str">
        <f t="shared" si="17"/>
        <v>216-T-4A</v>
      </c>
      <c r="D78" t="str">
        <f t="shared" si="17"/>
        <v>216-T-4A</v>
      </c>
      <c r="E78" t="str">
        <f t="shared" si="17"/>
        <v>Liquid</v>
      </c>
      <c r="F78">
        <f t="shared" si="17"/>
        <v>19020</v>
      </c>
      <c r="G78">
        <f t="shared" si="17"/>
        <v>1994</v>
      </c>
      <c r="H78">
        <f t="shared" si="17"/>
        <v>8.3615499999999999E-10</v>
      </c>
      <c r="I78">
        <f t="shared" si="17"/>
        <v>0</v>
      </c>
      <c r="J78">
        <f t="shared" si="17"/>
        <v>5.11236E-8</v>
      </c>
      <c r="K78">
        <f t="shared" si="17"/>
        <v>1.17318E-5</v>
      </c>
      <c r="L78">
        <f t="shared" si="17"/>
        <v>2.1608399999999999E-7</v>
      </c>
      <c r="M78">
        <f t="shared" si="17"/>
        <v>0</v>
      </c>
      <c r="N78">
        <f t="shared" si="17"/>
        <v>8.6979499999999999E-7</v>
      </c>
      <c r="O78">
        <f t="shared" si="17"/>
        <v>2.2348100000000001E-8</v>
      </c>
      <c r="P78">
        <f t="shared" si="17"/>
        <v>1.66397E-12</v>
      </c>
      <c r="Q78">
        <f t="shared" si="17"/>
        <v>5.3217700000000002E-11</v>
      </c>
      <c r="R78">
        <f t="shared" si="17"/>
        <v>8.3056900000000005E-9</v>
      </c>
      <c r="S78">
        <f t="shared" si="17"/>
        <v>3.1586400000000002E-10</v>
      </c>
      <c r="T78">
        <f t="shared" si="17"/>
        <v>2.3995599999999998E-10</v>
      </c>
      <c r="U78">
        <f t="shared" si="17"/>
        <v>5.8262200000000002E-9</v>
      </c>
      <c r="V78">
        <f t="shared" si="17"/>
        <v>0</v>
      </c>
      <c r="W78">
        <f t="shared" si="17"/>
        <v>0</v>
      </c>
    </row>
    <row r="79" spans="2:23" x14ac:dyDescent="0.25">
      <c r="B79" t="str">
        <f>B42</f>
        <v>SIM-v2 entrained solids</v>
      </c>
      <c r="C79" t="str">
        <f t="shared" si="17"/>
        <v>216-T-4A</v>
      </c>
      <c r="D79" t="str">
        <f t="shared" si="17"/>
        <v>216-T-4A</v>
      </c>
      <c r="E79" t="str">
        <f t="shared" si="17"/>
        <v>Solids</v>
      </c>
      <c r="F79">
        <f t="shared" si="17"/>
        <v>0</v>
      </c>
      <c r="G79">
        <f t="shared" si="17"/>
        <v>1994</v>
      </c>
      <c r="H79">
        <f t="shared" si="17"/>
        <v>4.6827199999999999E-10</v>
      </c>
      <c r="I79">
        <f t="shared" si="17"/>
        <v>0</v>
      </c>
      <c r="J79">
        <f t="shared" si="17"/>
        <v>6.8227299999999996E-8</v>
      </c>
      <c r="K79">
        <f t="shared" si="17"/>
        <v>0</v>
      </c>
      <c r="L79">
        <f t="shared" si="17"/>
        <v>1.733E-11</v>
      </c>
      <c r="M79">
        <f t="shared" si="17"/>
        <v>0</v>
      </c>
      <c r="N79">
        <f t="shared" si="17"/>
        <v>2.7911300000000002E-5</v>
      </c>
      <c r="O79">
        <f t="shared" si="17"/>
        <v>8.3403599999999995E-9</v>
      </c>
      <c r="P79">
        <f t="shared" si="17"/>
        <v>8.18804E-7</v>
      </c>
      <c r="Q79">
        <f t="shared" si="17"/>
        <v>4.5667799999999997E-5</v>
      </c>
      <c r="R79">
        <f t="shared" si="17"/>
        <v>3.3235200000000002E-6</v>
      </c>
      <c r="S79">
        <f t="shared" si="17"/>
        <v>1.2796499999999999E-7</v>
      </c>
      <c r="T79">
        <f t="shared" si="17"/>
        <v>1.4564900000000001E-7</v>
      </c>
      <c r="U79">
        <f t="shared" si="17"/>
        <v>2.2328399999999999E-6</v>
      </c>
      <c r="V79">
        <f t="shared" si="17"/>
        <v>0</v>
      </c>
      <c r="W79">
        <f t="shared" si="17"/>
        <v>0</v>
      </c>
    </row>
    <row r="80" spans="2:23" x14ac:dyDescent="0.25">
      <c r="B80" t="str">
        <f>B44</f>
        <v>CERCLA_OPU-200-WA-1</v>
      </c>
      <c r="C80" t="str">
        <f>C44</f>
        <v>216-U-14</v>
      </c>
      <c r="D80" t="str">
        <f>D44</f>
        <v>216-U-14</v>
      </c>
      <c r="E80" t="str">
        <f>E44</f>
        <v>Liquid</v>
      </c>
      <c r="F80">
        <f>F44+F43</f>
        <v>110032.79</v>
      </c>
      <c r="G80">
        <f>G44</f>
        <v>1994</v>
      </c>
      <c r="H80">
        <f t="shared" ref="H80:W80" si="18">H44+H43</f>
        <v>5.6273629999999998E-5</v>
      </c>
      <c r="I80">
        <f t="shared" si="18"/>
        <v>0</v>
      </c>
      <c r="J80">
        <f t="shared" si="18"/>
        <v>1.4585048</v>
      </c>
      <c r="K80">
        <f t="shared" si="18"/>
        <v>3.0369490000000003E-7</v>
      </c>
      <c r="L80">
        <f t="shared" si="18"/>
        <v>6.636789E-7</v>
      </c>
      <c r="M80">
        <f t="shared" si="18"/>
        <v>0</v>
      </c>
      <c r="N80">
        <f t="shared" si="18"/>
        <v>6.0746250000000002E-3</v>
      </c>
      <c r="O80">
        <f t="shared" si="18"/>
        <v>1.5827747000000001E-4</v>
      </c>
      <c r="P80">
        <f t="shared" si="18"/>
        <v>8.3877529999999994E-9</v>
      </c>
      <c r="Q80">
        <f t="shared" si="18"/>
        <v>4.0449419999999998E-7</v>
      </c>
      <c r="R80">
        <f t="shared" si="18"/>
        <v>4.0000249999999999E-6</v>
      </c>
      <c r="S80">
        <f t="shared" si="18"/>
        <v>1.5335072999999998E-7</v>
      </c>
      <c r="T80">
        <f t="shared" si="18"/>
        <v>3.8332490000000001E-7</v>
      </c>
      <c r="U80">
        <f t="shared" si="18"/>
        <v>2.7657069999999996E-6</v>
      </c>
      <c r="V80">
        <f t="shared" si="18"/>
        <v>0</v>
      </c>
      <c r="W80">
        <f t="shared" si="18"/>
        <v>0</v>
      </c>
    </row>
    <row r="81" spans="2:23" x14ac:dyDescent="0.25">
      <c r="B81" t="str">
        <f>B45</f>
        <v>CERCLA_OPU-200-CW-1</v>
      </c>
      <c r="C81" t="str">
        <f t="shared" ref="C81:W81" si="19">C45</f>
        <v>216-B-3</v>
      </c>
      <c r="D81" t="str">
        <f t="shared" si="19"/>
        <v>216-B-3</v>
      </c>
      <c r="E81" t="str">
        <f t="shared" si="19"/>
        <v>Liquid</v>
      </c>
      <c r="F81">
        <f t="shared" si="19"/>
        <v>5469400</v>
      </c>
      <c r="G81">
        <f t="shared" si="19"/>
        <v>1996</v>
      </c>
      <c r="H81">
        <f t="shared" si="19"/>
        <v>9.0155999999999992</v>
      </c>
      <c r="I81">
        <f t="shared" si="19"/>
        <v>0</v>
      </c>
      <c r="J81">
        <f t="shared" si="19"/>
        <v>890.09500000000003</v>
      </c>
      <c r="K81">
        <f t="shared" si="19"/>
        <v>1.34075E-6</v>
      </c>
      <c r="L81">
        <f t="shared" si="19"/>
        <v>4.4200200000000002E-3</v>
      </c>
      <c r="M81">
        <f t="shared" si="19"/>
        <v>0</v>
      </c>
      <c r="N81">
        <f t="shared" si="19"/>
        <v>1.2235</v>
      </c>
      <c r="O81">
        <f t="shared" si="19"/>
        <v>2.2674800000000001E-3</v>
      </c>
      <c r="P81">
        <f t="shared" si="19"/>
        <v>1.97091E-7</v>
      </c>
      <c r="Q81">
        <f t="shared" si="19"/>
        <v>2.33622E-7</v>
      </c>
      <c r="R81">
        <f t="shared" si="19"/>
        <v>5.5927600000000004E-4</v>
      </c>
      <c r="S81">
        <f t="shared" si="19"/>
        <v>2.14812E-5</v>
      </c>
      <c r="T81">
        <f t="shared" si="19"/>
        <v>5.4080299999999998E-5</v>
      </c>
      <c r="U81">
        <f t="shared" si="19"/>
        <v>3.8647600000000002E-4</v>
      </c>
      <c r="V81">
        <f t="shared" si="19"/>
        <v>0</v>
      </c>
      <c r="W81">
        <f t="shared" si="19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DC4B-037A-4C8A-B77A-11EFB965D3A9}">
  <dimension ref="A1:K85"/>
  <sheetViews>
    <sheetView workbookViewId="0">
      <selection activeCell="C10" sqref="C10:J11"/>
    </sheetView>
  </sheetViews>
  <sheetFormatPr defaultRowHeight="15" x14ac:dyDescent="0.25"/>
  <cols>
    <col min="1" max="1" width="4.7109375" customWidth="1"/>
    <col min="2" max="2" width="22.140625" bestFit="1" customWidth="1"/>
    <col min="3" max="3" width="18.7109375" customWidth="1"/>
    <col min="4" max="4" width="14.7109375" customWidth="1"/>
    <col min="5" max="5" width="11.7109375" bestFit="1" customWidth="1"/>
    <col min="6" max="6" width="12.5703125" bestFit="1" customWidth="1"/>
    <col min="7" max="7" width="20.7109375" customWidth="1"/>
    <col min="8" max="11" width="12.7109375" customWidth="1"/>
    <col min="22" max="23" width="9.140625" customWidth="1"/>
  </cols>
  <sheetData>
    <row r="1" spans="1:11" x14ac:dyDescent="0.25">
      <c r="A1" s="1" t="s">
        <v>41</v>
      </c>
    </row>
    <row r="2" spans="1:11" x14ac:dyDescent="0.25">
      <c r="A2" t="s">
        <v>65</v>
      </c>
    </row>
    <row r="5" spans="1:11" x14ac:dyDescent="0.25">
      <c r="B5" s="1" t="s">
        <v>34</v>
      </c>
    </row>
    <row r="7" spans="1:11" x14ac:dyDescent="0.25">
      <c r="B7" t="s">
        <v>1</v>
      </c>
      <c r="C7" t="s">
        <v>66</v>
      </c>
      <c r="D7" t="s">
        <v>67</v>
      </c>
      <c r="E7" t="s">
        <v>4</v>
      </c>
      <c r="F7" t="s">
        <v>36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</row>
    <row r="8" spans="1:11" x14ac:dyDescent="0.25">
      <c r="B8" t="s">
        <v>94</v>
      </c>
      <c r="C8" t="s">
        <v>80</v>
      </c>
      <c r="D8" t="s">
        <v>80</v>
      </c>
      <c r="E8" t="s">
        <v>25</v>
      </c>
      <c r="F8">
        <v>1944</v>
      </c>
      <c r="G8" s="6">
        <v>172000</v>
      </c>
      <c r="H8" s="6">
        <v>2.5777700000000001</v>
      </c>
      <c r="I8" s="6">
        <v>573.54999999999995</v>
      </c>
      <c r="J8" s="6">
        <v>0</v>
      </c>
    </row>
    <row r="9" spans="1:11" x14ac:dyDescent="0.25">
      <c r="B9" t="s">
        <v>95</v>
      </c>
      <c r="C9" t="s">
        <v>80</v>
      </c>
      <c r="D9" t="s">
        <v>80</v>
      </c>
      <c r="E9" t="s">
        <v>93</v>
      </c>
      <c r="F9">
        <v>1944</v>
      </c>
      <c r="G9" s="6">
        <v>0</v>
      </c>
      <c r="H9" s="6">
        <v>0</v>
      </c>
      <c r="I9" s="6">
        <v>0</v>
      </c>
      <c r="J9" s="6">
        <v>0</v>
      </c>
    </row>
    <row r="10" spans="1:11" x14ac:dyDescent="0.25">
      <c r="B10" t="s">
        <v>73</v>
      </c>
      <c r="C10" t="s">
        <v>24</v>
      </c>
      <c r="D10" t="s">
        <v>24</v>
      </c>
      <c r="E10" t="s">
        <v>25</v>
      </c>
      <c r="F10">
        <v>1944</v>
      </c>
      <c r="G10">
        <v>114357</v>
      </c>
      <c r="H10">
        <v>0.35446100000000003</v>
      </c>
      <c r="I10">
        <v>67.358599999999996</v>
      </c>
      <c r="J10">
        <v>3.1469400000000002E-2</v>
      </c>
    </row>
    <row r="11" spans="1:11" x14ac:dyDescent="0.25">
      <c r="B11" t="s">
        <v>74</v>
      </c>
      <c r="C11" t="s">
        <v>27</v>
      </c>
      <c r="D11" t="s">
        <v>27</v>
      </c>
      <c r="E11" t="s">
        <v>25</v>
      </c>
      <c r="F11">
        <v>1944</v>
      </c>
      <c r="G11">
        <v>4405.6099999999997</v>
      </c>
      <c r="H11">
        <v>1.36557E-2</v>
      </c>
      <c r="I11">
        <v>2.5950099999999998</v>
      </c>
      <c r="J11">
        <v>1.21236E-3</v>
      </c>
    </row>
    <row r="12" spans="1:11" x14ac:dyDescent="0.25">
      <c r="B12" t="s">
        <v>75</v>
      </c>
      <c r="C12" t="s">
        <v>29</v>
      </c>
      <c r="D12" t="s">
        <v>29</v>
      </c>
      <c r="E12" t="s">
        <v>25</v>
      </c>
      <c r="F12">
        <v>1944</v>
      </c>
      <c r="G12">
        <v>42825.8</v>
      </c>
      <c r="H12">
        <v>4.4983900000000001E-5</v>
      </c>
      <c r="I12">
        <v>1235.52</v>
      </c>
      <c r="J12">
        <v>2.53652E-7</v>
      </c>
    </row>
    <row r="13" spans="1:11" x14ac:dyDescent="0.25">
      <c r="B13" t="s">
        <v>73</v>
      </c>
      <c r="C13" t="s">
        <v>30</v>
      </c>
      <c r="D13" t="s">
        <v>30</v>
      </c>
      <c r="E13" t="s">
        <v>25</v>
      </c>
      <c r="F13">
        <v>1956</v>
      </c>
      <c r="G13" s="6">
        <v>5560000</v>
      </c>
      <c r="H13" s="6">
        <v>4.4886799999999996</v>
      </c>
      <c r="I13" s="6">
        <v>54303.5</v>
      </c>
      <c r="J13" s="6">
        <v>113.94</v>
      </c>
    </row>
    <row r="14" spans="1:11" x14ac:dyDescent="0.25">
      <c r="B14" t="s">
        <v>94</v>
      </c>
      <c r="C14" t="s">
        <v>80</v>
      </c>
      <c r="D14" t="s">
        <v>80</v>
      </c>
      <c r="E14" t="s">
        <v>25</v>
      </c>
      <c r="F14">
        <v>1956</v>
      </c>
      <c r="G14" s="6">
        <v>2000350</v>
      </c>
      <c r="H14" s="6">
        <v>30.012</v>
      </c>
      <c r="I14" s="6">
        <v>12008.4</v>
      </c>
      <c r="J14" s="6">
        <v>303.15600000000001</v>
      </c>
    </row>
    <row r="15" spans="1:11" x14ac:dyDescent="0.25">
      <c r="B15" t="s">
        <v>95</v>
      </c>
      <c r="C15" t="s">
        <v>80</v>
      </c>
      <c r="D15" t="s">
        <v>80</v>
      </c>
      <c r="E15" t="s">
        <v>93</v>
      </c>
      <c r="F15">
        <v>1956</v>
      </c>
      <c r="G15" s="6">
        <v>0</v>
      </c>
      <c r="H15" s="6">
        <v>0</v>
      </c>
      <c r="I15" s="6">
        <v>0</v>
      </c>
      <c r="J15" s="6">
        <v>0</v>
      </c>
    </row>
    <row r="16" spans="1:11" x14ac:dyDescent="0.25">
      <c r="B16" t="s">
        <v>73</v>
      </c>
      <c r="C16" t="s">
        <v>24</v>
      </c>
      <c r="D16" t="s">
        <v>24</v>
      </c>
      <c r="E16" t="s">
        <v>25</v>
      </c>
      <c r="F16">
        <v>1956</v>
      </c>
      <c r="G16" s="6">
        <v>8970440</v>
      </c>
      <c r="H16" s="6">
        <v>9.6589600000000004</v>
      </c>
      <c r="I16" s="6">
        <v>15717.3</v>
      </c>
      <c r="J16" s="6">
        <v>241.88499999999999</v>
      </c>
    </row>
    <row r="17" spans="2:10" x14ac:dyDescent="0.25">
      <c r="B17" t="s">
        <v>74</v>
      </c>
      <c r="C17" t="s">
        <v>27</v>
      </c>
      <c r="D17" t="s">
        <v>27</v>
      </c>
      <c r="E17" t="s">
        <v>25</v>
      </c>
      <c r="F17">
        <v>1956</v>
      </c>
      <c r="G17" s="6">
        <v>345588</v>
      </c>
      <c r="H17" s="6">
        <v>0.372114</v>
      </c>
      <c r="I17" s="6">
        <v>605.51300000000003</v>
      </c>
      <c r="J17" s="6">
        <v>9.3186800000000005</v>
      </c>
    </row>
    <row r="18" spans="2:10" x14ac:dyDescent="0.25">
      <c r="B18" t="s">
        <v>75</v>
      </c>
      <c r="C18" t="s">
        <v>29</v>
      </c>
      <c r="D18" t="s">
        <v>29</v>
      </c>
      <c r="E18" t="s">
        <v>25</v>
      </c>
      <c r="F18">
        <v>1956</v>
      </c>
      <c r="G18" s="6">
        <v>2574490</v>
      </c>
      <c r="H18" s="6">
        <v>709.10699999999997</v>
      </c>
      <c r="I18" s="6">
        <v>33976.5</v>
      </c>
      <c r="J18" s="6">
        <v>0.61712500000000003</v>
      </c>
    </row>
    <row r="19" spans="2:10" x14ac:dyDescent="0.25">
      <c r="B19" t="s">
        <v>73</v>
      </c>
      <c r="C19" t="s">
        <v>30</v>
      </c>
      <c r="D19" t="s">
        <v>30</v>
      </c>
      <c r="E19" t="s">
        <v>25</v>
      </c>
      <c r="F19">
        <v>1961</v>
      </c>
      <c r="G19">
        <v>3437540</v>
      </c>
      <c r="H19">
        <v>3.32707E-2</v>
      </c>
      <c r="I19">
        <v>2098.2199999999998</v>
      </c>
      <c r="J19">
        <v>38.972900000000003</v>
      </c>
    </row>
    <row r="20" spans="2:10" x14ac:dyDescent="0.25">
      <c r="B20" t="s">
        <v>94</v>
      </c>
      <c r="C20" t="s">
        <v>80</v>
      </c>
      <c r="D20" t="s">
        <v>80</v>
      </c>
      <c r="E20" t="s">
        <v>25</v>
      </c>
      <c r="F20">
        <v>1961</v>
      </c>
      <c r="G20" s="6">
        <v>966020</v>
      </c>
      <c r="H20" s="6">
        <v>410.67899999999997</v>
      </c>
      <c r="I20" s="6">
        <v>9592.5499999999993</v>
      </c>
      <c r="J20" s="6">
        <v>4.8011199999999997E-2</v>
      </c>
    </row>
    <row r="21" spans="2:10" x14ac:dyDescent="0.25">
      <c r="B21" t="s">
        <v>95</v>
      </c>
      <c r="C21" t="s">
        <v>80</v>
      </c>
      <c r="D21" t="s">
        <v>80</v>
      </c>
      <c r="E21" t="s">
        <v>93</v>
      </c>
      <c r="F21">
        <v>1961</v>
      </c>
      <c r="G21" s="6">
        <v>0</v>
      </c>
      <c r="H21" s="6">
        <v>2.4365599999999999E-5</v>
      </c>
      <c r="I21" s="6">
        <v>5.69127E-4</v>
      </c>
      <c r="J21" s="6">
        <v>6.7098499999999998E-3</v>
      </c>
    </row>
    <row r="22" spans="2:10" x14ac:dyDescent="0.25">
      <c r="B22" t="s">
        <v>73</v>
      </c>
      <c r="C22" t="s">
        <v>24</v>
      </c>
      <c r="D22" t="s">
        <v>24</v>
      </c>
      <c r="E22" t="s">
        <v>25</v>
      </c>
      <c r="F22">
        <v>1961</v>
      </c>
      <c r="G22">
        <v>1967430</v>
      </c>
      <c r="H22">
        <v>3.5444399999999998</v>
      </c>
      <c r="I22">
        <v>19964.2</v>
      </c>
      <c r="J22">
        <v>50.4069</v>
      </c>
    </row>
    <row r="23" spans="2:10" x14ac:dyDescent="0.25">
      <c r="B23" t="s">
        <v>74</v>
      </c>
      <c r="C23" t="s">
        <v>27</v>
      </c>
      <c r="D23" t="s">
        <v>27</v>
      </c>
      <c r="E23" t="s">
        <v>25</v>
      </c>
      <c r="F23">
        <v>1961</v>
      </c>
      <c r="G23">
        <v>75795.8</v>
      </c>
      <c r="H23">
        <v>0.13655</v>
      </c>
      <c r="I23">
        <v>769.12400000000002</v>
      </c>
      <c r="J23">
        <v>1.94194</v>
      </c>
    </row>
    <row r="24" spans="2:10" x14ac:dyDescent="0.25">
      <c r="B24" t="s">
        <v>75</v>
      </c>
      <c r="C24" t="s">
        <v>31</v>
      </c>
      <c r="D24" t="s">
        <v>31</v>
      </c>
      <c r="E24" t="s">
        <v>25</v>
      </c>
      <c r="F24">
        <v>1961</v>
      </c>
      <c r="G24">
        <v>565044</v>
      </c>
      <c r="H24">
        <v>155.52699999999999</v>
      </c>
      <c r="I24">
        <v>7463.09</v>
      </c>
      <c r="J24">
        <v>0.135353</v>
      </c>
    </row>
    <row r="25" spans="2:10" x14ac:dyDescent="0.25">
      <c r="B25" t="s">
        <v>73</v>
      </c>
      <c r="C25" t="s">
        <v>30</v>
      </c>
      <c r="D25" t="s">
        <v>30</v>
      </c>
      <c r="E25" t="s">
        <v>25</v>
      </c>
      <c r="F25">
        <v>1972</v>
      </c>
      <c r="G25" s="6">
        <v>4426000</v>
      </c>
      <c r="H25" s="6">
        <v>228.553</v>
      </c>
      <c r="I25" s="6">
        <v>2428.1</v>
      </c>
      <c r="J25" s="6">
        <v>0.41563600000000001</v>
      </c>
    </row>
    <row r="26" spans="2:10" x14ac:dyDescent="0.25">
      <c r="B26" t="s">
        <v>94</v>
      </c>
      <c r="C26" t="s">
        <v>80</v>
      </c>
      <c r="D26" t="s">
        <v>80</v>
      </c>
      <c r="E26" t="s">
        <v>25</v>
      </c>
      <c r="F26">
        <v>1972</v>
      </c>
      <c r="G26" s="6">
        <v>469020</v>
      </c>
      <c r="H26" s="6">
        <v>596.08600000000001</v>
      </c>
      <c r="I26" s="6">
        <v>13928.6</v>
      </c>
      <c r="J26" s="6">
        <v>2.6102E-3</v>
      </c>
    </row>
    <row r="27" spans="2:10" x14ac:dyDescent="0.25">
      <c r="B27" t="s">
        <v>95</v>
      </c>
      <c r="C27" t="s">
        <v>80</v>
      </c>
      <c r="D27" t="s">
        <v>80</v>
      </c>
      <c r="E27" t="s">
        <v>93</v>
      </c>
      <c r="F27">
        <v>1972</v>
      </c>
      <c r="G27" s="6">
        <v>0</v>
      </c>
      <c r="H27" s="6">
        <v>2.4364700000000001E-5</v>
      </c>
      <c r="I27" s="6">
        <v>5.69106E-4</v>
      </c>
      <c r="J27" s="6">
        <v>6.7098499999999998E-3</v>
      </c>
    </row>
    <row r="28" spans="2:10" x14ac:dyDescent="0.25">
      <c r="B28" t="s">
        <v>73</v>
      </c>
      <c r="C28" t="s">
        <v>24</v>
      </c>
      <c r="D28" t="s">
        <v>24</v>
      </c>
      <c r="E28" t="s">
        <v>25</v>
      </c>
      <c r="F28">
        <v>1972</v>
      </c>
      <c r="G28" s="6">
        <v>1639540</v>
      </c>
      <c r="H28" s="6">
        <v>1.85331</v>
      </c>
      <c r="I28" s="6">
        <v>15439.7</v>
      </c>
      <c r="J28" s="6">
        <v>19.696899999999999</v>
      </c>
    </row>
    <row r="29" spans="2:10" x14ac:dyDescent="0.25">
      <c r="B29" t="s">
        <v>74</v>
      </c>
      <c r="C29" t="s">
        <v>27</v>
      </c>
      <c r="D29" t="s">
        <v>27</v>
      </c>
      <c r="E29" t="s">
        <v>25</v>
      </c>
      <c r="F29">
        <v>1972</v>
      </c>
      <c r="G29" s="6">
        <v>63163.5</v>
      </c>
      <c r="H29" s="6">
        <v>7.1399099999999993E-2</v>
      </c>
      <c r="I29" s="6">
        <v>594.82000000000005</v>
      </c>
      <c r="J29" s="6">
        <v>0.75882899999999998</v>
      </c>
    </row>
    <row r="30" spans="2:10" x14ac:dyDescent="0.25">
      <c r="B30" t="s">
        <v>75</v>
      </c>
      <c r="C30" t="s">
        <v>32</v>
      </c>
      <c r="D30" t="s">
        <v>32</v>
      </c>
      <c r="E30" t="s">
        <v>25</v>
      </c>
      <c r="F30">
        <v>1972</v>
      </c>
      <c r="G30" s="6">
        <v>656029</v>
      </c>
      <c r="H30" s="6">
        <v>216.03399999999999</v>
      </c>
      <c r="I30" s="6">
        <v>6593.08</v>
      </c>
      <c r="J30" s="6">
        <v>0.18800900000000001</v>
      </c>
    </row>
    <row r="31" spans="2:10" x14ac:dyDescent="0.25">
      <c r="B31" t="s">
        <v>73</v>
      </c>
      <c r="C31" t="s">
        <v>30</v>
      </c>
      <c r="D31" t="s">
        <v>30</v>
      </c>
      <c r="E31" t="s">
        <v>25</v>
      </c>
      <c r="F31">
        <v>1976</v>
      </c>
      <c r="G31">
        <v>3421000</v>
      </c>
      <c r="H31">
        <v>3.6090799999999999E-2</v>
      </c>
      <c r="I31">
        <v>1735.42</v>
      </c>
      <c r="J31">
        <v>0.22406400000000001</v>
      </c>
    </row>
    <row r="32" spans="2:10" x14ac:dyDescent="0.25">
      <c r="B32" t="s">
        <v>94</v>
      </c>
      <c r="C32" t="s">
        <v>80</v>
      </c>
      <c r="D32" t="s">
        <v>80</v>
      </c>
      <c r="E32" t="s">
        <v>25</v>
      </c>
      <c r="F32">
        <v>1976</v>
      </c>
      <c r="G32" s="6">
        <v>90115</v>
      </c>
      <c r="H32" s="6">
        <v>121.73699999999999</v>
      </c>
      <c r="I32" s="6">
        <v>2829.77</v>
      </c>
      <c r="J32" s="6">
        <v>4.4901700000000001E-4</v>
      </c>
    </row>
    <row r="33" spans="2:10" x14ac:dyDescent="0.25">
      <c r="B33" t="s">
        <v>95</v>
      </c>
      <c r="C33" t="s">
        <v>80</v>
      </c>
      <c r="D33" t="s">
        <v>80</v>
      </c>
      <c r="E33" t="s">
        <v>93</v>
      </c>
      <c r="F33">
        <v>1976</v>
      </c>
      <c r="G33" s="6">
        <v>0</v>
      </c>
      <c r="H33" s="6">
        <v>2.4364700000000001E-5</v>
      </c>
      <c r="I33" s="6">
        <v>5.69106E-4</v>
      </c>
      <c r="J33" s="6">
        <v>6.7098499999999998E-3</v>
      </c>
    </row>
    <row r="34" spans="2:10" x14ac:dyDescent="0.25">
      <c r="B34" t="s">
        <v>73</v>
      </c>
      <c r="C34" t="s">
        <v>24</v>
      </c>
      <c r="D34" t="s">
        <v>24</v>
      </c>
      <c r="E34" t="s">
        <v>25</v>
      </c>
      <c r="F34">
        <v>1976</v>
      </c>
      <c r="G34">
        <v>5362890</v>
      </c>
      <c r="H34">
        <v>1.4097</v>
      </c>
      <c r="I34">
        <v>253575</v>
      </c>
      <c r="J34">
        <v>0.111807</v>
      </c>
    </row>
    <row r="35" spans="2:10" x14ac:dyDescent="0.25">
      <c r="B35" t="s">
        <v>74</v>
      </c>
      <c r="C35" t="s">
        <v>27</v>
      </c>
      <c r="D35" t="s">
        <v>27</v>
      </c>
      <c r="E35" t="s">
        <v>25</v>
      </c>
      <c r="F35">
        <v>1976</v>
      </c>
      <c r="G35">
        <v>206607</v>
      </c>
      <c r="H35">
        <v>5.43089E-2</v>
      </c>
      <c r="I35">
        <v>9769.0400000000009</v>
      </c>
      <c r="J35">
        <v>4.3073699999999996E-3</v>
      </c>
    </row>
    <row r="36" spans="2:10" x14ac:dyDescent="0.25">
      <c r="B36" t="s">
        <v>75</v>
      </c>
      <c r="C36" t="s">
        <v>32</v>
      </c>
      <c r="D36" t="s">
        <v>32</v>
      </c>
      <c r="E36" t="s">
        <v>25</v>
      </c>
      <c r="F36">
        <v>1976</v>
      </c>
      <c r="G36">
        <v>755027</v>
      </c>
      <c r="H36">
        <v>244.41399999999999</v>
      </c>
      <c r="I36">
        <v>7818.9</v>
      </c>
      <c r="J36">
        <v>0.21270700000000001</v>
      </c>
    </row>
    <row r="37" spans="2:10" x14ac:dyDescent="0.25">
      <c r="B37" t="s">
        <v>73</v>
      </c>
      <c r="C37" t="s">
        <v>30</v>
      </c>
      <c r="D37" t="s">
        <v>30</v>
      </c>
      <c r="E37" t="s">
        <v>25</v>
      </c>
      <c r="F37">
        <v>1984</v>
      </c>
      <c r="G37">
        <v>5320000</v>
      </c>
      <c r="H37">
        <v>5.2534900000000002E-2</v>
      </c>
      <c r="I37">
        <v>2703.47</v>
      </c>
      <c r="J37">
        <v>0.48102600000000001</v>
      </c>
    </row>
    <row r="38" spans="2:10" x14ac:dyDescent="0.25">
      <c r="B38" t="s">
        <v>94</v>
      </c>
      <c r="C38" t="s">
        <v>80</v>
      </c>
      <c r="D38" t="s">
        <v>80</v>
      </c>
      <c r="E38" t="s">
        <v>25</v>
      </c>
      <c r="F38">
        <v>1984</v>
      </c>
      <c r="G38" s="6">
        <v>19020</v>
      </c>
      <c r="H38" s="6">
        <v>32.442599999999999</v>
      </c>
      <c r="I38" s="6">
        <v>757.78700000000003</v>
      </c>
      <c r="J38" s="6">
        <v>1.74854E-5</v>
      </c>
    </row>
    <row r="39" spans="2:10" x14ac:dyDescent="0.25">
      <c r="B39" t="s">
        <v>95</v>
      </c>
      <c r="C39" t="s">
        <v>80</v>
      </c>
      <c r="D39" t="s">
        <v>80</v>
      </c>
      <c r="E39" t="s">
        <v>93</v>
      </c>
      <c r="F39">
        <v>1984</v>
      </c>
      <c r="G39" s="6">
        <v>0</v>
      </c>
      <c r="H39" s="6">
        <v>2.4365699999999999E-5</v>
      </c>
      <c r="I39" s="6">
        <v>5.69127E-4</v>
      </c>
      <c r="J39" s="6">
        <v>6.7098499999999998E-3</v>
      </c>
    </row>
    <row r="40" spans="2:10" x14ac:dyDescent="0.25">
      <c r="B40" t="s">
        <v>73</v>
      </c>
      <c r="C40" t="s">
        <v>24</v>
      </c>
      <c r="D40" t="s">
        <v>24</v>
      </c>
      <c r="E40" t="s">
        <v>25</v>
      </c>
      <c r="F40">
        <v>1984</v>
      </c>
      <c r="G40">
        <v>355893</v>
      </c>
      <c r="H40">
        <v>7.4835900000000004</v>
      </c>
      <c r="I40">
        <v>89462.399999999994</v>
      </c>
      <c r="J40">
        <v>2.5167499999999999E-2</v>
      </c>
    </row>
    <row r="41" spans="2:10" x14ac:dyDescent="0.25">
      <c r="B41" t="s">
        <v>74</v>
      </c>
      <c r="C41" t="s">
        <v>27</v>
      </c>
      <c r="D41" t="s">
        <v>27</v>
      </c>
      <c r="E41" t="s">
        <v>25</v>
      </c>
      <c r="F41">
        <v>1984</v>
      </c>
      <c r="G41">
        <v>13710.9</v>
      </c>
      <c r="H41">
        <v>0.28830699999999998</v>
      </c>
      <c r="I41">
        <v>3446.56</v>
      </c>
      <c r="J41">
        <v>9.6958500000000002E-4</v>
      </c>
    </row>
    <row r="42" spans="2:10" x14ac:dyDescent="0.25">
      <c r="B42" t="s">
        <v>73</v>
      </c>
      <c r="C42" t="s">
        <v>30</v>
      </c>
      <c r="D42" t="s">
        <v>30</v>
      </c>
      <c r="E42" t="s">
        <v>25</v>
      </c>
      <c r="F42">
        <v>1994</v>
      </c>
      <c r="G42">
        <v>6874000</v>
      </c>
      <c r="H42">
        <v>4.3555200000000002E-2</v>
      </c>
      <c r="I42">
        <v>3599.1</v>
      </c>
      <c r="J42">
        <v>1.35137</v>
      </c>
    </row>
    <row r="43" spans="2:10" x14ac:dyDescent="0.25">
      <c r="B43" t="s">
        <v>94</v>
      </c>
      <c r="C43" t="s">
        <v>80</v>
      </c>
      <c r="D43" t="s">
        <v>80</v>
      </c>
      <c r="E43" t="s">
        <v>25</v>
      </c>
      <c r="F43">
        <v>1994</v>
      </c>
      <c r="G43" s="6">
        <v>19020</v>
      </c>
      <c r="H43" s="6">
        <v>32.442599999999999</v>
      </c>
      <c r="I43" s="6">
        <v>757.78700000000003</v>
      </c>
      <c r="J43" s="6">
        <v>1.74854E-5</v>
      </c>
    </row>
    <row r="44" spans="2:10" x14ac:dyDescent="0.25">
      <c r="B44" t="s">
        <v>95</v>
      </c>
      <c r="C44" t="s">
        <v>80</v>
      </c>
      <c r="D44" t="s">
        <v>80</v>
      </c>
      <c r="E44" t="s">
        <v>93</v>
      </c>
      <c r="F44">
        <v>1994</v>
      </c>
      <c r="G44" s="6">
        <v>0</v>
      </c>
      <c r="H44" s="6">
        <v>2.4365699999999999E-5</v>
      </c>
      <c r="I44" s="6">
        <v>5.69127E-4</v>
      </c>
      <c r="J44" s="6">
        <v>6.7098499999999998E-3</v>
      </c>
    </row>
    <row r="45" spans="2:10" x14ac:dyDescent="0.25">
      <c r="B45" t="s">
        <v>73</v>
      </c>
      <c r="C45" t="s">
        <v>24</v>
      </c>
      <c r="D45" t="s">
        <v>24</v>
      </c>
      <c r="E45" t="s">
        <v>25</v>
      </c>
      <c r="F45">
        <v>1994</v>
      </c>
      <c r="G45">
        <v>105951</v>
      </c>
      <c r="H45">
        <v>2.3788999999999998</v>
      </c>
      <c r="I45">
        <v>28037.8</v>
      </c>
      <c r="J45">
        <v>7.9979400000000003E-3</v>
      </c>
    </row>
    <row r="46" spans="2:10" x14ac:dyDescent="0.25">
      <c r="B46" t="s">
        <v>74</v>
      </c>
      <c r="C46" t="s">
        <v>27</v>
      </c>
      <c r="D46" t="s">
        <v>27</v>
      </c>
      <c r="E46" t="s">
        <v>25</v>
      </c>
      <c r="F46">
        <v>1994</v>
      </c>
      <c r="G46">
        <v>4081.79</v>
      </c>
      <c r="H46">
        <v>9.1647900000000004E-2</v>
      </c>
      <c r="I46">
        <v>1080.1600000000001</v>
      </c>
      <c r="J46">
        <v>3.0812199999999997E-4</v>
      </c>
    </row>
    <row r="47" spans="2:10" x14ac:dyDescent="0.25">
      <c r="B47" t="s">
        <v>73</v>
      </c>
      <c r="C47" t="s">
        <v>30</v>
      </c>
      <c r="D47" t="s">
        <v>30</v>
      </c>
      <c r="E47" t="s">
        <v>25</v>
      </c>
      <c r="F47">
        <v>1996</v>
      </c>
      <c r="G47">
        <v>5469400</v>
      </c>
      <c r="H47">
        <v>2.8911699999999999E-2</v>
      </c>
      <c r="I47">
        <v>2888.05</v>
      </c>
      <c r="J47">
        <v>1.1607099999999999</v>
      </c>
    </row>
    <row r="50" spans="2:11" x14ac:dyDescent="0.25">
      <c r="B50" s="1" t="s">
        <v>35</v>
      </c>
    </row>
    <row r="52" spans="2:11" x14ac:dyDescent="0.25">
      <c r="B52" t="str">
        <f>B7</f>
        <v>Inventory Module</v>
      </c>
      <c r="C52" t="str">
        <f t="shared" ref="C52:K52" si="0">C7</f>
        <v>SIMV2 Site Name</v>
      </c>
      <c r="D52" t="str">
        <f t="shared" si="0"/>
        <v>CIE Site Name</v>
      </c>
      <c r="E52" t="str">
        <f t="shared" si="0"/>
        <v>Source Type</v>
      </c>
      <c r="F52" t="str">
        <f t="shared" si="0"/>
        <v>Year</v>
      </c>
      <c r="G52" t="str">
        <f t="shared" si="0"/>
        <v>Volume Mean [m3]</v>
      </c>
      <c r="H52" t="str">
        <f t="shared" si="0"/>
        <v>Cr [kg]</v>
      </c>
      <c r="I52" t="str">
        <f t="shared" si="0"/>
        <v>NO3 [kg]</v>
      </c>
      <c r="J52" t="str">
        <f t="shared" si="0"/>
        <v>U-Total [kg]</v>
      </c>
      <c r="K52" t="str">
        <f t="shared" si="0"/>
        <v>CN [kg]</v>
      </c>
    </row>
    <row r="53" spans="2:11" x14ac:dyDescent="0.25">
      <c r="B53" t="str">
        <f>B8</f>
        <v>OPU_200_SW_2</v>
      </c>
      <c r="C53" t="str">
        <f t="shared" ref="C53:K53" si="1">C8</f>
        <v>216-T-4A</v>
      </c>
      <c r="D53" t="str">
        <f t="shared" si="1"/>
        <v>216-T-4A</v>
      </c>
      <c r="E53" t="str">
        <f t="shared" si="1"/>
        <v>Liquid</v>
      </c>
      <c r="F53">
        <f t="shared" si="1"/>
        <v>1944</v>
      </c>
      <c r="G53">
        <f t="shared" si="1"/>
        <v>172000</v>
      </c>
      <c r="H53">
        <f t="shared" si="1"/>
        <v>2.5777700000000001</v>
      </c>
      <c r="I53">
        <f t="shared" si="1"/>
        <v>573.54999999999995</v>
      </c>
      <c r="J53">
        <f t="shared" si="1"/>
        <v>0</v>
      </c>
      <c r="K53">
        <f t="shared" si="1"/>
        <v>0</v>
      </c>
    </row>
    <row r="54" spans="2:11" x14ac:dyDescent="0.25">
      <c r="B54" t="str">
        <f>B9</f>
        <v>SIMSolids</v>
      </c>
      <c r="C54" t="str">
        <f t="shared" ref="C54:K54" si="2">C9</f>
        <v>216-T-4A</v>
      </c>
      <c r="D54" t="str">
        <f t="shared" si="2"/>
        <v>216-T-4A</v>
      </c>
      <c r="E54" t="str">
        <f t="shared" si="2"/>
        <v>Solids</v>
      </c>
      <c r="F54">
        <f t="shared" si="2"/>
        <v>1944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0</v>
      </c>
      <c r="K54">
        <f t="shared" si="2"/>
        <v>0</v>
      </c>
    </row>
    <row r="55" spans="2:11" x14ac:dyDescent="0.25">
      <c r="B55" t="str">
        <f>B11</f>
        <v>OPU_200_WA_1</v>
      </c>
      <c r="C55" t="str">
        <f>C11</f>
        <v>216-U-14</v>
      </c>
      <c r="D55" t="str">
        <f>D11</f>
        <v>216-U-14</v>
      </c>
      <c r="E55" t="str">
        <f>E11</f>
        <v>Liquid</v>
      </c>
      <c r="F55">
        <f>F11</f>
        <v>1944</v>
      </c>
      <c r="G55">
        <f>G11+G10</f>
        <v>118762.61</v>
      </c>
      <c r="H55">
        <f>H11+H10</f>
        <v>0.36811670000000002</v>
      </c>
      <c r="I55">
        <f>I11+I10</f>
        <v>69.953609999999998</v>
      </c>
      <c r="J55">
        <f>J11+J10</f>
        <v>3.2681760000000004E-2</v>
      </c>
      <c r="K55">
        <f>K11+K10</f>
        <v>0</v>
      </c>
    </row>
    <row r="56" spans="2:11" x14ac:dyDescent="0.25">
      <c r="B56" t="str">
        <f>B12</f>
        <v>OPU_200_CW_5</v>
      </c>
      <c r="C56" t="str">
        <f t="shared" ref="C56:K59" si="3">C12</f>
        <v>216-Z-1D</v>
      </c>
      <c r="D56" t="str">
        <f t="shared" si="3"/>
        <v>216-Z-1D</v>
      </c>
      <c r="E56" t="str">
        <f t="shared" si="3"/>
        <v>Liquid</v>
      </c>
      <c r="F56">
        <f t="shared" si="3"/>
        <v>1944</v>
      </c>
      <c r="G56">
        <f t="shared" si="3"/>
        <v>42825.8</v>
      </c>
      <c r="H56">
        <f t="shared" si="3"/>
        <v>4.4983900000000001E-5</v>
      </c>
      <c r="I56">
        <f t="shared" si="3"/>
        <v>1235.52</v>
      </c>
      <c r="J56">
        <f t="shared" si="3"/>
        <v>2.53652E-7</v>
      </c>
      <c r="K56">
        <f t="shared" si="3"/>
        <v>0</v>
      </c>
    </row>
    <row r="57" spans="2:11" x14ac:dyDescent="0.25">
      <c r="B57" t="str">
        <f>B13</f>
        <v>OPU_200_CW_1</v>
      </c>
      <c r="C57" t="str">
        <f t="shared" si="3"/>
        <v>216-B-3</v>
      </c>
      <c r="D57" t="str">
        <f t="shared" si="3"/>
        <v>216-B-3</v>
      </c>
      <c r="E57" t="str">
        <f t="shared" si="3"/>
        <v>Liquid</v>
      </c>
      <c r="F57">
        <f t="shared" si="3"/>
        <v>1956</v>
      </c>
      <c r="G57">
        <f t="shared" si="3"/>
        <v>5560000</v>
      </c>
      <c r="H57">
        <f t="shared" si="3"/>
        <v>4.4886799999999996</v>
      </c>
      <c r="I57">
        <f t="shared" si="3"/>
        <v>54303.5</v>
      </c>
      <c r="J57">
        <f t="shared" si="3"/>
        <v>113.94</v>
      </c>
      <c r="K57">
        <f t="shared" si="3"/>
        <v>0</v>
      </c>
    </row>
    <row r="58" spans="2:11" x14ac:dyDescent="0.25">
      <c r="B58" t="str">
        <f>B14</f>
        <v>OPU_200_SW_2</v>
      </c>
      <c r="C58" t="str">
        <f t="shared" si="3"/>
        <v>216-T-4A</v>
      </c>
      <c r="D58" t="str">
        <f t="shared" si="3"/>
        <v>216-T-4A</v>
      </c>
      <c r="E58" t="str">
        <f t="shared" si="3"/>
        <v>Liquid</v>
      </c>
      <c r="F58">
        <f t="shared" si="3"/>
        <v>1956</v>
      </c>
      <c r="G58">
        <f t="shared" si="3"/>
        <v>2000350</v>
      </c>
      <c r="H58">
        <f t="shared" si="3"/>
        <v>30.012</v>
      </c>
      <c r="I58">
        <f t="shared" si="3"/>
        <v>12008.4</v>
      </c>
      <c r="J58">
        <f t="shared" si="3"/>
        <v>303.15600000000001</v>
      </c>
      <c r="K58">
        <f t="shared" si="3"/>
        <v>0</v>
      </c>
    </row>
    <row r="59" spans="2:11" x14ac:dyDescent="0.25">
      <c r="B59" t="str">
        <f>B15</f>
        <v>SIMSolids</v>
      </c>
      <c r="C59" t="str">
        <f t="shared" si="3"/>
        <v>216-T-4A</v>
      </c>
      <c r="D59" t="str">
        <f t="shared" si="3"/>
        <v>216-T-4A</v>
      </c>
      <c r="E59" t="str">
        <f t="shared" si="3"/>
        <v>Solids</v>
      </c>
      <c r="F59">
        <f t="shared" si="3"/>
        <v>1956</v>
      </c>
      <c r="G59">
        <f t="shared" si="3"/>
        <v>0</v>
      </c>
      <c r="H59">
        <f t="shared" si="3"/>
        <v>0</v>
      </c>
      <c r="I59">
        <f t="shared" si="3"/>
        <v>0</v>
      </c>
      <c r="J59">
        <f t="shared" si="3"/>
        <v>0</v>
      </c>
      <c r="K59">
        <f t="shared" si="3"/>
        <v>0</v>
      </c>
    </row>
    <row r="60" spans="2:11" x14ac:dyDescent="0.25">
      <c r="B60" t="str">
        <f>B17</f>
        <v>OPU_200_WA_1</v>
      </c>
      <c r="C60" t="str">
        <f>C17</f>
        <v>216-U-14</v>
      </c>
      <c r="D60" t="str">
        <f>D17</f>
        <v>216-U-14</v>
      </c>
      <c r="E60" t="str">
        <f>E17</f>
        <v>Liquid</v>
      </c>
      <c r="F60">
        <f>F17</f>
        <v>1956</v>
      </c>
      <c r="G60" s="6">
        <f>G17+G16</f>
        <v>9316028</v>
      </c>
      <c r="H60" s="6">
        <f>H17+H16</f>
        <v>10.031074</v>
      </c>
      <c r="I60" s="6">
        <f>I17+I16</f>
        <v>16322.813</v>
      </c>
      <c r="J60" s="6">
        <f>J17+J16</f>
        <v>251.20367999999999</v>
      </c>
      <c r="K60" s="6">
        <f>K17+K16</f>
        <v>0</v>
      </c>
    </row>
    <row r="61" spans="2:11" x14ac:dyDescent="0.25">
      <c r="B61" t="str">
        <f>B18</f>
        <v>OPU_200_CW_5</v>
      </c>
      <c r="C61" t="str">
        <f t="shared" ref="C61:K64" si="4">C18</f>
        <v>216-Z-1D</v>
      </c>
      <c r="D61" t="str">
        <f t="shared" si="4"/>
        <v>216-Z-1D</v>
      </c>
      <c r="E61" t="str">
        <f t="shared" si="4"/>
        <v>Liquid</v>
      </c>
      <c r="F61">
        <f t="shared" si="4"/>
        <v>1956</v>
      </c>
      <c r="G61">
        <f t="shared" si="4"/>
        <v>2574490</v>
      </c>
      <c r="H61">
        <f t="shared" si="4"/>
        <v>709.10699999999997</v>
      </c>
      <c r="I61">
        <f t="shared" si="4"/>
        <v>33976.5</v>
      </c>
      <c r="J61">
        <f t="shared" si="4"/>
        <v>0.61712500000000003</v>
      </c>
      <c r="K61">
        <f t="shared" si="4"/>
        <v>0</v>
      </c>
    </row>
    <row r="62" spans="2:11" x14ac:dyDescent="0.25">
      <c r="B62" t="str">
        <f>B19</f>
        <v>OPU_200_CW_1</v>
      </c>
      <c r="C62" t="str">
        <f t="shared" si="4"/>
        <v>216-B-3</v>
      </c>
      <c r="D62" t="str">
        <f t="shared" si="4"/>
        <v>216-B-3</v>
      </c>
      <c r="E62" t="str">
        <f t="shared" si="4"/>
        <v>Liquid</v>
      </c>
      <c r="F62">
        <f t="shared" si="4"/>
        <v>1961</v>
      </c>
      <c r="G62">
        <f t="shared" si="4"/>
        <v>3437540</v>
      </c>
      <c r="H62">
        <f t="shared" si="4"/>
        <v>3.32707E-2</v>
      </c>
      <c r="I62">
        <f t="shared" si="4"/>
        <v>2098.2199999999998</v>
      </c>
      <c r="J62">
        <f t="shared" si="4"/>
        <v>38.972900000000003</v>
      </c>
      <c r="K62">
        <f t="shared" si="4"/>
        <v>0</v>
      </c>
    </row>
    <row r="63" spans="2:11" x14ac:dyDescent="0.25">
      <c r="B63" t="str">
        <f>B20</f>
        <v>OPU_200_SW_2</v>
      </c>
      <c r="C63" t="str">
        <f t="shared" si="4"/>
        <v>216-T-4A</v>
      </c>
      <c r="D63" t="str">
        <f t="shared" si="4"/>
        <v>216-T-4A</v>
      </c>
      <c r="E63" t="str">
        <f t="shared" si="4"/>
        <v>Liquid</v>
      </c>
      <c r="F63">
        <f t="shared" si="4"/>
        <v>1961</v>
      </c>
      <c r="G63">
        <f t="shared" si="4"/>
        <v>966020</v>
      </c>
      <c r="H63">
        <f t="shared" si="4"/>
        <v>410.67899999999997</v>
      </c>
      <c r="I63">
        <f t="shared" si="4"/>
        <v>9592.5499999999993</v>
      </c>
      <c r="J63">
        <f t="shared" si="4"/>
        <v>4.8011199999999997E-2</v>
      </c>
      <c r="K63">
        <f t="shared" si="4"/>
        <v>0</v>
      </c>
    </row>
    <row r="64" spans="2:11" x14ac:dyDescent="0.25">
      <c r="B64" t="str">
        <f>B21</f>
        <v>SIMSolids</v>
      </c>
      <c r="C64" t="str">
        <f t="shared" si="4"/>
        <v>216-T-4A</v>
      </c>
      <c r="D64" t="str">
        <f t="shared" si="4"/>
        <v>216-T-4A</v>
      </c>
      <c r="E64" t="str">
        <f t="shared" si="4"/>
        <v>Solids</v>
      </c>
      <c r="F64">
        <f t="shared" si="4"/>
        <v>1961</v>
      </c>
      <c r="G64">
        <f t="shared" si="4"/>
        <v>0</v>
      </c>
      <c r="H64">
        <f t="shared" si="4"/>
        <v>2.4365599999999999E-5</v>
      </c>
      <c r="I64">
        <f t="shared" si="4"/>
        <v>5.69127E-4</v>
      </c>
      <c r="J64">
        <f t="shared" si="4"/>
        <v>6.7098499999999998E-3</v>
      </c>
      <c r="K64">
        <f t="shared" si="4"/>
        <v>0</v>
      </c>
    </row>
    <row r="65" spans="2:11" x14ac:dyDescent="0.25">
      <c r="B65" t="str">
        <f>B23</f>
        <v>OPU_200_WA_1</v>
      </c>
      <c r="C65" t="str">
        <f>C23</f>
        <v>216-U-14</v>
      </c>
      <c r="D65" t="str">
        <f>D23</f>
        <v>216-U-14</v>
      </c>
      <c r="E65" t="str">
        <f>E23</f>
        <v>Liquid</v>
      </c>
      <c r="F65">
        <f>F23</f>
        <v>1961</v>
      </c>
      <c r="G65">
        <f>G23+G22</f>
        <v>2043225.8</v>
      </c>
      <c r="H65">
        <f>H23+H22</f>
        <v>3.68099</v>
      </c>
      <c r="I65">
        <f>I23+I22</f>
        <v>20733.324000000001</v>
      </c>
      <c r="J65">
        <f>J23+J22</f>
        <v>52.348840000000003</v>
      </c>
      <c r="K65">
        <f>K23+K22</f>
        <v>0</v>
      </c>
    </row>
    <row r="66" spans="2:11" x14ac:dyDescent="0.25">
      <c r="B66" t="str">
        <f>B24</f>
        <v>OPU_200_CW_5</v>
      </c>
      <c r="C66" t="str">
        <f t="shared" ref="C66:K69" si="5">C24</f>
        <v>216-Z-11</v>
      </c>
      <c r="D66" t="str">
        <f t="shared" si="5"/>
        <v>216-Z-11</v>
      </c>
      <c r="E66" t="str">
        <f t="shared" si="5"/>
        <v>Liquid</v>
      </c>
      <c r="F66">
        <f t="shared" si="5"/>
        <v>1961</v>
      </c>
      <c r="G66">
        <f t="shared" si="5"/>
        <v>565044</v>
      </c>
      <c r="H66">
        <f t="shared" si="5"/>
        <v>155.52699999999999</v>
      </c>
      <c r="I66">
        <f t="shared" si="5"/>
        <v>7463.09</v>
      </c>
      <c r="J66">
        <f t="shared" si="5"/>
        <v>0.135353</v>
      </c>
      <c r="K66">
        <f t="shared" si="5"/>
        <v>0</v>
      </c>
    </row>
    <row r="67" spans="2:11" x14ac:dyDescent="0.25">
      <c r="B67" t="str">
        <f>B25</f>
        <v>OPU_200_CW_1</v>
      </c>
      <c r="C67" t="str">
        <f t="shared" si="5"/>
        <v>216-B-3</v>
      </c>
      <c r="D67" t="str">
        <f t="shared" si="5"/>
        <v>216-B-3</v>
      </c>
      <c r="E67" t="str">
        <f t="shared" si="5"/>
        <v>Liquid</v>
      </c>
      <c r="F67">
        <f t="shared" si="5"/>
        <v>1972</v>
      </c>
      <c r="G67">
        <f t="shared" si="5"/>
        <v>4426000</v>
      </c>
      <c r="H67">
        <f t="shared" si="5"/>
        <v>228.553</v>
      </c>
      <c r="I67">
        <f t="shared" si="5"/>
        <v>2428.1</v>
      </c>
      <c r="J67">
        <f t="shared" si="5"/>
        <v>0.41563600000000001</v>
      </c>
      <c r="K67">
        <f t="shared" si="5"/>
        <v>0</v>
      </c>
    </row>
    <row r="68" spans="2:11" x14ac:dyDescent="0.25">
      <c r="B68" t="str">
        <f>B26</f>
        <v>OPU_200_SW_2</v>
      </c>
      <c r="C68" t="str">
        <f t="shared" si="5"/>
        <v>216-T-4A</v>
      </c>
      <c r="D68" t="str">
        <f t="shared" si="5"/>
        <v>216-T-4A</v>
      </c>
      <c r="E68" t="str">
        <f t="shared" si="5"/>
        <v>Liquid</v>
      </c>
      <c r="F68">
        <f t="shared" si="5"/>
        <v>1972</v>
      </c>
      <c r="G68">
        <f t="shared" si="5"/>
        <v>469020</v>
      </c>
      <c r="H68">
        <f t="shared" si="5"/>
        <v>596.08600000000001</v>
      </c>
      <c r="I68">
        <f t="shared" si="5"/>
        <v>13928.6</v>
      </c>
      <c r="J68">
        <f t="shared" si="5"/>
        <v>2.6102E-3</v>
      </c>
      <c r="K68">
        <f t="shared" si="5"/>
        <v>0</v>
      </c>
    </row>
    <row r="69" spans="2:11" x14ac:dyDescent="0.25">
      <c r="B69" t="str">
        <f>B27</f>
        <v>SIMSolids</v>
      </c>
      <c r="C69" t="str">
        <f t="shared" si="5"/>
        <v>216-T-4A</v>
      </c>
      <c r="D69" t="str">
        <f t="shared" si="5"/>
        <v>216-T-4A</v>
      </c>
      <c r="E69" t="str">
        <f t="shared" si="5"/>
        <v>Solids</v>
      </c>
      <c r="F69">
        <f t="shared" si="5"/>
        <v>1972</v>
      </c>
      <c r="G69">
        <f t="shared" si="5"/>
        <v>0</v>
      </c>
      <c r="H69">
        <f t="shared" si="5"/>
        <v>2.4364700000000001E-5</v>
      </c>
      <c r="I69">
        <f t="shared" si="5"/>
        <v>5.69106E-4</v>
      </c>
      <c r="J69">
        <f t="shared" si="5"/>
        <v>6.7098499999999998E-3</v>
      </c>
      <c r="K69">
        <f t="shared" si="5"/>
        <v>0</v>
      </c>
    </row>
    <row r="70" spans="2:11" x14ac:dyDescent="0.25">
      <c r="B70" t="str">
        <f>B29</f>
        <v>OPU_200_WA_1</v>
      </c>
      <c r="C70" t="str">
        <f>C29</f>
        <v>216-U-14</v>
      </c>
      <c r="D70" t="str">
        <f>D29</f>
        <v>216-U-14</v>
      </c>
      <c r="E70" t="str">
        <f>E29</f>
        <v>Liquid</v>
      </c>
      <c r="F70">
        <f>F29</f>
        <v>1972</v>
      </c>
      <c r="G70" s="6">
        <f>G29+G28</f>
        <v>1702703.5</v>
      </c>
      <c r="H70" s="6">
        <f>H29+H28</f>
        <v>1.9247091000000001</v>
      </c>
      <c r="I70" s="6">
        <f>I29+I28</f>
        <v>16034.52</v>
      </c>
      <c r="J70" s="6">
        <f>J29+J28</f>
        <v>20.455728999999998</v>
      </c>
      <c r="K70" s="6">
        <f>K29+K28</f>
        <v>0</v>
      </c>
    </row>
    <row r="71" spans="2:11" x14ac:dyDescent="0.25">
      <c r="B71" t="str">
        <f>B30</f>
        <v>OPU_200_CW_5</v>
      </c>
      <c r="C71" t="str">
        <f t="shared" ref="C71:K74" si="6">C30</f>
        <v>216-Z-19</v>
      </c>
      <c r="D71" t="str">
        <f t="shared" si="6"/>
        <v>216-Z-19</v>
      </c>
      <c r="E71" t="str">
        <f t="shared" si="6"/>
        <v>Liquid</v>
      </c>
      <c r="F71">
        <f t="shared" si="6"/>
        <v>1972</v>
      </c>
      <c r="G71">
        <f t="shared" si="6"/>
        <v>656029</v>
      </c>
      <c r="H71">
        <f t="shared" si="6"/>
        <v>216.03399999999999</v>
      </c>
      <c r="I71">
        <f t="shared" si="6"/>
        <v>6593.08</v>
      </c>
      <c r="J71">
        <f t="shared" si="6"/>
        <v>0.18800900000000001</v>
      </c>
      <c r="K71">
        <f t="shared" si="6"/>
        <v>0</v>
      </c>
    </row>
    <row r="72" spans="2:11" x14ac:dyDescent="0.25">
      <c r="B72" t="str">
        <f>B31</f>
        <v>OPU_200_CW_1</v>
      </c>
      <c r="C72" t="str">
        <f t="shared" si="6"/>
        <v>216-B-3</v>
      </c>
      <c r="D72" t="str">
        <f t="shared" si="6"/>
        <v>216-B-3</v>
      </c>
      <c r="E72" t="str">
        <f t="shared" si="6"/>
        <v>Liquid</v>
      </c>
      <c r="F72">
        <f t="shared" si="6"/>
        <v>1976</v>
      </c>
      <c r="G72">
        <f t="shared" si="6"/>
        <v>3421000</v>
      </c>
      <c r="H72">
        <f t="shared" si="6"/>
        <v>3.6090799999999999E-2</v>
      </c>
      <c r="I72">
        <f t="shared" si="6"/>
        <v>1735.42</v>
      </c>
      <c r="J72">
        <f t="shared" si="6"/>
        <v>0.22406400000000001</v>
      </c>
      <c r="K72">
        <f t="shared" si="6"/>
        <v>0</v>
      </c>
    </row>
    <row r="73" spans="2:11" x14ac:dyDescent="0.25">
      <c r="B73" t="str">
        <f>B32</f>
        <v>OPU_200_SW_2</v>
      </c>
      <c r="C73" t="str">
        <f t="shared" si="6"/>
        <v>216-T-4A</v>
      </c>
      <c r="D73" t="str">
        <f t="shared" si="6"/>
        <v>216-T-4A</v>
      </c>
      <c r="E73" t="str">
        <f t="shared" si="6"/>
        <v>Liquid</v>
      </c>
      <c r="F73">
        <f t="shared" si="6"/>
        <v>1976</v>
      </c>
      <c r="G73">
        <f t="shared" si="6"/>
        <v>90115</v>
      </c>
      <c r="H73">
        <f t="shared" si="6"/>
        <v>121.73699999999999</v>
      </c>
      <c r="I73">
        <f t="shared" si="6"/>
        <v>2829.77</v>
      </c>
      <c r="J73">
        <f t="shared" si="6"/>
        <v>4.4901700000000001E-4</v>
      </c>
      <c r="K73">
        <f t="shared" si="6"/>
        <v>0</v>
      </c>
    </row>
    <row r="74" spans="2:11" x14ac:dyDescent="0.25">
      <c r="B74" t="str">
        <f>B33</f>
        <v>SIMSolids</v>
      </c>
      <c r="C74" t="str">
        <f t="shared" si="6"/>
        <v>216-T-4A</v>
      </c>
      <c r="D74" t="str">
        <f t="shared" si="6"/>
        <v>216-T-4A</v>
      </c>
      <c r="E74" t="str">
        <f t="shared" si="6"/>
        <v>Solids</v>
      </c>
      <c r="F74">
        <f t="shared" si="6"/>
        <v>1976</v>
      </c>
      <c r="G74">
        <f t="shared" si="6"/>
        <v>0</v>
      </c>
      <c r="H74">
        <f t="shared" si="6"/>
        <v>2.4364700000000001E-5</v>
      </c>
      <c r="I74">
        <f t="shared" si="6"/>
        <v>5.69106E-4</v>
      </c>
      <c r="J74">
        <f t="shared" si="6"/>
        <v>6.7098499999999998E-3</v>
      </c>
      <c r="K74">
        <f t="shared" si="6"/>
        <v>0</v>
      </c>
    </row>
    <row r="75" spans="2:11" x14ac:dyDescent="0.25">
      <c r="B75" t="str">
        <f>B35</f>
        <v>OPU_200_WA_1</v>
      </c>
      <c r="C75" t="str">
        <f>C35</f>
        <v>216-U-14</v>
      </c>
      <c r="D75" t="str">
        <f>D35</f>
        <v>216-U-14</v>
      </c>
      <c r="E75" t="str">
        <f>E35</f>
        <v>Liquid</v>
      </c>
      <c r="F75">
        <f>F35</f>
        <v>1976</v>
      </c>
      <c r="G75">
        <f>G35+G34</f>
        <v>5569497</v>
      </c>
      <c r="H75">
        <f>H35+H34</f>
        <v>1.4640089000000001</v>
      </c>
      <c r="I75">
        <f>I35+I34</f>
        <v>263344.03999999998</v>
      </c>
      <c r="J75">
        <f>J35+J34</f>
        <v>0.11611437000000001</v>
      </c>
      <c r="K75">
        <f>K35+K34</f>
        <v>0</v>
      </c>
    </row>
    <row r="76" spans="2:11" x14ac:dyDescent="0.25">
      <c r="B76" t="str">
        <f>B36</f>
        <v>OPU_200_CW_5</v>
      </c>
      <c r="C76" t="str">
        <f t="shared" ref="C76:K79" si="7">C36</f>
        <v>216-Z-19</v>
      </c>
      <c r="D76" t="str">
        <f t="shared" si="7"/>
        <v>216-Z-19</v>
      </c>
      <c r="E76" t="str">
        <f t="shared" si="7"/>
        <v>Liquid</v>
      </c>
      <c r="F76">
        <f t="shared" si="7"/>
        <v>1976</v>
      </c>
      <c r="G76">
        <f t="shared" si="7"/>
        <v>755027</v>
      </c>
      <c r="H76">
        <f t="shared" si="7"/>
        <v>244.41399999999999</v>
      </c>
      <c r="I76">
        <f t="shared" si="7"/>
        <v>7818.9</v>
      </c>
      <c r="J76">
        <f t="shared" si="7"/>
        <v>0.21270700000000001</v>
      </c>
      <c r="K76">
        <f t="shared" si="7"/>
        <v>0</v>
      </c>
    </row>
    <row r="77" spans="2:11" x14ac:dyDescent="0.25">
      <c r="B77" t="str">
        <f>B37</f>
        <v>OPU_200_CW_1</v>
      </c>
      <c r="C77" t="str">
        <f t="shared" si="7"/>
        <v>216-B-3</v>
      </c>
      <c r="D77" t="str">
        <f t="shared" si="7"/>
        <v>216-B-3</v>
      </c>
      <c r="E77" t="str">
        <f t="shared" si="7"/>
        <v>Liquid</v>
      </c>
      <c r="F77">
        <f t="shared" si="7"/>
        <v>1984</v>
      </c>
      <c r="G77">
        <f t="shared" si="7"/>
        <v>5320000</v>
      </c>
      <c r="H77">
        <f t="shared" si="7"/>
        <v>5.2534900000000002E-2</v>
      </c>
      <c r="I77">
        <f t="shared" si="7"/>
        <v>2703.47</v>
      </c>
      <c r="J77">
        <f t="shared" si="7"/>
        <v>0.48102600000000001</v>
      </c>
      <c r="K77">
        <f t="shared" si="7"/>
        <v>0</v>
      </c>
    </row>
    <row r="78" spans="2:11" x14ac:dyDescent="0.25">
      <c r="B78" t="str">
        <f>B38</f>
        <v>OPU_200_SW_2</v>
      </c>
      <c r="C78" t="str">
        <f t="shared" si="7"/>
        <v>216-T-4A</v>
      </c>
      <c r="D78" t="str">
        <f t="shared" si="7"/>
        <v>216-T-4A</v>
      </c>
      <c r="E78" t="str">
        <f t="shared" si="7"/>
        <v>Liquid</v>
      </c>
      <c r="F78">
        <f t="shared" si="7"/>
        <v>1984</v>
      </c>
      <c r="G78">
        <f t="shared" si="7"/>
        <v>19020</v>
      </c>
      <c r="H78">
        <f t="shared" si="7"/>
        <v>32.442599999999999</v>
      </c>
      <c r="I78">
        <f t="shared" si="7"/>
        <v>757.78700000000003</v>
      </c>
      <c r="J78">
        <f t="shared" si="7"/>
        <v>1.74854E-5</v>
      </c>
      <c r="K78">
        <f t="shared" si="7"/>
        <v>0</v>
      </c>
    </row>
    <row r="79" spans="2:11" x14ac:dyDescent="0.25">
      <c r="B79" t="str">
        <f>B39</f>
        <v>SIMSolids</v>
      </c>
      <c r="C79" t="str">
        <f t="shared" si="7"/>
        <v>216-T-4A</v>
      </c>
      <c r="D79" t="str">
        <f t="shared" si="7"/>
        <v>216-T-4A</v>
      </c>
      <c r="E79" t="str">
        <f t="shared" si="7"/>
        <v>Solids</v>
      </c>
      <c r="F79">
        <f t="shared" si="7"/>
        <v>1984</v>
      </c>
      <c r="G79">
        <f t="shared" si="7"/>
        <v>0</v>
      </c>
      <c r="H79">
        <f t="shared" si="7"/>
        <v>2.4365699999999999E-5</v>
      </c>
      <c r="I79">
        <f t="shared" si="7"/>
        <v>5.69127E-4</v>
      </c>
      <c r="J79">
        <f t="shared" si="7"/>
        <v>6.7098499999999998E-3</v>
      </c>
      <c r="K79">
        <f t="shared" si="7"/>
        <v>0</v>
      </c>
    </row>
    <row r="80" spans="2:11" x14ac:dyDescent="0.25">
      <c r="B80" t="str">
        <f>B41</f>
        <v>OPU_200_WA_1</v>
      </c>
      <c r="C80" t="str">
        <f>C41</f>
        <v>216-U-14</v>
      </c>
      <c r="D80" t="str">
        <f>D41</f>
        <v>216-U-14</v>
      </c>
      <c r="E80" t="str">
        <f>E41</f>
        <v>Liquid</v>
      </c>
      <c r="F80">
        <f>F41</f>
        <v>1984</v>
      </c>
      <c r="G80">
        <f>G41+G40</f>
        <v>369603.9</v>
      </c>
      <c r="H80">
        <f>H41+H40</f>
        <v>7.7718970000000001</v>
      </c>
      <c r="I80">
        <f>I41+I40</f>
        <v>92908.959999999992</v>
      </c>
      <c r="J80">
        <f>J41+J40</f>
        <v>2.6137084999999997E-2</v>
      </c>
      <c r="K80">
        <f>K41+K40</f>
        <v>0</v>
      </c>
    </row>
    <row r="81" spans="2:11" x14ac:dyDescent="0.25">
      <c r="B81" t="str">
        <f>B42</f>
        <v>OPU_200_CW_1</v>
      </c>
      <c r="C81" t="str">
        <f t="shared" ref="C81:K83" si="8">C42</f>
        <v>216-B-3</v>
      </c>
      <c r="D81" t="str">
        <f t="shared" si="8"/>
        <v>216-B-3</v>
      </c>
      <c r="E81" t="str">
        <f t="shared" si="8"/>
        <v>Liquid</v>
      </c>
      <c r="F81">
        <f t="shared" si="8"/>
        <v>1994</v>
      </c>
      <c r="G81">
        <f t="shared" si="8"/>
        <v>6874000</v>
      </c>
      <c r="H81">
        <f t="shared" si="8"/>
        <v>4.3555200000000002E-2</v>
      </c>
      <c r="I81">
        <f t="shared" si="8"/>
        <v>3599.1</v>
      </c>
      <c r="J81">
        <f t="shared" si="8"/>
        <v>1.35137</v>
      </c>
      <c r="K81">
        <f t="shared" si="8"/>
        <v>0</v>
      </c>
    </row>
    <row r="82" spans="2:11" x14ac:dyDescent="0.25">
      <c r="B82" t="str">
        <f>B43</f>
        <v>OPU_200_SW_2</v>
      </c>
      <c r="C82" t="str">
        <f t="shared" si="8"/>
        <v>216-T-4A</v>
      </c>
      <c r="D82" t="str">
        <f t="shared" si="8"/>
        <v>216-T-4A</v>
      </c>
      <c r="E82" t="str">
        <f t="shared" si="8"/>
        <v>Liquid</v>
      </c>
      <c r="F82">
        <f t="shared" si="8"/>
        <v>1994</v>
      </c>
      <c r="G82">
        <f t="shared" si="8"/>
        <v>19020</v>
      </c>
      <c r="H82">
        <f t="shared" si="8"/>
        <v>32.442599999999999</v>
      </c>
      <c r="I82">
        <f t="shared" si="8"/>
        <v>757.78700000000003</v>
      </c>
      <c r="J82">
        <f t="shared" si="8"/>
        <v>1.74854E-5</v>
      </c>
      <c r="K82">
        <f t="shared" si="8"/>
        <v>0</v>
      </c>
    </row>
    <row r="83" spans="2:11" x14ac:dyDescent="0.25">
      <c r="B83" t="str">
        <f>B44</f>
        <v>SIMSolids</v>
      </c>
      <c r="C83" t="str">
        <f t="shared" si="8"/>
        <v>216-T-4A</v>
      </c>
      <c r="D83" t="str">
        <f t="shared" si="8"/>
        <v>216-T-4A</v>
      </c>
      <c r="E83" t="str">
        <f t="shared" si="8"/>
        <v>Solids</v>
      </c>
      <c r="F83">
        <f t="shared" si="8"/>
        <v>1994</v>
      </c>
      <c r="G83">
        <f t="shared" si="8"/>
        <v>0</v>
      </c>
      <c r="H83">
        <f t="shared" si="8"/>
        <v>2.4365699999999999E-5</v>
      </c>
      <c r="I83">
        <f t="shared" si="8"/>
        <v>5.69127E-4</v>
      </c>
      <c r="J83">
        <f t="shared" si="8"/>
        <v>6.7098499999999998E-3</v>
      </c>
      <c r="K83">
        <f t="shared" si="8"/>
        <v>0</v>
      </c>
    </row>
    <row r="84" spans="2:11" x14ac:dyDescent="0.25">
      <c r="B84" t="str">
        <f>B46</f>
        <v>OPU_200_WA_1</v>
      </c>
      <c r="C84" t="str">
        <f>C46</f>
        <v>216-U-14</v>
      </c>
      <c r="D84" t="str">
        <f>D46</f>
        <v>216-U-14</v>
      </c>
      <c r="E84" t="str">
        <f>E46</f>
        <v>Liquid</v>
      </c>
      <c r="F84">
        <f>F46</f>
        <v>1994</v>
      </c>
      <c r="G84">
        <f>G46+G45</f>
        <v>110032.79</v>
      </c>
      <c r="H84">
        <f>H46+H45</f>
        <v>2.4705478999999997</v>
      </c>
      <c r="I84">
        <f>I46+I45</f>
        <v>29117.96</v>
      </c>
      <c r="J84">
        <f>J46+J45</f>
        <v>8.3060619999999995E-3</v>
      </c>
      <c r="K84">
        <f>K46+K45</f>
        <v>0</v>
      </c>
    </row>
    <row r="85" spans="2:11" x14ac:dyDescent="0.25">
      <c r="B85" t="str">
        <f>B47</f>
        <v>OPU_200_CW_1</v>
      </c>
      <c r="C85" t="str">
        <f t="shared" ref="C85:K85" si="9">C47</f>
        <v>216-B-3</v>
      </c>
      <c r="D85" t="str">
        <f t="shared" si="9"/>
        <v>216-B-3</v>
      </c>
      <c r="E85" t="str">
        <f t="shared" si="9"/>
        <v>Liquid</v>
      </c>
      <c r="F85">
        <f t="shared" si="9"/>
        <v>1996</v>
      </c>
      <c r="G85">
        <f t="shared" si="9"/>
        <v>5469400</v>
      </c>
      <c r="H85">
        <f t="shared" si="9"/>
        <v>2.8911699999999999E-2</v>
      </c>
      <c r="I85">
        <f t="shared" si="9"/>
        <v>2888.05</v>
      </c>
      <c r="J85">
        <f t="shared" si="9"/>
        <v>1.1607099999999999</v>
      </c>
      <c r="K85">
        <f t="shared" si="9"/>
        <v>0</v>
      </c>
    </row>
  </sheetData>
  <sortState xmlns:xlrd2="http://schemas.microsoft.com/office/spreadsheetml/2017/richdata2" ref="B10:K47">
    <sortCondition ref="F10:F47"/>
    <sortCondition ref="D10:D4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56EE-BF98-4EBE-8583-46E31C5BEB44}">
  <dimension ref="A1:K59"/>
  <sheetViews>
    <sheetView workbookViewId="0">
      <pane xSplit="2" ySplit="5" topLeftCell="C6" activePane="bottomRight" state="frozenSplit"/>
      <selection pane="topRight" activeCell="C1" sqref="C1"/>
      <selection pane="bottomLeft" activeCell="A6" sqref="A6"/>
      <selection pane="bottomRight"/>
    </sheetView>
  </sheetViews>
  <sheetFormatPr defaultRowHeight="15" x14ac:dyDescent="0.25"/>
  <cols>
    <col min="1" max="1" width="4.7109375" customWidth="1"/>
    <col min="2" max="10" width="12.7109375" customWidth="1"/>
    <col min="11" max="11" width="15.7109375" customWidth="1"/>
    <col min="14" max="14" width="24.28515625" customWidth="1"/>
  </cols>
  <sheetData>
    <row r="1" spans="1:11" x14ac:dyDescent="0.25">
      <c r="A1" s="1" t="str">
        <f>'F_CP-61786_R1_sorted_mar42020'!A1</f>
        <v>Source Reroute Code - Acceptance Testing (AT-1) Calculation of Expected Results</v>
      </c>
    </row>
    <row r="2" spans="1:11" x14ac:dyDescent="0.25">
      <c r="A2" t="s">
        <v>87</v>
      </c>
    </row>
    <row r="5" spans="1:11" x14ac:dyDescent="0.25"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</row>
    <row r="6" spans="1:11" x14ac:dyDescent="0.25">
      <c r="B6">
        <v>1944</v>
      </c>
      <c r="C6">
        <v>0</v>
      </c>
      <c r="D6">
        <v>0</v>
      </c>
      <c r="E6">
        <v>0</v>
      </c>
      <c r="F6">
        <v>0</v>
      </c>
      <c r="G6">
        <v>0.93026714399999999</v>
      </c>
      <c r="H6">
        <v>6.9732855999999996E-2</v>
      </c>
      <c r="I6">
        <v>0</v>
      </c>
      <c r="J6">
        <v>0</v>
      </c>
      <c r="K6">
        <v>0</v>
      </c>
    </row>
    <row r="7" spans="1:11" x14ac:dyDescent="0.25">
      <c r="B7">
        <v>1945</v>
      </c>
      <c r="C7">
        <v>1</v>
      </c>
      <c r="D7">
        <v>0</v>
      </c>
      <c r="E7">
        <v>0</v>
      </c>
      <c r="F7">
        <v>0</v>
      </c>
      <c r="G7">
        <v>0.93026714399999999</v>
      </c>
      <c r="H7">
        <v>6.9732855999999996E-2</v>
      </c>
      <c r="I7">
        <v>0</v>
      </c>
      <c r="J7">
        <v>0</v>
      </c>
      <c r="K7">
        <v>0</v>
      </c>
    </row>
    <row r="8" spans="1:11" x14ac:dyDescent="0.25">
      <c r="B8">
        <v>1946</v>
      </c>
      <c r="C8">
        <v>1</v>
      </c>
      <c r="D8">
        <v>0</v>
      </c>
      <c r="E8">
        <v>0</v>
      </c>
      <c r="F8">
        <v>0</v>
      </c>
      <c r="G8">
        <v>0.93026714399999999</v>
      </c>
      <c r="H8">
        <v>6.9732855999999996E-2</v>
      </c>
      <c r="I8">
        <v>0</v>
      </c>
      <c r="J8">
        <v>0</v>
      </c>
      <c r="K8">
        <v>0</v>
      </c>
    </row>
    <row r="9" spans="1:11" x14ac:dyDescent="0.25">
      <c r="B9">
        <v>1947</v>
      </c>
      <c r="C9">
        <v>1</v>
      </c>
      <c r="D9">
        <v>0</v>
      </c>
      <c r="E9">
        <v>0</v>
      </c>
      <c r="F9">
        <v>0</v>
      </c>
      <c r="G9">
        <v>0.93026714399999999</v>
      </c>
      <c r="H9">
        <v>6.9732855999999996E-2</v>
      </c>
      <c r="I9">
        <v>0</v>
      </c>
      <c r="J9">
        <v>0</v>
      </c>
      <c r="K9">
        <v>0</v>
      </c>
    </row>
    <row r="10" spans="1:11" x14ac:dyDescent="0.25">
      <c r="B10">
        <v>1948</v>
      </c>
      <c r="C10">
        <v>1</v>
      </c>
      <c r="D10">
        <v>0</v>
      </c>
      <c r="E10">
        <v>0</v>
      </c>
      <c r="F10">
        <v>0</v>
      </c>
      <c r="G10">
        <v>0.93026714399999999</v>
      </c>
      <c r="H10">
        <v>6.9732855999999996E-2</v>
      </c>
      <c r="I10">
        <v>0</v>
      </c>
      <c r="J10">
        <v>0</v>
      </c>
      <c r="K10">
        <v>0</v>
      </c>
    </row>
    <row r="11" spans="1:11" x14ac:dyDescent="0.25">
      <c r="B11">
        <v>1949</v>
      </c>
      <c r="C11">
        <v>1</v>
      </c>
      <c r="D11">
        <v>0</v>
      </c>
      <c r="E11">
        <v>0</v>
      </c>
      <c r="F11">
        <v>0</v>
      </c>
      <c r="G11">
        <v>0.93026714399999999</v>
      </c>
      <c r="H11">
        <v>6.9732855999999996E-2</v>
      </c>
      <c r="I11">
        <v>0</v>
      </c>
      <c r="J11">
        <v>0</v>
      </c>
      <c r="K11">
        <v>0</v>
      </c>
    </row>
    <row r="12" spans="1:11" x14ac:dyDescent="0.25">
      <c r="B12">
        <v>1950</v>
      </c>
      <c r="C12">
        <v>1</v>
      </c>
      <c r="D12">
        <v>0</v>
      </c>
      <c r="E12">
        <v>0</v>
      </c>
      <c r="F12">
        <v>0</v>
      </c>
      <c r="G12">
        <v>0.93026714399999999</v>
      </c>
      <c r="H12">
        <v>6.9732855999999996E-2</v>
      </c>
      <c r="I12">
        <v>0</v>
      </c>
      <c r="J12">
        <v>0</v>
      </c>
      <c r="K12">
        <v>0</v>
      </c>
    </row>
    <row r="13" spans="1:11" x14ac:dyDescent="0.25">
      <c r="B13">
        <v>1951</v>
      </c>
      <c r="C13">
        <v>1</v>
      </c>
      <c r="D13">
        <v>0</v>
      </c>
      <c r="E13">
        <v>0</v>
      </c>
      <c r="F13">
        <v>0</v>
      </c>
      <c r="G13">
        <v>0.93026714399999999</v>
      </c>
      <c r="H13">
        <v>6.9732855999999996E-2</v>
      </c>
      <c r="I13">
        <v>0</v>
      </c>
      <c r="J13">
        <v>0</v>
      </c>
      <c r="K13">
        <v>0</v>
      </c>
    </row>
    <row r="14" spans="1:11" x14ac:dyDescent="0.25">
      <c r="B14">
        <v>1952</v>
      </c>
      <c r="C14">
        <v>1</v>
      </c>
      <c r="D14">
        <v>0</v>
      </c>
      <c r="E14">
        <v>0</v>
      </c>
      <c r="F14">
        <v>0</v>
      </c>
      <c r="G14">
        <v>0.93026714399999999</v>
      </c>
      <c r="H14">
        <v>6.9732855999999996E-2</v>
      </c>
      <c r="I14">
        <v>0</v>
      </c>
      <c r="J14">
        <v>0</v>
      </c>
      <c r="K14">
        <v>0</v>
      </c>
    </row>
    <row r="15" spans="1:11" x14ac:dyDescent="0.25">
      <c r="B15">
        <v>1953</v>
      </c>
      <c r="C15">
        <v>1</v>
      </c>
      <c r="D15">
        <v>0</v>
      </c>
      <c r="E15">
        <v>0</v>
      </c>
      <c r="F15">
        <v>0</v>
      </c>
      <c r="G15">
        <v>0.93026714399999999</v>
      </c>
      <c r="H15">
        <v>6.9732855999999996E-2</v>
      </c>
      <c r="I15">
        <v>0</v>
      </c>
      <c r="J15">
        <v>0</v>
      </c>
      <c r="K15">
        <v>0</v>
      </c>
    </row>
    <row r="16" spans="1:11" x14ac:dyDescent="0.25">
      <c r="B16">
        <v>1954</v>
      </c>
      <c r="C16">
        <v>1</v>
      </c>
      <c r="D16">
        <v>0</v>
      </c>
      <c r="E16">
        <v>0</v>
      </c>
      <c r="F16">
        <v>0</v>
      </c>
      <c r="G16">
        <v>0.93026714399999999</v>
      </c>
      <c r="H16">
        <v>6.9732855999999996E-2</v>
      </c>
      <c r="I16">
        <v>0</v>
      </c>
      <c r="J16">
        <v>0</v>
      </c>
      <c r="K16">
        <v>0</v>
      </c>
    </row>
    <row r="17" spans="2:11" x14ac:dyDescent="0.25">
      <c r="B17">
        <v>1955</v>
      </c>
      <c r="C17">
        <v>1</v>
      </c>
      <c r="D17">
        <v>0</v>
      </c>
      <c r="E17">
        <v>0</v>
      </c>
      <c r="F17">
        <v>0</v>
      </c>
      <c r="G17">
        <v>0.93026714399999999</v>
      </c>
      <c r="H17">
        <v>6.9732855999999996E-2</v>
      </c>
      <c r="I17">
        <v>0</v>
      </c>
      <c r="J17">
        <v>0</v>
      </c>
      <c r="K17">
        <v>0</v>
      </c>
    </row>
    <row r="18" spans="2:11" x14ac:dyDescent="0.25">
      <c r="B18">
        <v>1956</v>
      </c>
      <c r="C18">
        <v>1</v>
      </c>
      <c r="D18">
        <v>0</v>
      </c>
      <c r="E18">
        <v>0</v>
      </c>
      <c r="F18">
        <v>0</v>
      </c>
      <c r="G18">
        <v>0.93026714399999999</v>
      </c>
      <c r="H18">
        <v>6.9732855999999996E-2</v>
      </c>
      <c r="I18">
        <v>0</v>
      </c>
      <c r="J18">
        <v>0</v>
      </c>
      <c r="K18">
        <v>0</v>
      </c>
    </row>
    <row r="19" spans="2:11" x14ac:dyDescent="0.25">
      <c r="B19">
        <v>1957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2:11" x14ac:dyDescent="0.25">
      <c r="B20">
        <v>1958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>
        <v>1959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>
        <v>1960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2:11" x14ac:dyDescent="0.25">
      <c r="B23">
        <v>1961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2:11" x14ac:dyDescent="0.25">
      <c r="B24">
        <v>1962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2:11" x14ac:dyDescent="0.25">
      <c r="B25">
        <v>1963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2:11" x14ac:dyDescent="0.25">
      <c r="B26">
        <v>1964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2:11" x14ac:dyDescent="0.25">
      <c r="B27">
        <v>1965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2:11" x14ac:dyDescent="0.25">
      <c r="B28">
        <v>1966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2:11" x14ac:dyDescent="0.25">
      <c r="B29">
        <v>1967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2:11" x14ac:dyDescent="0.25">
      <c r="B30">
        <v>1968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2:11" x14ac:dyDescent="0.25">
      <c r="B31">
        <v>1969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2:11" x14ac:dyDescent="0.25">
      <c r="B32">
        <v>1970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2:11" x14ac:dyDescent="0.25">
      <c r="B33">
        <v>1971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2:11" x14ac:dyDescent="0.25">
      <c r="B34">
        <v>1972</v>
      </c>
      <c r="C34">
        <v>1</v>
      </c>
      <c r="D34">
        <v>0</v>
      </c>
      <c r="E34">
        <v>0</v>
      </c>
      <c r="F34">
        <v>0</v>
      </c>
      <c r="G34">
        <v>0</v>
      </c>
      <c r="H34">
        <v>0.41666666699999999</v>
      </c>
      <c r="I34">
        <v>0.19773211399999999</v>
      </c>
      <c r="J34">
        <v>0.38560122000000002</v>
      </c>
      <c r="K34">
        <v>0</v>
      </c>
    </row>
    <row r="35" spans="2:11" x14ac:dyDescent="0.25">
      <c r="B35">
        <v>1973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0.33896933800000001</v>
      </c>
      <c r="J35">
        <v>0.66103066200000005</v>
      </c>
      <c r="K35">
        <v>0</v>
      </c>
    </row>
    <row r="36" spans="2:11" x14ac:dyDescent="0.25">
      <c r="B36">
        <v>1974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0.33896933800000001</v>
      </c>
      <c r="J36">
        <v>0.66103066200000005</v>
      </c>
      <c r="K36">
        <v>0</v>
      </c>
    </row>
    <row r="37" spans="2:11" x14ac:dyDescent="0.25">
      <c r="B37">
        <v>1975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0.33896933800000001</v>
      </c>
      <c r="J37">
        <v>0.66103066200000005</v>
      </c>
      <c r="K37">
        <v>0</v>
      </c>
    </row>
    <row r="38" spans="2:11" x14ac:dyDescent="0.25">
      <c r="B38">
        <v>1976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0.33896933800000001</v>
      </c>
      <c r="J38">
        <v>0.66103066200000005</v>
      </c>
      <c r="K38">
        <v>0</v>
      </c>
    </row>
    <row r="39" spans="2:11" x14ac:dyDescent="0.25">
      <c r="B39">
        <v>1977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2:11" x14ac:dyDescent="0.25">
      <c r="B40">
        <v>1978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2:11" x14ac:dyDescent="0.25">
      <c r="B41">
        <v>1979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2:11" x14ac:dyDescent="0.25">
      <c r="B42">
        <v>1980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 x14ac:dyDescent="0.25">
      <c r="B43">
        <v>1981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 x14ac:dyDescent="0.25">
      <c r="B44">
        <v>1982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2:11" x14ac:dyDescent="0.25">
      <c r="B45">
        <v>1983</v>
      </c>
      <c r="C45">
        <v>0.94179891500000001</v>
      </c>
      <c r="D45">
        <v>5.8201085E-2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2:11" x14ac:dyDescent="0.25">
      <c r="B46">
        <v>1984</v>
      </c>
      <c r="C46">
        <v>0.82897405199999996</v>
      </c>
      <c r="D46">
        <v>0.15040141300000001</v>
      </c>
      <c r="E46">
        <v>2.0624534999999999E-2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2:11" x14ac:dyDescent="0.25">
      <c r="B47">
        <v>1985</v>
      </c>
      <c r="C47">
        <v>0.70228752000000005</v>
      </c>
      <c r="D47">
        <v>0.21310806700000001</v>
      </c>
      <c r="E47">
        <v>0</v>
      </c>
      <c r="F47">
        <v>8.4604413000000003E-2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2:11" x14ac:dyDescent="0.25">
      <c r="B48">
        <v>1986</v>
      </c>
      <c r="C48">
        <v>0.70228752000000005</v>
      </c>
      <c r="D48">
        <v>0.21310806700000001</v>
      </c>
      <c r="E48">
        <v>0</v>
      </c>
      <c r="F48">
        <v>8.4604413000000003E-2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2:11" x14ac:dyDescent="0.25">
      <c r="B49">
        <v>1987</v>
      </c>
      <c r="C49">
        <v>0.70228752000000005</v>
      </c>
      <c r="D49">
        <v>0.21310806700000001</v>
      </c>
      <c r="E49">
        <v>0</v>
      </c>
      <c r="F49">
        <v>8.4604413000000003E-2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2:11" x14ac:dyDescent="0.25">
      <c r="B50">
        <v>1988</v>
      </c>
      <c r="C50">
        <v>0.70228752000000005</v>
      </c>
      <c r="D50">
        <v>0.21310806700000001</v>
      </c>
      <c r="E50">
        <v>0</v>
      </c>
      <c r="F50">
        <v>8.4604413000000003E-2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2:11" x14ac:dyDescent="0.25">
      <c r="B51">
        <v>1989</v>
      </c>
      <c r="C51">
        <v>0.70228752000000005</v>
      </c>
      <c r="D51">
        <v>0.21310806700000001</v>
      </c>
      <c r="E51">
        <v>0</v>
      </c>
      <c r="F51">
        <v>8.4604413000000003E-2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2:11" x14ac:dyDescent="0.25">
      <c r="B52">
        <v>1990</v>
      </c>
      <c r="C52">
        <v>0.70228752000000005</v>
      </c>
      <c r="D52">
        <v>0.21310806700000001</v>
      </c>
      <c r="E52">
        <v>0</v>
      </c>
      <c r="F52">
        <v>8.4604413000000003E-2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2:11" x14ac:dyDescent="0.25">
      <c r="B53">
        <v>1991</v>
      </c>
      <c r="C53">
        <v>0.70228752000000005</v>
      </c>
      <c r="D53">
        <v>0.21310806700000001</v>
      </c>
      <c r="E53">
        <v>0</v>
      </c>
      <c r="F53">
        <v>8.4604413000000003E-2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2:11" x14ac:dyDescent="0.25">
      <c r="B54">
        <v>1992</v>
      </c>
      <c r="C54">
        <v>0.70228752000000005</v>
      </c>
      <c r="D54">
        <v>0.21310806700000001</v>
      </c>
      <c r="E54">
        <v>0</v>
      </c>
      <c r="F54">
        <v>8.4604413000000003E-2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2:11" x14ac:dyDescent="0.25">
      <c r="B55">
        <v>1993</v>
      </c>
      <c r="C55">
        <v>0.70228752000000005</v>
      </c>
      <c r="D55">
        <v>0.21310806700000001</v>
      </c>
      <c r="E55">
        <v>0</v>
      </c>
      <c r="F55">
        <v>8.4604413000000003E-2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2:11" x14ac:dyDescent="0.25">
      <c r="B56">
        <v>1994</v>
      </c>
      <c r="C56">
        <v>0.23409584</v>
      </c>
      <c r="D56">
        <v>7.1036022000000004E-2</v>
      </c>
      <c r="E56">
        <v>0</v>
      </c>
      <c r="F56">
        <v>0.69486813800000002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2:11" x14ac:dyDescent="0.25">
      <c r="B57">
        <v>1995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2:11" x14ac:dyDescent="0.25">
      <c r="B58">
        <v>1996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2:11" x14ac:dyDescent="0.25">
      <c r="B59">
        <v>1997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1E7D-10A9-429D-A661-BA55C206B352}">
  <dimension ref="A1:C24"/>
  <sheetViews>
    <sheetView workbookViewId="0">
      <selection activeCell="B20" sqref="B20:C24"/>
    </sheetView>
  </sheetViews>
  <sheetFormatPr defaultRowHeight="15" x14ac:dyDescent="0.25"/>
  <cols>
    <col min="1" max="1" width="4.7109375" customWidth="1"/>
    <col min="2" max="2" width="15.7109375" customWidth="1"/>
    <col min="3" max="3" width="18.7109375" customWidth="1"/>
  </cols>
  <sheetData>
    <row r="1" spans="1:3" x14ac:dyDescent="0.25">
      <c r="A1" s="1" t="str">
        <f>'F_CP-61786_R1_sorted_mar42020'!A1</f>
        <v>Source Reroute Code - Acceptance Testing (AT-1) Calculation of Expected Results</v>
      </c>
    </row>
    <row r="2" spans="1:3" x14ac:dyDescent="0.25">
      <c r="A2" t="s">
        <v>42</v>
      </c>
    </row>
    <row r="5" spans="1:3" x14ac:dyDescent="0.25">
      <c r="B5" s="2" t="s">
        <v>43</v>
      </c>
      <c r="C5" s="2" t="s">
        <v>51</v>
      </c>
    </row>
    <row r="6" spans="1:3" x14ac:dyDescent="0.25">
      <c r="B6" t="s">
        <v>31</v>
      </c>
      <c r="C6">
        <v>658.304592447</v>
      </c>
    </row>
    <row r="7" spans="1:3" x14ac:dyDescent="0.25">
      <c r="B7" t="s">
        <v>32</v>
      </c>
      <c r="C7">
        <v>650.08165904500004</v>
      </c>
    </row>
    <row r="8" spans="1:3" x14ac:dyDescent="0.25">
      <c r="B8" t="s">
        <v>44</v>
      </c>
      <c r="C8">
        <v>4163.1649192799996</v>
      </c>
    </row>
    <row r="9" spans="1:3" x14ac:dyDescent="0.25">
      <c r="B9" t="s">
        <v>45</v>
      </c>
      <c r="C9">
        <v>41007.685310599998</v>
      </c>
    </row>
    <row r="10" spans="1:3" x14ac:dyDescent="0.25">
      <c r="B10" t="s">
        <v>24</v>
      </c>
      <c r="C10">
        <v>194229.40289299999</v>
      </c>
    </row>
    <row r="11" spans="1:3" x14ac:dyDescent="0.25">
      <c r="B11" t="s">
        <v>46</v>
      </c>
      <c r="C11">
        <v>2144.2471768300002</v>
      </c>
    </row>
    <row r="12" spans="1:3" x14ac:dyDescent="0.25">
      <c r="B12" t="s">
        <v>47</v>
      </c>
      <c r="C12">
        <v>20959.2514744</v>
      </c>
    </row>
    <row r="15" spans="1:3" x14ac:dyDescent="0.25">
      <c r="B15" s="2" t="s">
        <v>43</v>
      </c>
      <c r="C15" t="s">
        <v>96</v>
      </c>
    </row>
    <row r="16" spans="1:3" x14ac:dyDescent="0.25">
      <c r="B16" t="s">
        <v>30</v>
      </c>
      <c r="C16">
        <v>146094.747</v>
      </c>
    </row>
    <row r="17" spans="2:3" x14ac:dyDescent="0.25">
      <c r="B17" t="s">
        <v>48</v>
      </c>
      <c r="C17">
        <v>44332.226000000002</v>
      </c>
    </row>
    <row r="18" spans="2:3" x14ac:dyDescent="0.25">
      <c r="B18" t="s">
        <v>49</v>
      </c>
      <c r="C18">
        <v>62630.25</v>
      </c>
    </row>
    <row r="19" spans="2:3" x14ac:dyDescent="0.25">
      <c r="B19" t="s">
        <v>50</v>
      </c>
      <c r="C19">
        <v>17600</v>
      </c>
    </row>
    <row r="20" spans="2:3" x14ac:dyDescent="0.25">
      <c r="B20" t="s">
        <v>97</v>
      </c>
      <c r="C20">
        <v>3639.2992911327037</v>
      </c>
    </row>
    <row r="21" spans="2:3" x14ac:dyDescent="0.25">
      <c r="B21" t="s">
        <v>89</v>
      </c>
      <c r="C21">
        <v>3104.5408765959119</v>
      </c>
    </row>
    <row r="22" spans="2:3" x14ac:dyDescent="0.25">
      <c r="B22" t="s">
        <v>98</v>
      </c>
      <c r="C22">
        <v>1079.7069502488275</v>
      </c>
    </row>
    <row r="23" spans="2:3" x14ac:dyDescent="0.25">
      <c r="B23" t="s">
        <v>80</v>
      </c>
      <c r="C23">
        <v>48549.861259655263</v>
      </c>
    </row>
    <row r="24" spans="2:3" x14ac:dyDescent="0.25">
      <c r="B24" t="s">
        <v>88</v>
      </c>
      <c r="C24">
        <v>1591.9747804248339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0AC6-E0CB-4D3C-A147-4DC3CFA15D6C}">
  <dimension ref="A1:J80"/>
  <sheetViews>
    <sheetView tabSelected="1" workbookViewId="0"/>
  </sheetViews>
  <sheetFormatPr defaultRowHeight="15" x14ac:dyDescent="0.25"/>
  <cols>
    <col min="1" max="1" width="4.7109375" customWidth="1"/>
    <col min="2" max="2" width="15.7109375" customWidth="1"/>
    <col min="3" max="4" width="20.7109375" customWidth="1"/>
    <col min="5" max="5" width="22.7109375" customWidth="1"/>
    <col min="6" max="6" width="20.7109375" customWidth="1"/>
    <col min="7" max="7" width="18.7109375" customWidth="1"/>
    <col min="8" max="8" width="15.7109375" customWidth="1"/>
  </cols>
  <sheetData>
    <row r="1" spans="1:8" x14ac:dyDescent="0.25">
      <c r="A1" s="1" t="str">
        <f>'F_CP-61786_R1_sorted_mar42020'!A1</f>
        <v>Source Reroute Code - Acceptance Testing (AT-1) Calculation of Expected Results</v>
      </c>
    </row>
    <row r="2" spans="1:8" x14ac:dyDescent="0.25">
      <c r="A2" t="s">
        <v>57</v>
      </c>
    </row>
    <row r="5" spans="1:8" x14ac:dyDescent="0.25">
      <c r="B5" s="1" t="str">
        <f>"1944:"</f>
        <v>1944:</v>
      </c>
    </row>
    <row r="7" spans="1:8" x14ac:dyDescent="0.25">
      <c r="B7" s="2" t="s">
        <v>52</v>
      </c>
      <c r="C7" s="2" t="s">
        <v>54</v>
      </c>
      <c r="D7" s="2" t="s">
        <v>59</v>
      </c>
      <c r="E7" s="2" t="s">
        <v>55</v>
      </c>
      <c r="F7" s="2" t="s">
        <v>76</v>
      </c>
    </row>
    <row r="8" spans="1:8" x14ac:dyDescent="0.25">
      <c r="B8" t="s">
        <v>29</v>
      </c>
      <c r="C8">
        <f>'F_CP-61786_R1_sorted_mar42020'!F53/SUM('F_CP-61786_R1_sorted_mar42020'!F52:F53)</f>
        <v>0.26503014665470132</v>
      </c>
      <c r="D8">
        <f>Areas!C8/(Areas!C8+Areas!C10*ExpectedResults!C8)</f>
        <v>7.4823489974036608E-2</v>
      </c>
      <c r="E8" s="3">
        <f>'F_CP-61786_R1_sorted_mar42020'!F53*ExpectedResults!D8</f>
        <v>3204.3758169300972</v>
      </c>
      <c r="F8" s="3">
        <f>D8*'Appendix_B_of_CP-64710_07242020'!H56</f>
        <v>3.3658523906430654E-6</v>
      </c>
    </row>
    <row r="9" spans="1:8" x14ac:dyDescent="0.25">
      <c r="B9" t="s">
        <v>27</v>
      </c>
      <c r="C9">
        <f>'F_CP-61786_R1_sorted_mar42020'!F52/SUM('F_CP-61786_R1_sorted_mar42020'!F52:F53)</f>
        <v>0.73496985334529874</v>
      </c>
      <c r="D9">
        <f>Areas!C9/(Areas!C9+Areas!C10*ExpectedResults!C9)</f>
        <v>0.22315839618022762</v>
      </c>
      <c r="E9" s="3">
        <f>'F_CP-61786_R1_sorted_mar42020'!F52*ExpectedResults!D9</f>
        <v>26502.873573777862</v>
      </c>
      <c r="F9" s="3">
        <f>D9*'Appendix_B_of_CP-64710_07242020'!H55</f>
        <v>8.2148332379158001E-2</v>
      </c>
    </row>
    <row r="10" spans="1:8" x14ac:dyDescent="0.25">
      <c r="B10" t="s">
        <v>24</v>
      </c>
      <c r="E10" s="3">
        <f>SUM('F_CP-61786_R1_sorted_mar42020'!F52:F53)-SUM(ExpectedResults!E8:E9)</f>
        <v>131881.16060929204</v>
      </c>
      <c r="F10" s="3">
        <f>SUM('Appendix_B_of_CP-64710_07242020'!H55:H56)-SUM(ExpectedResults!F8:F9)</f>
        <v>0.28600998566845137</v>
      </c>
      <c r="H10" s="4"/>
    </row>
    <row r="11" spans="1:8" x14ac:dyDescent="0.25">
      <c r="B11" t="s">
        <v>80</v>
      </c>
      <c r="D11">
        <f>'B-3_T-4_Pond_Fractions'!G6</f>
        <v>0.93026714399999999</v>
      </c>
      <c r="E11" s="3">
        <f>'F_CP-61786_R1_sorted_mar42020'!F51*ExpectedResults!D11</f>
        <v>160005.948768</v>
      </c>
      <c r="F11" s="3">
        <f>SUM('Appendix_B_of_CP-64710_07242020'!H53:H54)*ExpectedResults!D11</f>
        <v>2.3980147357888799</v>
      </c>
      <c r="H11" s="4"/>
    </row>
    <row r="12" spans="1:8" x14ac:dyDescent="0.25">
      <c r="B12" t="s">
        <v>81</v>
      </c>
      <c r="D12">
        <f>'B-3_T-4_Pond_Fractions'!H6</f>
        <v>6.9732855999999996E-2</v>
      </c>
      <c r="E12" s="3">
        <f>'F_CP-61786_R1_sorted_mar42020'!F51*ExpectedResults!D12</f>
        <v>11994.051232</v>
      </c>
      <c r="F12" s="3">
        <f>SUM('Appendix_B_of_CP-64710_07242020'!H53:H54)*ExpectedResults!D12</f>
        <v>0.17975526421112001</v>
      </c>
      <c r="H12" s="4"/>
    </row>
    <row r="15" spans="1:8" x14ac:dyDescent="0.25">
      <c r="B15" s="1" t="str">
        <f>"1955:"</f>
        <v>1955:</v>
      </c>
    </row>
    <row r="17" spans="2:10" x14ac:dyDescent="0.25">
      <c r="B17" s="2" t="s">
        <v>52</v>
      </c>
      <c r="C17" s="2" t="s">
        <v>54</v>
      </c>
      <c r="D17" s="2" t="s">
        <v>59</v>
      </c>
      <c r="E17" s="2" t="s">
        <v>58</v>
      </c>
      <c r="F17" s="2" t="s">
        <v>55</v>
      </c>
      <c r="G17" s="2" t="s">
        <v>61</v>
      </c>
      <c r="H17" s="2" t="s">
        <v>60</v>
      </c>
    </row>
    <row r="18" spans="2:10" x14ac:dyDescent="0.25">
      <c r="B18" t="s">
        <v>30</v>
      </c>
      <c r="D18">
        <f>'B-3_T-4_Pond_Fractions'!C18</f>
        <v>1</v>
      </c>
      <c r="F18" s="3">
        <f>D18*'F_CP-61786_R1_sorted_mar42020'!F54</f>
        <v>1430000</v>
      </c>
      <c r="H18" s="3">
        <f>D18*'F_CP-61786_R1_sorted_mar42020'!N54</f>
        <v>1.6979600000000001E-2</v>
      </c>
    </row>
    <row r="19" spans="2:10" x14ac:dyDescent="0.25">
      <c r="B19" t="s">
        <v>53</v>
      </c>
      <c r="C19" s="4">
        <f>'F_CP-61786_R1_sorted_mar42020'!F57/SUM('F_CP-61786_R1_sorted_mar42020'!F56:F57)</f>
        <v>0.21647353082318041</v>
      </c>
      <c r="D19">
        <f>Areas!C11/(Areas!C11+Areas!C10*ExpectedResults!C19)</f>
        <v>4.8523608268737244E-2</v>
      </c>
      <c r="F19" s="3">
        <f>D19*'F_CP-61786_R1_sorted_mar42020'!F57</f>
        <v>122796.75450136259</v>
      </c>
      <c r="H19" s="3">
        <f>D19*'F_CP-61786_R1_sorted_mar42020'!N57</f>
        <v>3.4250388896488186E-5</v>
      </c>
    </row>
    <row r="20" spans="2:10" x14ac:dyDescent="0.25">
      <c r="B20" t="s">
        <v>27</v>
      </c>
      <c r="C20" s="4">
        <f>'F_CP-61786_R1_sorted_mar42020'!F56/SUM('F_CP-61786_R1_sorted_mar42020'!F56:F57)</f>
        <v>0.78352646917681956</v>
      </c>
      <c r="D20">
        <f>Areas!C9/(Areas!C9+Areas!C10*ExpectedResults!C20)</f>
        <v>0.21226436886210426</v>
      </c>
      <c r="F20" s="3">
        <f>D20*'F_CP-61786_R1_sorted_mar42020'!F56</f>
        <v>1944284.3073972822</v>
      </c>
      <c r="H20" s="3">
        <f>D20*'F_CP-61786_R1_sorted_mar42020'!N56</f>
        <v>3.7118003672797946E-2</v>
      </c>
    </row>
    <row r="21" spans="2:10" x14ac:dyDescent="0.25">
      <c r="B21" t="s">
        <v>24</v>
      </c>
      <c r="E21" s="4">
        <f>SUM('F_CP-61786_R1_sorted_mar42020'!F56:F57)-SUM(ExpectedResults!F19:F20)</f>
        <v>9623308.938101355</v>
      </c>
      <c r="F21" s="3">
        <f>IF(E21&gt;7013071.953,7013071.953,E21)</f>
        <v>7013071.9529999997</v>
      </c>
      <c r="G21" s="4">
        <f>F21/SUM(F21:F22)</f>
        <v>0.72875889136566097</v>
      </c>
      <c r="H21" s="3">
        <f>G21*(SUM('F_CP-61786_R1_sorted_mar42020'!N56:N57)-SUM(ExpectedResults!H19:H20))</f>
        <v>0.10087513801192891</v>
      </c>
    </row>
    <row r="22" spans="2:10" x14ac:dyDescent="0.25">
      <c r="B22" t="s">
        <v>56</v>
      </c>
      <c r="F22" s="3">
        <f>IF(E21&gt;7013071.953,E21-7013071.953,0)</f>
        <v>2610236.9851013552</v>
      </c>
      <c r="G22" s="4">
        <f>F22/SUM(F21:F22)</f>
        <v>0.27124110863433903</v>
      </c>
      <c r="H22" s="3">
        <f>G22*(SUM('F_CP-61786_R1_sorted_mar42020'!N56:N57)-SUM(ExpectedResults!H19:H20))</f>
        <v>3.7545317926376685E-2</v>
      </c>
      <c r="J22" s="6"/>
    </row>
    <row r="23" spans="2:10" x14ac:dyDescent="0.25">
      <c r="B23" t="s">
        <v>80</v>
      </c>
      <c r="D23">
        <f>'B-3_T-4_Pond_Fractions'!G18</f>
        <v>0.93026714399999999</v>
      </c>
      <c r="F23" s="3">
        <f>'F_CP-61786_R1_sorted_mar42020'!F55*ExpectedResults!D23</f>
        <v>3590831.1758400002</v>
      </c>
      <c r="G23" s="4"/>
      <c r="H23" s="3">
        <f>'F_CP-61786_R1_sorted_mar42020'!N55*ExpectedResults!D23</f>
        <v>0</v>
      </c>
    </row>
    <row r="24" spans="2:10" x14ac:dyDescent="0.25">
      <c r="B24" t="s">
        <v>81</v>
      </c>
      <c r="D24">
        <f>'B-3_T-4_Pond_Fractions'!H18</f>
        <v>6.9732855999999996E-2</v>
      </c>
      <c r="F24" s="3">
        <f>'F_CP-61786_R1_sorted_mar42020'!F55*ExpectedResults!D24</f>
        <v>269168.82415999996</v>
      </c>
      <c r="G24" s="4"/>
      <c r="H24" s="3">
        <f>'F_CP-61786_R1_sorted_mar42020'!N55*ExpectedResults!D24</f>
        <v>0</v>
      </c>
    </row>
    <row r="27" spans="2:10" x14ac:dyDescent="0.25">
      <c r="B27" s="1" t="str">
        <f>"1961:"</f>
        <v>1961:</v>
      </c>
    </row>
    <row r="29" spans="2:10" x14ac:dyDescent="0.25">
      <c r="B29" s="2" t="s">
        <v>52</v>
      </c>
      <c r="C29" s="2" t="s">
        <v>54</v>
      </c>
      <c r="D29" s="2" t="s">
        <v>59</v>
      </c>
      <c r="E29" s="2" t="s">
        <v>55</v>
      </c>
      <c r="F29" s="2" t="s">
        <v>62</v>
      </c>
    </row>
    <row r="30" spans="2:10" x14ac:dyDescent="0.25">
      <c r="B30" t="s">
        <v>30</v>
      </c>
      <c r="D30">
        <f>'B-3_T-4_Pond_Fractions'!C23</f>
        <v>1</v>
      </c>
      <c r="E30" s="3">
        <f>'F_CP-61786_R1_sorted_mar42020'!F58*ExpectedResults!D30</f>
        <v>3437540</v>
      </c>
      <c r="F30" s="3">
        <f>D30*'F_CP-61786_R1_sorted_mar42020'!O58</f>
        <v>4.2464699999999996E-3</v>
      </c>
    </row>
    <row r="31" spans="2:10" x14ac:dyDescent="0.25">
      <c r="B31" t="s">
        <v>31</v>
      </c>
      <c r="C31">
        <f>'F_CP-61786_R1_sorted_mar42020'!F62/SUM('F_CP-61786_R1_sorted_mar42020'!F61:F62)</f>
        <v>0.2166355643116368</v>
      </c>
      <c r="D31">
        <f>Areas!C6/(Areas!C6+Areas!C10*ExpectedResults!C31)</f>
        <v>1.5404234407487854E-2</v>
      </c>
      <c r="E31" s="3">
        <f>'F_CP-61786_R1_sorted_mar42020'!F62*ExpectedResults!D31</f>
        <v>8704.070226544567</v>
      </c>
      <c r="F31" s="3">
        <f>D31*'F_CP-61786_R1_sorted_mar42020'!O62</f>
        <v>3.9191145094842452E-11</v>
      </c>
    </row>
    <row r="32" spans="2:10" x14ac:dyDescent="0.25">
      <c r="B32" t="s">
        <v>27</v>
      </c>
      <c r="C32">
        <f>'F_CP-61786_R1_sorted_mar42020'!F61/SUM('F_CP-61786_R1_sorted_mar42020'!F61:F62)</f>
        <v>0.78336443568836334</v>
      </c>
      <c r="D32">
        <f>Areas!C9/(Areas!C9+Areas!C10*ExpectedResults!C32)</f>
        <v>0.21229895319895176</v>
      </c>
      <c r="E32" s="3">
        <f>'F_CP-61786_R1_sorted_mar42020'!F61*ExpectedResults!D32</f>
        <v>433774.69848909078</v>
      </c>
      <c r="F32" s="3">
        <f>D32*'F_CP-61786_R1_sorted_mar42020'!O61</f>
        <v>2.0188095527788683E-5</v>
      </c>
    </row>
    <row r="33" spans="2:6" x14ac:dyDescent="0.25">
      <c r="B33" t="s">
        <v>24</v>
      </c>
      <c r="E33" s="3">
        <f>SUM('F_CP-61786_R1_sorted_mar42020'!F61:F62)-SUM(ExpectedResults!E31:E32)</f>
        <v>2165791.0312843644</v>
      </c>
      <c r="F33" s="3">
        <f>SUM('F_CP-61786_R1_sorted_mar42020'!O61:O62)-SUM(ExpectedResults!F31:F32)</f>
        <v>7.4907179461066213E-5</v>
      </c>
    </row>
    <row r="34" spans="2:6" x14ac:dyDescent="0.25">
      <c r="B34" t="s">
        <v>81</v>
      </c>
      <c r="D34">
        <f>'B-3_T-4_Pond_Fractions'!H23</f>
        <v>1</v>
      </c>
      <c r="E34" s="3">
        <f>'F_CP-61786_R1_sorted_mar42020'!F59*ExpectedResults!D34</f>
        <v>966020</v>
      </c>
      <c r="F34" s="3">
        <f>SUM('F_CP-61786_R1_sorted_mar42020'!O59:O60)*ExpectedResults!D34</f>
        <v>4.7314034127000004E-4</v>
      </c>
    </row>
    <row r="37" spans="2:6" x14ac:dyDescent="0.25">
      <c r="B37" s="5" t="str">
        <f>"1972:"</f>
        <v>1972:</v>
      </c>
    </row>
    <row r="38" spans="2:6" x14ac:dyDescent="0.25">
      <c r="B38" s="2" t="s">
        <v>52</v>
      </c>
      <c r="C38" s="2" t="s">
        <v>54</v>
      </c>
      <c r="D38" s="2" t="s">
        <v>59</v>
      </c>
      <c r="E38" s="2" t="s">
        <v>55</v>
      </c>
      <c r="F38" s="2" t="s">
        <v>62</v>
      </c>
    </row>
    <row r="39" spans="2:6" x14ac:dyDescent="0.25">
      <c r="B39" t="s">
        <v>30</v>
      </c>
      <c r="D39">
        <f>'B-3_T-4_Pond_Fractions'!C34</f>
        <v>1</v>
      </c>
      <c r="E39" s="3">
        <f>'F_CP-61786_R1_sorted_mar42020'!F63*ExpectedResults!D39</f>
        <v>4426000</v>
      </c>
      <c r="F39" s="3">
        <f>'F_CP-61786_R1_sorted_mar42020'!O63*ExpectedResults!D39</f>
        <v>3.53849E-3</v>
      </c>
    </row>
    <row r="40" spans="2:6" x14ac:dyDescent="0.25">
      <c r="B40" t="s">
        <v>32</v>
      </c>
      <c r="C40" s="4">
        <f>'F_CP-61786_R1_sorted_mar42020'!F67/SUM('F_CP-61786_R1_sorted_mar42020'!F66:F67)</f>
        <v>0.27812776565379921</v>
      </c>
      <c r="D40">
        <f>Areas!C7/(Areas!C7+Areas!C10*ExpectedResults!C40)</f>
        <v>1.1890866548561155E-2</v>
      </c>
      <c r="E40" s="3">
        <f>'F_CP-61786_R1_sorted_mar42020'!F67*ExpectedResults!D40</f>
        <v>7800.7532909860256</v>
      </c>
      <c r="F40" s="3">
        <f>'F_CP-61786_R1_sorted_mar42020'!O67*ExpectedResults!D40</f>
        <v>1.396570385261959E-11</v>
      </c>
    </row>
    <row r="41" spans="2:6" x14ac:dyDescent="0.25">
      <c r="B41" t="s">
        <v>27</v>
      </c>
      <c r="C41" s="4">
        <f>'F_CP-61786_R1_sorted_mar42020'!F66/SUM('F_CP-61786_R1_sorted_mar42020'!F66:F67)</f>
        <v>0.72187223434620074</v>
      </c>
      <c r="D41">
        <f>Areas!C9/(Areas!C9+Areas!C10*ExpectedResults!C41)</f>
        <v>0.22629112516448416</v>
      </c>
      <c r="E41" s="3">
        <f>'F_CP-61786_R1_sorted_mar42020'!F66*ExpectedResults!D41</f>
        <v>385306.69083650527</v>
      </c>
      <c r="F41" s="3">
        <f>'F_CP-61786_R1_sorted_mar42020'!O66*ExpectedResults!D41</f>
        <v>3.1809883764869141E-5</v>
      </c>
    </row>
    <row r="42" spans="2:6" x14ac:dyDescent="0.25">
      <c r="B42" t="s">
        <v>24</v>
      </c>
      <c r="E42" s="3">
        <f>SUM('F_CP-61786_R1_sorted_mar42020'!F66:F67)-SUM(ExpectedResults!E40:E41)</f>
        <v>1965625.0558725088</v>
      </c>
      <c r="F42" s="3">
        <f>SUM('F_CP-61786_R1_sorted_mar42020'!O66:O67)-SUM(ExpectedResults!F40:F41)</f>
        <v>1.0876189675942701E-4</v>
      </c>
    </row>
    <row r="43" spans="2:6" x14ac:dyDescent="0.25">
      <c r="B43" t="s">
        <v>81</v>
      </c>
      <c r="D43">
        <f>'B-3_T-4_Pond_Fractions'!H34</f>
        <v>0.41666666699999999</v>
      </c>
      <c r="E43" s="3">
        <f>'F_CP-61786_R1_sorted_mar42020'!F64*ExpectedResults!D43</f>
        <v>195425.00015633999</v>
      </c>
      <c r="F43" s="3">
        <f>SUM('F_CP-61786_R1_sorted_mar42020'!O64:O65)*ExpectedResults!D43</f>
        <v>1.2787775010230219E-8</v>
      </c>
    </row>
    <row r="44" spans="2:6" x14ac:dyDescent="0.25">
      <c r="B44" t="s">
        <v>88</v>
      </c>
      <c r="D44">
        <f>'B-3_T-4_Pond_Fractions'!I34</f>
        <v>0.19773211399999999</v>
      </c>
      <c r="E44" s="3">
        <f>'F_CP-61786_R1_sorted_mar42020'!F64*ExpectedResults!D44</f>
        <v>92740.316108279992</v>
      </c>
      <c r="F44" s="3">
        <f>SUM('F_CP-61786_R1_sorted_mar42020'!O64:O65)*ExpectedResults!D44</f>
        <v>6.0685290818552391E-9</v>
      </c>
    </row>
    <row r="45" spans="2:6" x14ac:dyDescent="0.25">
      <c r="B45" t="s">
        <v>89</v>
      </c>
      <c r="D45">
        <f>'B-3_T-4_Pond_Fractions'!J34</f>
        <v>0.38560122000000002</v>
      </c>
      <c r="E45" s="3">
        <f>'F_CP-61786_R1_sorted_mar42020'!F64*ExpectedResults!D45</f>
        <v>180854.68420440002</v>
      </c>
      <c r="F45" s="3">
        <f>SUM('F_CP-61786_R1_sorted_mar42020'!O64:O65)*ExpectedResults!D45</f>
        <v>1.18343559386052E-8</v>
      </c>
    </row>
    <row r="48" spans="2:6" x14ac:dyDescent="0.25">
      <c r="B48" s="1" t="str">
        <f>"1976:"</f>
        <v>1976:</v>
      </c>
    </row>
    <row r="50" spans="2:6" x14ac:dyDescent="0.25">
      <c r="B50" s="2" t="s">
        <v>52</v>
      </c>
      <c r="C50" s="2" t="s">
        <v>54</v>
      </c>
      <c r="D50" s="2" t="s">
        <v>59</v>
      </c>
      <c r="E50" s="2" t="s">
        <v>55</v>
      </c>
      <c r="F50" s="2" t="s">
        <v>77</v>
      </c>
    </row>
    <row r="51" spans="2:6" x14ac:dyDescent="0.25">
      <c r="B51" t="s">
        <v>30</v>
      </c>
      <c r="D51">
        <f>'B-3_T-4_Pond_Fractions'!C38</f>
        <v>1</v>
      </c>
      <c r="E51" s="3">
        <f>D51*'F_CP-61786_R1_sorted_mar42020'!F68</f>
        <v>3421000</v>
      </c>
      <c r="F51" s="3">
        <f>D51*'Appendix_B_of_CP-64710_07242020'!J72</f>
        <v>0.22406400000000001</v>
      </c>
    </row>
    <row r="52" spans="2:6" x14ac:dyDescent="0.25">
      <c r="B52" t="s">
        <v>32</v>
      </c>
      <c r="C52">
        <f>'F_CP-61786_R1_sorted_mar42020'!F72/SUM('F_CP-61786_R1_sorted_mar42020'!F71:F72)</f>
        <v>0.1193808419416228</v>
      </c>
      <c r="D52">
        <f>Areas!C7/(Areas!C7+Areas!C10*ExpectedResults!C52)</f>
        <v>2.7271555916327753E-2</v>
      </c>
      <c r="E52" s="3">
        <f>D52*'F_CP-61786_R1_sorted_mar42020'!F72</f>
        <v>20590.761048837194</v>
      </c>
      <c r="F52" s="3">
        <f>D52*'Appendix_B_of_CP-64710_07242020'!J76</f>
        <v>5.8008508442943278E-3</v>
      </c>
    </row>
    <row r="53" spans="2:6" x14ac:dyDescent="0.25">
      <c r="B53" t="s">
        <v>27</v>
      </c>
      <c r="C53">
        <f>'F_CP-61786_R1_sorted_mar42020'!F71/SUM('F_CP-61786_R1_sorted_mar42020'!F71:F72)</f>
        <v>0.8806191580583772</v>
      </c>
      <c r="D53">
        <f>Areas!C9/(Areas!C9+Areas!C10*ExpectedResults!C53)</f>
        <v>0.19338703324421883</v>
      </c>
      <c r="E53" s="3">
        <f>D53*'F_CP-61786_R1_sorted_mar42020'!F71</f>
        <v>1077068.5014925769</v>
      </c>
      <c r="F53" s="3">
        <f>D53*'Appendix_B_of_CP-64710_07242020'!J75</f>
        <v>2.2455013531321528E-2</v>
      </c>
    </row>
    <row r="54" spans="2:6" x14ac:dyDescent="0.25">
      <c r="B54" t="s">
        <v>24</v>
      </c>
      <c r="E54" s="3">
        <f>SUM('F_CP-61786_R1_sorted_mar42020'!F71:F72)-SUM(ExpectedResults!E52:E53)</f>
        <v>5226864.7374585858</v>
      </c>
      <c r="F54" s="3">
        <f>SUM('Appendix_B_of_CP-64710_07242020'!J75:J76)-SUM(ExpectedResults!F52:F53)</f>
        <v>0.30056550562438417</v>
      </c>
    </row>
    <row r="55" spans="2:6" x14ac:dyDescent="0.25">
      <c r="B55" t="s">
        <v>88</v>
      </c>
      <c r="D55">
        <f>'B-3_T-4_Pond_Fractions'!I38</f>
        <v>0.33896933800000001</v>
      </c>
      <c r="E55" s="3">
        <f>'F_CP-61786_R1_sorted_mar42020'!F69*ExpectedResults!D55</f>
        <v>30546.221893870003</v>
      </c>
      <c r="F55" s="3">
        <f>SUM('Appendix_B_of_CP-64710_07242020'!J73:J74)*ExpectedResults!D55</f>
        <v>2.4266364078200462E-3</v>
      </c>
    </row>
    <row r="56" spans="2:6" x14ac:dyDescent="0.25">
      <c r="B56" t="s">
        <v>89</v>
      </c>
      <c r="D56">
        <f>'B-3_T-4_Pond_Fractions'!J38</f>
        <v>0.66103066200000005</v>
      </c>
      <c r="E56" s="3">
        <f>'F_CP-61786_R1_sorted_mar42020'!F69*ExpectedResults!D56</f>
        <v>59568.778106130005</v>
      </c>
      <c r="F56" s="3">
        <f>SUM('Appendix_B_of_CP-64710_07242020'!J73:J74)*ExpectedResults!D56</f>
        <v>4.7322305921799548E-3</v>
      </c>
    </row>
    <row r="59" spans="2:6" x14ac:dyDescent="0.25">
      <c r="B59" s="1" t="str">
        <f>"1984:"</f>
        <v>1984:</v>
      </c>
    </row>
    <row r="60" spans="2:6" x14ac:dyDescent="0.25">
      <c r="C60" s="2" t="s">
        <v>59</v>
      </c>
      <c r="D60" s="2" t="s">
        <v>55</v>
      </c>
      <c r="E60" s="2" t="s">
        <v>63</v>
      </c>
    </row>
    <row r="61" spans="2:6" x14ac:dyDescent="0.25">
      <c r="B61" t="s">
        <v>30</v>
      </c>
      <c r="C61">
        <f>'B-3_T-4_Pond_Fractions'!C46</f>
        <v>0.82897405199999996</v>
      </c>
      <c r="D61" s="3">
        <f>C61*'F_CP-61786_R1_sorted_mar42020'!F73</f>
        <v>4410141.9566399995</v>
      </c>
      <c r="E61" s="3">
        <f>C61*'F_CP-61786_R1_sorted_mar42020'!J73</f>
        <v>0.49890642755947201</v>
      </c>
    </row>
    <row r="62" spans="2:6" x14ac:dyDescent="0.25">
      <c r="B62" t="s">
        <v>48</v>
      </c>
      <c r="C62">
        <f>'B-3_T-4_Pond_Fractions'!D46</f>
        <v>0.15040141300000001</v>
      </c>
      <c r="D62" s="3">
        <f>C62*'F_CP-61786_R1_sorted_mar42020'!F73</f>
        <v>800135.51716000005</v>
      </c>
      <c r="E62" s="3">
        <f>C62*'F_CP-61786_R1_sorted_mar42020'!J73</f>
        <v>9.0516984794268007E-2</v>
      </c>
    </row>
    <row r="63" spans="2:6" x14ac:dyDescent="0.25">
      <c r="B63" t="s">
        <v>49</v>
      </c>
      <c r="C63">
        <f>'B-3_T-4_Pond_Fractions'!E46</f>
        <v>2.0624534999999999E-2</v>
      </c>
      <c r="D63" s="3">
        <f>C63*'F_CP-61786_R1_sorted_mar42020'!F73</f>
        <v>109722.52619999999</v>
      </c>
      <c r="E63" s="3">
        <f>C63*'F_CP-61786_R1_sorted_mar42020'!J73</f>
        <v>1.241258764626E-2</v>
      </c>
    </row>
    <row r="64" spans="2:6" x14ac:dyDescent="0.25">
      <c r="B64" t="s">
        <v>27</v>
      </c>
      <c r="C64">
        <f>Areas!C9/(Areas!C9+Areas!C10)</f>
        <v>0.17432491459470645</v>
      </c>
      <c r="D64" s="3">
        <f>C64*'F_CP-61786_R1_sorted_mar42020'!F76</f>
        <v>64431.168301370424</v>
      </c>
      <c r="E64" s="3">
        <f>C64*'F_CP-61786_R1_sorted_mar42020'!J76</f>
        <v>1.4037724680885397</v>
      </c>
    </row>
    <row r="65" spans="2:5" x14ac:dyDescent="0.25">
      <c r="B65" t="s">
        <v>24</v>
      </c>
      <c r="D65" s="3">
        <f>'F_CP-61786_R1_sorted_mar42020'!F76-ExpectedResults!D64</f>
        <v>305172.73169862962</v>
      </c>
      <c r="E65" s="3">
        <f>'F_CP-61786_R1_sorted_mar42020'!J76-ExpectedResults!E64</f>
        <v>6.6488485319114607</v>
      </c>
    </row>
    <row r="66" spans="2:5" x14ac:dyDescent="0.25">
      <c r="B66" t="s">
        <v>90</v>
      </c>
      <c r="C66">
        <f>'B-3_T-4_Pond_Fractions'!K46</f>
        <v>1</v>
      </c>
      <c r="D66" s="3">
        <f>'F_CP-61786_R1_sorted_mar42020'!F74*ExpectedResults!C66</f>
        <v>19020</v>
      </c>
      <c r="E66" s="3">
        <f>SUM('F_CP-61786_R1_sorted_mar42020'!J74:J75)*ExpectedResults!C66</f>
        <v>2.0949250000000002E-7</v>
      </c>
    </row>
    <row r="69" spans="2:5" x14ac:dyDescent="0.25">
      <c r="B69" s="1" t="str">
        <f>"1994:"</f>
        <v>1994:</v>
      </c>
    </row>
    <row r="70" spans="2:5" x14ac:dyDescent="0.25">
      <c r="C70" s="2" t="s">
        <v>59</v>
      </c>
      <c r="D70" s="2" t="s">
        <v>55</v>
      </c>
      <c r="E70" s="2" t="s">
        <v>78</v>
      </c>
    </row>
    <row r="71" spans="2:5" x14ac:dyDescent="0.25">
      <c r="B71" t="s">
        <v>30</v>
      </c>
      <c r="C71">
        <f>'B-3_T-4_Pond_Fractions'!C56</f>
        <v>0.23409584</v>
      </c>
      <c r="D71" s="3">
        <f>C71*'F_CP-61786_R1_sorted_mar42020'!F77</f>
        <v>1609174.8041600001</v>
      </c>
      <c r="E71" s="3">
        <f>C71*'Appendix_B_of_CP-64710_07242020'!I81</f>
        <v>842.53433774400003</v>
      </c>
    </row>
    <row r="72" spans="2:5" x14ac:dyDescent="0.25">
      <c r="B72" t="s">
        <v>48</v>
      </c>
      <c r="C72">
        <f>'B-3_T-4_Pond_Fractions'!D56</f>
        <v>7.1036022000000004E-2</v>
      </c>
      <c r="D72" s="3">
        <f>C72*'F_CP-61786_R1_sorted_mar42020'!F77</f>
        <v>488301.61522800004</v>
      </c>
      <c r="E72" s="3">
        <f>C72*'Appendix_B_of_CP-64710_07242020'!I81</f>
        <v>255.66574678020001</v>
      </c>
    </row>
    <row r="73" spans="2:5" x14ac:dyDescent="0.25">
      <c r="B73" t="s">
        <v>50</v>
      </c>
      <c r="C73">
        <f>'B-3_T-4_Pond_Fractions'!F56</f>
        <v>0.69486813800000002</v>
      </c>
      <c r="D73" s="3">
        <f>C73*'F_CP-61786_R1_sorted_mar42020'!F77</f>
        <v>4776523.5806120001</v>
      </c>
      <c r="E73" s="3">
        <f>C73*'Appendix_B_of_CP-64710_07242020'!I81</f>
        <v>2500.8999154757998</v>
      </c>
    </row>
    <row r="74" spans="2:5" x14ac:dyDescent="0.25">
      <c r="B74" t="s">
        <v>79</v>
      </c>
      <c r="D74" s="3">
        <f>'F_CP-61786_R1_sorted_mar42020'!F80</f>
        <v>110032.79</v>
      </c>
      <c r="E74" s="3">
        <f>'Appendix_B_of_CP-64710_07242020'!I84</f>
        <v>29117.96</v>
      </c>
    </row>
    <row r="75" spans="2:5" x14ac:dyDescent="0.25">
      <c r="B75" t="s">
        <v>90</v>
      </c>
      <c r="C75">
        <f>'B-3_T-4_Pond_Fractions'!K56</f>
        <v>1</v>
      </c>
      <c r="D75" s="3">
        <f>'F_CP-61786_R1_sorted_mar42020'!F78*ExpectedResults!C75</f>
        <v>19020</v>
      </c>
      <c r="E75" s="3">
        <f>SUM('Appendix_B_of_CP-64710_07242020'!I82:I83)*ExpectedResults!C75</f>
        <v>757.78756912699998</v>
      </c>
    </row>
    <row r="78" spans="2:5" x14ac:dyDescent="0.25">
      <c r="B78" s="1" t="str">
        <f>"1996:"</f>
        <v>1996:</v>
      </c>
    </row>
    <row r="79" spans="2:5" x14ac:dyDescent="0.25">
      <c r="C79" s="2" t="s">
        <v>55</v>
      </c>
      <c r="D79" s="2" t="s">
        <v>64</v>
      </c>
    </row>
    <row r="80" spans="2:5" x14ac:dyDescent="0.25">
      <c r="B80" t="s">
        <v>50</v>
      </c>
      <c r="C80" s="3">
        <f>'F_CP-61786_R1_sorted_mar42020'!F81</f>
        <v>5469400</v>
      </c>
      <c r="D80" s="3">
        <f>'F_CP-61786_R1_sorted_mar42020'!K81</f>
        <v>1.34075E-6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F_CP-61786_R1_sorted_mar42020</vt:lpstr>
      <vt:lpstr>Appendix_B_of_CP-64710_07242020</vt:lpstr>
      <vt:lpstr>B-3_T-4_Pond_Fractions</vt:lpstr>
      <vt:lpstr>Areas</vt:lpstr>
      <vt:lpstr>ExpectedResults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McDonald</dc:creator>
  <cp:lastModifiedBy>John McDonald</cp:lastModifiedBy>
  <dcterms:created xsi:type="dcterms:W3CDTF">2020-03-31T17:43:04Z</dcterms:created>
  <dcterms:modified xsi:type="dcterms:W3CDTF">2020-10-05T23:25:17Z</dcterms:modified>
</cp:coreProperties>
</file>