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cy Tapia\Desktop\SM-ROOT\9°A\Administración de proyectos\RA_GestionRiegos_SM-ROOT\RA_SM-ROOT\"/>
    </mc:Choice>
  </mc:AlternateContent>
  <bookViews>
    <workbookView xWindow="0" yWindow="0" windowWidth="16380" windowHeight="8190" tabRatio="500"/>
  </bookViews>
  <sheets>
    <sheet name="Matriz" sheetId="1" r:id="rId1"/>
    <sheet name="Cualitativo " sheetId="2" r:id="rId2"/>
    <sheet name="Plan de contingencia" sheetId="3" r:id="rId3"/>
    <sheet name="Grafica" sheetId="4" r:id="rId4"/>
    <sheet name="Datos" sheetId="5" r:id="rId5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8" i="3" l="1"/>
  <c r="H9" i="3"/>
  <c r="H10" i="3"/>
  <c r="H11" i="3"/>
  <c r="H12" i="3"/>
  <c r="H13" i="3"/>
  <c r="L13" i="3" l="1"/>
  <c r="L10" i="3"/>
  <c r="L9" i="3"/>
  <c r="J16" i="1" l="1"/>
  <c r="J17" i="1"/>
  <c r="H34" i="2" l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3" i="2"/>
  <c r="H5" i="4" l="1"/>
  <c r="D5" i="4"/>
  <c r="D6" i="4"/>
  <c r="D7" i="4"/>
  <c r="E5" i="4"/>
  <c r="E6" i="4"/>
  <c r="E7" i="4"/>
  <c r="F5" i="4"/>
  <c r="F6" i="4"/>
  <c r="F7" i="4"/>
  <c r="G5" i="4"/>
  <c r="G7" i="4"/>
  <c r="G8" i="4"/>
  <c r="G6" i="4"/>
  <c r="H6" i="4"/>
  <c r="H7" i="4"/>
  <c r="H8" i="4"/>
  <c r="F8" i="4"/>
  <c r="E8" i="4"/>
  <c r="D8" i="4"/>
  <c r="H9" i="4"/>
  <c r="G9" i="4"/>
  <c r="F9" i="4"/>
  <c r="E9" i="4"/>
  <c r="D9" i="4"/>
  <c r="L12" i="3"/>
  <c r="L14" i="3"/>
  <c r="L15" i="3"/>
  <c r="L16" i="3"/>
  <c r="L17" i="3"/>
  <c r="L18" i="3"/>
  <c r="L19" i="3"/>
  <c r="L20" i="3"/>
  <c r="L21" i="3"/>
  <c r="L22" i="3"/>
  <c r="L8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I12" i="3"/>
  <c r="I11" i="3"/>
  <c r="I10" i="3"/>
  <c r="I9" i="3"/>
  <c r="I8" i="3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I28" i="2"/>
  <c r="H28" i="2"/>
  <c r="F28" i="2"/>
  <c r="D28" i="2"/>
  <c r="D47" i="2" s="1"/>
  <c r="E22" i="3" s="1"/>
  <c r="C28" i="2"/>
  <c r="C47" i="2" s="1"/>
  <c r="D22" i="3" s="1"/>
  <c r="I27" i="2"/>
  <c r="H27" i="2"/>
  <c r="F27" i="2"/>
  <c r="D27" i="2"/>
  <c r="D46" i="2" s="1"/>
  <c r="E21" i="3" s="1"/>
  <c r="C27" i="2"/>
  <c r="C46" i="2" s="1"/>
  <c r="D21" i="3" s="1"/>
  <c r="I26" i="2"/>
  <c r="H26" i="2"/>
  <c r="F26" i="2"/>
  <c r="D26" i="2"/>
  <c r="D45" i="2" s="1"/>
  <c r="E20" i="3" s="1"/>
  <c r="C26" i="2"/>
  <c r="C45" i="2" s="1"/>
  <c r="D20" i="3" s="1"/>
  <c r="I25" i="2"/>
  <c r="H25" i="2"/>
  <c r="F25" i="2"/>
  <c r="D25" i="2"/>
  <c r="D44" i="2" s="1"/>
  <c r="E19" i="3" s="1"/>
  <c r="C25" i="2"/>
  <c r="C44" i="2" s="1"/>
  <c r="D19" i="3" s="1"/>
  <c r="I24" i="2"/>
  <c r="H24" i="2"/>
  <c r="F24" i="2"/>
  <c r="D24" i="2"/>
  <c r="D43" i="2" s="1"/>
  <c r="E18" i="3" s="1"/>
  <c r="C24" i="2"/>
  <c r="C43" i="2" s="1"/>
  <c r="D18" i="3" s="1"/>
  <c r="I23" i="2"/>
  <c r="H23" i="2"/>
  <c r="F23" i="2"/>
  <c r="D23" i="2"/>
  <c r="D42" i="2" s="1"/>
  <c r="E17" i="3" s="1"/>
  <c r="C23" i="2"/>
  <c r="C42" i="2" s="1"/>
  <c r="D17" i="3" s="1"/>
  <c r="I22" i="2"/>
  <c r="H22" i="2"/>
  <c r="F22" i="2"/>
  <c r="D22" i="2"/>
  <c r="D41" i="2" s="1"/>
  <c r="E16" i="3" s="1"/>
  <c r="C22" i="2"/>
  <c r="C41" i="2" s="1"/>
  <c r="D16" i="3" s="1"/>
  <c r="I21" i="2"/>
  <c r="H21" i="2"/>
  <c r="F21" i="2"/>
  <c r="D21" i="2"/>
  <c r="D40" i="2" s="1"/>
  <c r="E15" i="3" s="1"/>
  <c r="C21" i="2"/>
  <c r="C40" i="2" s="1"/>
  <c r="D15" i="3" s="1"/>
  <c r="I20" i="2"/>
  <c r="H20" i="2"/>
  <c r="F20" i="2"/>
  <c r="D20" i="2"/>
  <c r="D39" i="2" s="1"/>
  <c r="E14" i="3" s="1"/>
  <c r="C20" i="2"/>
  <c r="C39" i="2" s="1"/>
  <c r="D14" i="3" s="1"/>
  <c r="I19" i="2"/>
  <c r="H19" i="2"/>
  <c r="F19" i="2"/>
  <c r="D19" i="2"/>
  <c r="D38" i="2" s="1"/>
  <c r="E13" i="3" s="1"/>
  <c r="C19" i="2"/>
  <c r="C38" i="2" s="1"/>
  <c r="D13" i="3" s="1"/>
  <c r="I18" i="2"/>
  <c r="H18" i="2"/>
  <c r="F18" i="2"/>
  <c r="D18" i="2"/>
  <c r="D37" i="2" s="1"/>
  <c r="E12" i="3" s="1"/>
  <c r="C18" i="2"/>
  <c r="C37" i="2" s="1"/>
  <c r="D12" i="3" s="1"/>
  <c r="I17" i="2"/>
  <c r="H17" i="2"/>
  <c r="F17" i="2"/>
  <c r="D17" i="2"/>
  <c r="D36" i="2" s="1"/>
  <c r="E11" i="3" s="1"/>
  <c r="C17" i="2"/>
  <c r="C36" i="2" s="1"/>
  <c r="D11" i="3" s="1"/>
  <c r="I16" i="2"/>
  <c r="H16" i="2"/>
  <c r="F16" i="2"/>
  <c r="D16" i="2"/>
  <c r="D35" i="2" s="1"/>
  <c r="E10" i="3" s="1"/>
  <c r="C16" i="2"/>
  <c r="C35" i="2" s="1"/>
  <c r="D10" i="3" s="1"/>
  <c r="I15" i="2"/>
  <c r="H15" i="2"/>
  <c r="F15" i="2"/>
  <c r="D15" i="2"/>
  <c r="D34" i="2" s="1"/>
  <c r="E9" i="3" s="1"/>
  <c r="C15" i="2"/>
  <c r="C34" i="2" s="1"/>
  <c r="D9" i="3" s="1"/>
  <c r="I14" i="2"/>
  <c r="H14" i="2"/>
  <c r="F14" i="2"/>
  <c r="D14" i="2"/>
  <c r="D33" i="2" s="1"/>
  <c r="E8" i="3" s="1"/>
  <c r="C14" i="2"/>
  <c r="C33" i="2" s="1"/>
  <c r="D8" i="3" s="1"/>
  <c r="Q10" i="2"/>
  <c r="L10" i="2"/>
  <c r="L9" i="2"/>
  <c r="L8" i="2"/>
  <c r="L7" i="2"/>
  <c r="L6" i="2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22" i="2" l="1"/>
  <c r="L22" i="2" s="1"/>
  <c r="J24" i="2"/>
  <c r="L24" i="2" s="1"/>
  <c r="J26" i="2"/>
  <c r="L26" i="2" s="1"/>
  <c r="J28" i="2"/>
  <c r="L28" i="2" s="1"/>
  <c r="J14" i="2"/>
  <c r="L14" i="2" s="1"/>
  <c r="J16" i="2"/>
  <c r="L16" i="2" s="1"/>
  <c r="J18" i="2"/>
  <c r="L18" i="2" s="1"/>
  <c r="J20" i="2"/>
  <c r="L20" i="2" s="1"/>
  <c r="J15" i="2"/>
  <c r="L15" i="2" s="1"/>
  <c r="J17" i="2"/>
  <c r="L17" i="2" s="1"/>
  <c r="J19" i="2"/>
  <c r="L19" i="2" s="1"/>
  <c r="J21" i="2"/>
  <c r="L21" i="2" s="1"/>
  <c r="J23" i="2"/>
  <c r="L23" i="2" s="1"/>
  <c r="J25" i="2"/>
  <c r="L25" i="2" s="1"/>
  <c r="J27" i="2"/>
  <c r="L27" i="2" s="1"/>
  <c r="K22" i="2"/>
  <c r="F41" i="2" s="1"/>
  <c r="G16" i="3" s="1"/>
  <c r="K24" i="2" l="1"/>
  <c r="F43" i="2" s="1"/>
  <c r="G18" i="3" s="1"/>
  <c r="K28" i="2"/>
  <c r="F47" i="2" s="1"/>
  <c r="G22" i="3" s="1"/>
  <c r="K26" i="2"/>
  <c r="F45" i="2" s="1"/>
  <c r="G20" i="3" s="1"/>
  <c r="K15" i="2"/>
  <c r="F34" i="2" s="1"/>
  <c r="G9" i="3" s="1"/>
  <c r="K23" i="2"/>
  <c r="F42" i="2" s="1"/>
  <c r="G17" i="3" s="1"/>
  <c r="K18" i="2"/>
  <c r="F37" i="2" s="1"/>
  <c r="G12" i="3" s="1"/>
  <c r="K20" i="2"/>
  <c r="F39" i="2" s="1"/>
  <c r="G14" i="3" s="1"/>
  <c r="K16" i="2"/>
  <c r="F35" i="2" s="1"/>
  <c r="G10" i="3" s="1"/>
  <c r="K14" i="2"/>
  <c r="F33" i="2" s="1"/>
  <c r="G8" i="3" s="1"/>
  <c r="K27" i="2"/>
  <c r="F46" i="2" s="1"/>
  <c r="G21" i="3" s="1"/>
  <c r="K19" i="2"/>
  <c r="F38" i="2" s="1"/>
  <c r="G13" i="3" s="1"/>
  <c r="K25" i="2"/>
  <c r="F44" i="2" s="1"/>
  <c r="G19" i="3" s="1"/>
  <c r="K21" i="2"/>
  <c r="F40" i="2" s="1"/>
  <c r="G15" i="3" s="1"/>
  <c r="K17" i="2"/>
  <c r="F36" i="2" s="1"/>
  <c r="G11" i="3" s="1"/>
</calcChain>
</file>

<file path=xl/sharedStrings.xml><?xml version="1.0" encoding="utf-8"?>
<sst xmlns="http://schemas.openxmlformats.org/spreadsheetml/2006/main" count="184" uniqueCount="133">
  <si>
    <t>Probabilidad</t>
  </si>
  <si>
    <t>Impacto</t>
  </si>
  <si>
    <t>Frecuente</t>
  </si>
  <si>
    <t>Una vez por semana</t>
  </si>
  <si>
    <t>Catastrófico</t>
  </si>
  <si>
    <t>Toda la organización</t>
  </si>
  <si>
    <t>Moderado</t>
  </si>
  <si>
    <t>Una vez por mes</t>
  </si>
  <si>
    <t>Mayor</t>
  </si>
  <si>
    <t>Una oficina</t>
  </si>
  <si>
    <t>Ocasional</t>
  </si>
  <si>
    <t>Una vez por semestre</t>
  </si>
  <si>
    <t>Un área</t>
  </si>
  <si>
    <t>Remoto</t>
  </si>
  <si>
    <t>Una vez por año</t>
  </si>
  <si>
    <t>Menor</t>
  </si>
  <si>
    <t>Una persona</t>
  </si>
  <si>
    <t>Improbable</t>
  </si>
  <si>
    <t>Cada 10 años</t>
  </si>
  <si>
    <t>Insignificante</t>
  </si>
  <si>
    <t>Una tarea</t>
  </si>
  <si>
    <t>IDENTIFICACIÓN DEL RIESGO</t>
  </si>
  <si>
    <t>ANÁLISIS</t>
  </si>
  <si>
    <t>EVALUACIÓN</t>
  </si>
  <si>
    <t>No.</t>
  </si>
  <si>
    <t>Proceso, Actividad o Tarea</t>
  </si>
  <si>
    <t>Descripción</t>
  </si>
  <si>
    <t>Evento adverso</t>
  </si>
  <si>
    <t>Causas</t>
  </si>
  <si>
    <t>Consecuencias</t>
  </si>
  <si>
    <t>Evaluación</t>
  </si>
  <si>
    <t>Acciones</t>
  </si>
  <si>
    <t>IDENTIFICACIÓN Y EVALUACIÓN CUALITATIVA DE RIESGOS</t>
  </si>
  <si>
    <t>Valor numérico</t>
  </si>
  <si>
    <t>Tipo de riesgo</t>
  </si>
  <si>
    <t>Probabilidad x Impacto</t>
  </si>
  <si>
    <t>%</t>
  </si>
  <si>
    <t>Muy improbable</t>
  </si>
  <si>
    <t>Muy bajo</t>
  </si>
  <si>
    <t>Muy alto</t>
  </si>
  <si>
    <t>Mayor a 16</t>
  </si>
  <si>
    <t>Relativamente probable</t>
  </si>
  <si>
    <t>Bajo</t>
  </si>
  <si>
    <t>Alto</t>
  </si>
  <si>
    <t>Menor a 15</t>
  </si>
  <si>
    <t>Probable</t>
  </si>
  <si>
    <t>Menor a 12</t>
  </si>
  <si>
    <t>Muy probable</t>
  </si>
  <si>
    <t>Menor a 8</t>
  </si>
  <si>
    <t>Casi certeza</t>
  </si>
  <si>
    <t>Menor a 5</t>
  </si>
  <si>
    <t>R</t>
  </si>
  <si>
    <t>CÓDIGO</t>
  </si>
  <si>
    <t>DESCRIPCIÓN</t>
  </si>
  <si>
    <t>CAUSA RAÍZ</t>
  </si>
  <si>
    <t>ENTREGABLES AFECTADOS</t>
  </si>
  <si>
    <t>PROBABILIDAD</t>
  </si>
  <si>
    <t>IMPACTO</t>
  </si>
  <si>
    <t>PROB X IMPACTO</t>
  </si>
  <si>
    <t>TIPO</t>
  </si>
  <si>
    <t>% DE RIESGO</t>
  </si>
  <si>
    <t>PLAN DE RESPUESTA A RIESGOS</t>
  </si>
  <si>
    <t>TIPO RIESGO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</si>
  <si>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(ÁREA DE RIESGO)</t>
    </r>
  </si>
  <si>
    <t>RESPUESTA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</si>
  <si>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(SEGUIMIENTO)</t>
    </r>
  </si>
  <si>
    <t>PLAN DE CONTINGENCIA</t>
  </si>
  <si>
    <t>EVITAR / MITIGAR</t>
  </si>
  <si>
    <t>RESPONSABLE DE DAR SEGUIMIENTO</t>
  </si>
  <si>
    <t>ACTIVIDAD A REALIZAR</t>
  </si>
  <si>
    <t xml:space="preserve">REALIZADO  </t>
  </si>
  <si>
    <t>FECHA</t>
  </si>
  <si>
    <t>SUPERVISA</t>
  </si>
  <si>
    <t>OBSERVACIONES</t>
  </si>
  <si>
    <t>SI</t>
  </si>
  <si>
    <t>EXPLOTAR / MEJORAR</t>
  </si>
  <si>
    <t>NO</t>
  </si>
  <si>
    <t>TRANFERIR</t>
  </si>
  <si>
    <t>ACEPTAR</t>
  </si>
  <si>
    <t>MATRIZ DE RIESGOS</t>
  </si>
  <si>
    <t>Planeación</t>
  </si>
  <si>
    <t>Programador</t>
  </si>
  <si>
    <t>Project Manager</t>
  </si>
  <si>
    <t>ACCIONES</t>
  </si>
  <si>
    <t>Documentos de planeación e implementación del Software</t>
  </si>
  <si>
    <t>Requerimientos ambiguos o incompletos</t>
  </si>
  <si>
    <t>Cambios regulares y nuevos añadidos a los requerimientos</t>
  </si>
  <si>
    <t>Mala comunicación con el cliente</t>
  </si>
  <si>
    <t>Diseño</t>
  </si>
  <si>
    <t>Diseñador</t>
  </si>
  <si>
    <t>Analista</t>
  </si>
  <si>
    <t>Diseño de interfaces</t>
  </si>
  <si>
    <t>Desarrollo/Codificación</t>
  </si>
  <si>
    <t>Retrazo de avances con el software</t>
  </si>
  <si>
    <t>Pruebas</t>
  </si>
  <si>
    <t>Presentación de defectos en ambientes de producción</t>
  </si>
  <si>
    <t>Pruebas ineficientes</t>
  </si>
  <si>
    <t>Requerimientos</t>
  </si>
  <si>
    <t>Codificiación</t>
  </si>
  <si>
    <t>Mal entendimiento de los requerimientos</t>
  </si>
  <si>
    <t>Mala ejecución del producto, presenta errores</t>
  </si>
  <si>
    <t>Mala planeación del proyecto</t>
  </si>
  <si>
    <t xml:space="preserve">Mala organización del equipo de trabajo </t>
  </si>
  <si>
    <t>Tiempos incongruentes y fechas mal planeadas ,Organización ineficiente</t>
  </si>
  <si>
    <t>no trabajar eficientemente</t>
  </si>
  <si>
    <t xml:space="preserve">Mala comunicación, descuerdos en el equipo y trabajo disperso. </t>
  </si>
  <si>
    <t xml:space="preserve">el equipo de trabajo no se encuentra en la misma sintonia en  los avances, provocando un retrazo en el proyecto </t>
  </si>
  <si>
    <t>•Realización de reuniones sobre avances del proyecto
•Realizar acuerdos y trabajar en un punto medio de opiniones</t>
  </si>
  <si>
    <t xml:space="preserve"> Retrazo en entregables del proyecto e información dispersa</t>
  </si>
  <si>
    <t>Retrazo en el cronograma de actividades, poniendo en peligro la finalización exitosa del proyecto</t>
  </si>
  <si>
    <t>Revisar actividades con fechas y ajustarlos a tiempos del proyecto, utilizar un repositorio para el almacenamiento de la información.</t>
  </si>
  <si>
    <t>interpretación erronea de las ventanas e interfaces</t>
  </si>
  <si>
    <t>Diseño deficientes e incompletos.</t>
  </si>
  <si>
    <t>Diseño de interfaces equivocadas o mal diseñadas</t>
  </si>
  <si>
    <t>Mal analisís de la base de datos del producto</t>
  </si>
  <si>
    <t>Estructuración erronea de los datos, tablas mal relacionadas</t>
  </si>
  <si>
    <t>Base de datos confusa y mal diseño</t>
  </si>
  <si>
    <t>Retrazo en codificación del producto</t>
  </si>
  <si>
    <t>Redefinir la arquitectura lógica llevando a cabo un analisis produndo para lograr  relaciones de tablas correctas con base a los procesos de la empresa</t>
  </si>
  <si>
    <t xml:space="preserve">Acoplar los requerimientos nuevos o cambios  existentes de forma clara y  eficiente  para cumplir la funcionalidad planeada </t>
  </si>
  <si>
    <t>Comunicación</t>
  </si>
  <si>
    <t>todos los entregables del proyecto</t>
  </si>
  <si>
    <t>Portafolio manager</t>
  </si>
  <si>
    <t>todas las  minutas de trabajo se encuentra programado como parte de la agenda el punto de acuerdos, para establecer fechas, responsables, actividades y seguimiento de las tareas pendientes.</t>
  </si>
  <si>
    <t>Tester</t>
  </si>
  <si>
    <t>programador</t>
  </si>
  <si>
    <t>Se restructuró  el cronograma que las  actividades y tiempos, se reajusten y coincidan.</t>
  </si>
  <si>
    <t>Los nuevos cambios a los requisitos se ajustan  a los anteriores.</t>
  </si>
  <si>
    <t>nuevo analisis de los datos para  el rediseño de las intefaces ajustandola a los nuevos datos en la base de datos.</t>
  </si>
  <si>
    <t>nueva estructura de los datos  ajustando la base de datos de forma que se ajustaron los nuevos datos al diseño existente</t>
  </si>
  <si>
    <r>
      <t xml:space="preserve">Rediseñar las interfaces con base  a los requerimientos de software
</t>
    </r>
    <r>
      <rPr>
        <sz val="10"/>
        <color rgb="FFFF0000"/>
        <rFont val="Arial"/>
        <family val="2"/>
      </rPr>
      <t xml:space="preserve">Aplicación de la norma ISO 9126 en el criterio de Usabilidad. </t>
    </r>
  </si>
  <si>
    <t>Producto de software de mala calidad</t>
  </si>
  <si>
    <r>
      <t xml:space="preserve">•Realizar pruebas completas sobre cada módulo de la aplicación asegurandose de cumplir la funcionalidad principal
•Darle seguimiento a cada falla encontrado
•someter nuevamente a pruebas los módulos donde se reportaron fallas.
</t>
    </r>
    <r>
      <rPr>
        <sz val="10"/>
        <color rgb="FFFF0000"/>
        <rFont val="Arial"/>
        <family val="2"/>
      </rPr>
      <t>Seguimiento a la aplicación de la norma ISO 9126 en el criterio de eficiencia de desempeño.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</si>
</sst>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9"/>
      <name val="Arial"/>
      <family val="2"/>
      <charset val="1"/>
    </font>
    <font>
      <b/>
      <sz val="8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5"/>
      <name val="Arial"/>
      <family val="2"/>
      <charset val="1"/>
    </font>
    <font>
      <b/>
      <sz val="1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F413D"/>
        <bgColor rgb="FFF37B70"/>
      </patternFill>
    </fill>
    <fill>
      <patternFill patternType="solid">
        <fgColor rgb="FF89C765"/>
        <bgColor rgb="FF72BF44"/>
      </patternFill>
    </fill>
    <fill>
      <patternFill patternType="solid">
        <fgColor rgb="FF5B9BD5"/>
        <bgColor rgb="FF808080"/>
      </patternFill>
    </fill>
    <fill>
      <patternFill patternType="solid">
        <fgColor rgb="FFBCE4E5"/>
        <bgColor rgb="FFBBE0E3"/>
      </patternFill>
    </fill>
    <fill>
      <patternFill patternType="solid">
        <fgColor rgb="FFFFFBCC"/>
        <bgColor rgb="FFEFF6EA"/>
      </patternFill>
    </fill>
    <fill>
      <patternFill patternType="solid">
        <fgColor rgb="FFDFCCE4"/>
        <bgColor rgb="FFBBE0E3"/>
      </patternFill>
    </fill>
    <fill>
      <patternFill patternType="solid">
        <fgColor rgb="FFF37B70"/>
        <bgColor rgb="FFFF9900"/>
      </patternFill>
    </fill>
    <fill>
      <patternFill patternType="solid">
        <fgColor rgb="FFADC5E7"/>
        <bgColor rgb="FFBBE0E3"/>
      </patternFill>
    </fill>
    <fill>
      <patternFill patternType="solid">
        <fgColor rgb="FFADD58A"/>
        <bgColor rgb="FFC2E0AE"/>
      </patternFill>
    </fill>
    <fill>
      <patternFill patternType="solid">
        <fgColor rgb="FFC5E0B4"/>
        <bgColor rgb="FFC2E0AE"/>
      </patternFill>
    </fill>
    <fill>
      <patternFill patternType="solid">
        <fgColor rgb="FFC2E0AE"/>
        <bgColor rgb="FFC5E0B4"/>
      </patternFill>
    </fill>
    <fill>
      <patternFill patternType="solid">
        <fgColor rgb="FFBBE0E3"/>
        <bgColor rgb="FFBCE4E5"/>
      </patternFill>
    </fill>
    <fill>
      <patternFill patternType="solid">
        <fgColor rgb="FFE6F3F4"/>
        <bgColor rgb="FFEFF6EA"/>
      </patternFill>
    </fill>
    <fill>
      <patternFill patternType="solid">
        <fgColor rgb="FFEFF6EA"/>
        <bgColor rgb="FFF3F9F9"/>
      </patternFill>
    </fill>
    <fill>
      <patternFill patternType="solid">
        <fgColor rgb="FFF3F9F9"/>
        <bgColor rgb="FFEFF6EA"/>
      </patternFill>
    </fill>
    <fill>
      <patternFill patternType="solid">
        <fgColor rgb="FFE0EFD4"/>
        <bgColor rgb="FFE6F3F4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F413D"/>
      </patternFill>
    </fill>
    <fill>
      <patternFill patternType="solid">
        <fgColor rgb="FF72BF44"/>
        <bgColor rgb="FF89C765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5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4" borderId="8" xfId="0" applyFont="1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6" borderId="20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6" borderId="3" xfId="0" applyFont="1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6" borderId="6" xfId="0" applyFont="1" applyFill="1" applyBorder="1" applyAlignment="1">
      <alignment vertical="center" wrapText="1"/>
    </xf>
    <xf numFmtId="0" fontId="0" fillId="0" borderId="22" xfId="0" applyBorder="1"/>
    <xf numFmtId="0" fontId="0" fillId="0" borderId="17" xfId="0" applyBorder="1"/>
    <xf numFmtId="0" fontId="0" fillId="0" borderId="18" xfId="0" applyBorder="1"/>
    <xf numFmtId="0" fontId="1" fillId="12" borderId="23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4" fillId="13" borderId="26" xfId="0" applyFont="1" applyFill="1" applyBorder="1" applyAlignment="1">
      <alignment horizontal="center" vertical="center" wrapText="1"/>
    </xf>
    <xf numFmtId="0" fontId="4" fillId="13" borderId="27" xfId="0" applyFont="1" applyFill="1" applyBorder="1" applyAlignment="1">
      <alignment horizontal="center" vertical="center" wrapText="1"/>
    </xf>
    <xf numFmtId="0" fontId="4" fillId="13" borderId="28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 wrapText="1" readingOrder="1"/>
    </xf>
    <xf numFmtId="0" fontId="4" fillId="12" borderId="24" xfId="0" applyFont="1" applyFill="1" applyBorder="1" applyAlignment="1">
      <alignment horizontal="center" vertical="center" wrapText="1" readingOrder="1"/>
    </xf>
    <xf numFmtId="0" fontId="6" fillId="14" borderId="19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1" fillId="15" borderId="20" xfId="0" applyFont="1" applyFill="1" applyBorder="1" applyAlignment="1">
      <alignment horizontal="center" vertical="center" wrapText="1" readingOrder="1"/>
    </xf>
    <xf numFmtId="0" fontId="6" fillId="14" borderId="2" xfId="0" applyFont="1" applyFill="1" applyBorder="1" applyAlignment="1">
      <alignment horizontal="center" vertical="center" wrapText="1" readingOrder="1"/>
    </xf>
    <xf numFmtId="0" fontId="1" fillId="17" borderId="3" xfId="0" applyFont="1" applyFill="1" applyBorder="1" applyAlignment="1">
      <alignment horizontal="center" vertical="center" wrapText="1" readingOrder="1"/>
    </xf>
    <xf numFmtId="0" fontId="7" fillId="17" borderId="3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1" fillId="15" borderId="3" xfId="0" applyFont="1" applyFill="1" applyBorder="1" applyAlignment="1">
      <alignment horizontal="center" vertical="center" wrapText="1" readingOrder="1"/>
    </xf>
    <xf numFmtId="0" fontId="6" fillId="14" borderId="5" xfId="0" applyFont="1" applyFill="1" applyBorder="1" applyAlignment="1">
      <alignment horizontal="center" vertical="center" wrapText="1" readingOrder="1"/>
    </xf>
    <xf numFmtId="0" fontId="1" fillId="17" borderId="6" xfId="0" applyFont="1" applyFill="1" applyBorder="1" applyAlignment="1">
      <alignment horizontal="center" vertical="center" wrapText="1" readingOrder="1"/>
    </xf>
    <xf numFmtId="0" fontId="7" fillId="17" borderId="6" xfId="0" applyFont="1" applyFill="1" applyBorder="1" applyAlignment="1">
      <alignment horizontal="center" vertical="center" wrapText="1" readingOrder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4" fillId="12" borderId="34" xfId="0" applyFont="1" applyFill="1" applyBorder="1" applyAlignment="1">
      <alignment horizontal="center" vertical="center" wrapText="1" readingOrder="1"/>
    </xf>
    <xf numFmtId="0" fontId="6" fillId="14" borderId="34" xfId="0" applyFont="1" applyFill="1" applyBorder="1" applyAlignment="1">
      <alignment horizontal="center" vertical="center" wrapText="1" readingOrder="1"/>
    </xf>
    <xf numFmtId="0" fontId="7" fillId="18" borderId="34" xfId="0" applyFont="1" applyFill="1" applyBorder="1" applyAlignment="1">
      <alignment horizontal="center" vertical="center" wrapText="1" readingOrder="1"/>
    </xf>
    <xf numFmtId="0" fontId="1" fillId="18" borderId="34" xfId="0" applyFont="1" applyFill="1" applyBorder="1" applyAlignment="1">
      <alignment horizontal="center" vertical="center" wrapText="1" readingOrder="1"/>
    </xf>
    <xf numFmtId="0" fontId="0" fillId="18" borderId="34" xfId="0" applyFill="1" applyBorder="1"/>
    <xf numFmtId="0" fontId="0" fillId="0" borderId="35" xfId="0" applyBorder="1" applyAlignment="1">
      <alignment horizontal="center" vertical="center"/>
    </xf>
    <xf numFmtId="0" fontId="0" fillId="0" borderId="0" xfId="0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9" xfId="0" applyFont="1" applyBorder="1" applyAlignment="1"/>
    <xf numFmtId="0" fontId="0" fillId="0" borderId="3" xfId="0" applyFont="1" applyBorder="1" applyAlignment="1"/>
    <xf numFmtId="0" fontId="7" fillId="15" borderId="20" xfId="0" applyFont="1" applyFill="1" applyBorder="1" applyAlignment="1">
      <alignment horizontal="center" vertical="center" wrapText="1" readingOrder="1"/>
    </xf>
    <xf numFmtId="0" fontId="0" fillId="7" borderId="3" xfId="0" applyFont="1" applyFill="1" applyBorder="1" applyAlignment="1">
      <alignment wrapText="1"/>
    </xf>
    <xf numFmtId="0" fontId="0" fillId="7" borderId="6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0" fillId="9" borderId="3" xfId="0" applyFont="1" applyFill="1" applyBorder="1" applyAlignment="1">
      <alignment wrapText="1"/>
    </xf>
    <xf numFmtId="0" fontId="0" fillId="9" borderId="6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23" xfId="0" applyBorder="1" applyAlignment="1">
      <alignment horizontal="center"/>
    </xf>
    <xf numFmtId="0" fontId="0" fillId="6" borderId="24" xfId="0" applyFont="1" applyFill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5" borderId="43" xfId="0" applyFont="1" applyFill="1" applyBorder="1" applyAlignment="1">
      <alignment horizontal="center" vertical="center"/>
    </xf>
    <xf numFmtId="0" fontId="8" fillId="21" borderId="36" xfId="0" applyFont="1" applyFill="1" applyBorder="1" applyAlignment="1">
      <alignment horizontal="center" vertical="center" wrapText="1"/>
    </xf>
    <xf numFmtId="0" fontId="8" fillId="19" borderId="36" xfId="0" applyFont="1" applyFill="1" applyBorder="1" applyAlignment="1">
      <alignment horizontal="center" vertical="center" wrapText="1"/>
    </xf>
    <xf numFmtId="0" fontId="8" fillId="20" borderId="36" xfId="0" applyFont="1" applyFill="1" applyBorder="1" applyAlignment="1">
      <alignment horizontal="center" vertical="center" wrapText="1"/>
    </xf>
    <xf numFmtId="14" fontId="7" fillId="18" borderId="34" xfId="0" applyNumberFormat="1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 wrapText="1"/>
    </xf>
    <xf numFmtId="0" fontId="7" fillId="18" borderId="34" xfId="0" applyFont="1" applyFill="1" applyBorder="1" applyAlignment="1">
      <alignment horizontal="center" vertical="center" wrapText="1" readingOrder="1"/>
    </xf>
    <xf numFmtId="0" fontId="0" fillId="10" borderId="24" xfId="0" applyFill="1" applyBorder="1" applyAlignment="1">
      <alignment horizontal="center" wrapText="1"/>
    </xf>
    <xf numFmtId="0" fontId="1" fillId="11" borderId="24" xfId="0" applyFont="1" applyFill="1" applyBorder="1" applyAlignment="1">
      <alignment horizontal="center" wrapText="1"/>
    </xf>
    <xf numFmtId="0" fontId="0" fillId="10" borderId="20" xfId="0" applyFill="1" applyBorder="1" applyAlignment="1">
      <alignment horizontal="center" wrapText="1"/>
    </xf>
    <xf numFmtId="0" fontId="1" fillId="11" borderId="20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0" fillId="10" borderId="6" xfId="0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0" fillId="0" borderId="25" xfId="0" applyFont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0" fillId="7" borderId="24" xfId="0" applyFont="1" applyFill="1" applyBorder="1" applyAlignment="1">
      <alignment horizontal="left" vertical="center" wrapText="1"/>
    </xf>
    <xf numFmtId="0" fontId="1" fillId="8" borderId="24" xfId="0" applyFont="1" applyFill="1" applyBorder="1" applyAlignment="1">
      <alignment horizontal="left" vertical="center" wrapText="1"/>
    </xf>
    <xf numFmtId="0" fontId="0" fillId="9" borderId="24" xfId="0" applyFont="1" applyFill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7" borderId="20" xfId="0" applyFont="1" applyFill="1" applyBorder="1" applyAlignment="1">
      <alignment horizontal="left" vertical="center" wrapText="1"/>
    </xf>
    <xf numFmtId="0" fontId="1" fillId="8" borderId="20" xfId="0" applyFont="1" applyFill="1" applyBorder="1" applyAlignment="1">
      <alignment horizontal="left" vertical="center" wrapText="1"/>
    </xf>
    <xf numFmtId="0" fontId="0" fillId="9" borderId="20" xfId="0" applyFont="1" applyFill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7" borderId="3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0" fillId="9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0" fontId="7" fillId="18" borderId="34" xfId="0" applyFont="1" applyFill="1" applyBorder="1" applyAlignment="1">
      <alignment horizontal="center" vertical="center" wrapText="1" readingOrder="1"/>
    </xf>
    <xf numFmtId="0" fontId="0" fillId="18" borderId="3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1" fillId="12" borderId="24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30" xfId="0" applyFont="1" applyBorder="1" applyAlignment="1">
      <alignment horizontal="center"/>
    </xf>
    <xf numFmtId="0" fontId="4" fillId="12" borderId="24" xfId="0" applyFont="1" applyFill="1" applyBorder="1" applyAlignment="1">
      <alignment horizontal="center" vertical="center" wrapText="1" readingOrder="1"/>
    </xf>
    <xf numFmtId="0" fontId="4" fillId="12" borderId="25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7" fillId="15" borderId="21" xfId="0" applyFont="1" applyFill="1" applyBorder="1" applyAlignment="1">
      <alignment horizontal="center" vertical="center" wrapText="1" readingOrder="1"/>
    </xf>
    <xf numFmtId="0" fontId="7" fillId="16" borderId="3" xfId="0" applyFont="1" applyFill="1" applyBorder="1" applyAlignment="1">
      <alignment horizontal="center" vertical="center" wrapText="1" readingOrder="1"/>
    </xf>
    <xf numFmtId="0" fontId="7" fillId="15" borderId="4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7" fillId="15" borderId="6" xfId="0" applyFont="1" applyFill="1" applyBorder="1" applyAlignment="1">
      <alignment horizontal="center" vertical="center" wrapText="1" readingOrder="1"/>
    </xf>
    <xf numFmtId="0" fontId="7" fillId="15" borderId="7" xfId="0" applyFont="1" applyFill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/>
    </xf>
    <xf numFmtId="0" fontId="4" fillId="12" borderId="34" xfId="0" applyFont="1" applyFill="1" applyBorder="1" applyAlignment="1">
      <alignment horizontal="center" vertical="center" wrapText="1" readingOrder="1"/>
    </xf>
    <xf numFmtId="0" fontId="7" fillId="18" borderId="34" xfId="0" applyFont="1" applyFill="1" applyBorder="1" applyAlignment="1">
      <alignment horizontal="center" vertical="center" wrapText="1" readingOrder="1"/>
    </xf>
    <xf numFmtId="0" fontId="0" fillId="0" borderId="0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/>
    </xf>
    <xf numFmtId="0" fontId="1" fillId="1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BCC"/>
      <rgbColor rgb="FFE6F3F4"/>
      <rgbColor rgb="FF660066"/>
      <rgbColor rgb="FFF37B70"/>
      <rgbColor rgb="FF0066CC"/>
      <rgbColor rgb="FFDF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EFF6EA"/>
      <rgbColor rgb="FFE0EFD4"/>
      <rgbColor rgb="FFF3F9F9"/>
      <rgbColor rgb="FFADC5E7"/>
      <rgbColor rgb="FFBCE4E5"/>
      <rgbColor rgb="FFBBE0E3"/>
      <rgbColor rgb="FFC2E0AE"/>
      <rgbColor rgb="FF3366FF"/>
      <rgbColor rgb="FF33CCCC"/>
      <rgbColor rgb="FF72BF44"/>
      <rgbColor rgb="FFADD58A"/>
      <rgbColor rgb="FFFF9900"/>
      <rgbColor rgb="FFEF413D"/>
      <rgbColor rgb="FF666699"/>
      <rgbColor rgb="FF89C76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tabSelected="1" topLeftCell="B19" zoomScaleNormal="100" workbookViewId="0">
      <selection activeCell="K21" sqref="K21"/>
    </sheetView>
  </sheetViews>
  <sheetFormatPr baseColWidth="10" defaultColWidth="9.140625" defaultRowHeight="12.75" x14ac:dyDescent="0.2"/>
  <cols>
    <col min="1" max="1" width="8.5703125" customWidth="1"/>
    <col min="2" max="2" width="4.7109375" customWidth="1"/>
    <col min="3" max="3" width="23.28515625" customWidth="1"/>
    <col min="4" max="4" width="34.7109375" customWidth="1"/>
    <col min="5" max="5" width="29.140625" customWidth="1"/>
    <col min="6" max="6" width="22.42578125" customWidth="1"/>
    <col min="7" max="7" width="23" customWidth="1"/>
    <col min="8" max="8" width="11.140625" customWidth="1"/>
    <col min="9" max="9" width="7.5703125" customWidth="1"/>
    <col min="10" max="10" width="12.85546875" customWidth="1"/>
    <col min="11" max="11" width="29" customWidth="1"/>
    <col min="12" max="1023" width="8.5703125" customWidth="1"/>
  </cols>
  <sheetData>
    <row r="1" spans="2:11" ht="21" thickBot="1" x14ac:dyDescent="0.35">
      <c r="B1" s="136" t="s">
        <v>79</v>
      </c>
      <c r="C1" s="137"/>
      <c r="D1" s="137"/>
      <c r="E1" s="137"/>
      <c r="F1" s="137"/>
      <c r="G1" s="137"/>
      <c r="H1" s="137"/>
      <c r="I1" s="137"/>
      <c r="J1" s="137"/>
      <c r="K1" s="138"/>
    </row>
    <row r="2" spans="2:11" x14ac:dyDescent="0.2">
      <c r="B2" s="26"/>
      <c r="C2" s="27"/>
      <c r="D2" s="27"/>
      <c r="E2" s="27"/>
      <c r="F2" s="27"/>
      <c r="G2" s="27"/>
      <c r="H2" s="27"/>
      <c r="I2" s="27"/>
      <c r="J2" s="27"/>
      <c r="K2" s="28"/>
    </row>
    <row r="3" spans="2:11" ht="13.5" thickBot="1" x14ac:dyDescent="0.25">
      <c r="B3" s="12"/>
      <c r="C3" s="13"/>
      <c r="D3" s="13"/>
      <c r="E3" s="13"/>
      <c r="F3" s="13"/>
      <c r="G3" s="13"/>
      <c r="H3" s="13"/>
      <c r="I3" s="13"/>
      <c r="J3" s="13"/>
      <c r="K3" s="14"/>
    </row>
    <row r="4" spans="2:11" x14ac:dyDescent="0.2">
      <c r="B4" s="143" t="s">
        <v>0</v>
      </c>
      <c r="C4" s="143"/>
      <c r="D4" s="143"/>
      <c r="E4" s="13"/>
      <c r="F4" s="143" t="s">
        <v>1</v>
      </c>
      <c r="G4" s="143"/>
      <c r="H4" s="143"/>
      <c r="I4" s="143"/>
      <c r="J4" s="13"/>
      <c r="K4" s="14"/>
    </row>
    <row r="5" spans="2:11" x14ac:dyDescent="0.2">
      <c r="B5" s="2">
        <v>5</v>
      </c>
      <c r="C5" s="3" t="s">
        <v>2</v>
      </c>
      <c r="D5" s="4" t="s">
        <v>3</v>
      </c>
      <c r="E5" s="13"/>
      <c r="F5" s="2">
        <v>5</v>
      </c>
      <c r="G5" s="3" t="s">
        <v>4</v>
      </c>
      <c r="H5" s="139" t="s">
        <v>5</v>
      </c>
      <c r="I5" s="139"/>
      <c r="J5" s="13"/>
      <c r="K5" s="14"/>
    </row>
    <row r="6" spans="2:11" x14ac:dyDescent="0.2">
      <c r="B6" s="2">
        <v>4</v>
      </c>
      <c r="C6" s="3" t="s">
        <v>6</v>
      </c>
      <c r="D6" s="4" t="s">
        <v>7</v>
      </c>
      <c r="E6" s="13"/>
      <c r="F6" s="2">
        <v>4</v>
      </c>
      <c r="G6" s="3" t="s">
        <v>8</v>
      </c>
      <c r="H6" s="139" t="s">
        <v>9</v>
      </c>
      <c r="I6" s="139"/>
      <c r="J6" s="13"/>
      <c r="K6" s="14"/>
    </row>
    <row r="7" spans="2:11" x14ac:dyDescent="0.2">
      <c r="B7" s="2">
        <v>3</v>
      </c>
      <c r="C7" s="3" t="s">
        <v>10</v>
      </c>
      <c r="D7" s="4" t="s">
        <v>11</v>
      </c>
      <c r="E7" s="13"/>
      <c r="F7" s="2">
        <v>3</v>
      </c>
      <c r="G7" s="3" t="s">
        <v>6</v>
      </c>
      <c r="H7" s="139" t="s">
        <v>12</v>
      </c>
      <c r="I7" s="139"/>
      <c r="J7" s="13"/>
      <c r="K7" s="14"/>
    </row>
    <row r="8" spans="2:11" x14ac:dyDescent="0.2">
      <c r="B8" s="2">
        <v>2</v>
      </c>
      <c r="C8" s="3" t="s">
        <v>13</v>
      </c>
      <c r="D8" s="4" t="s">
        <v>14</v>
      </c>
      <c r="E8" s="13"/>
      <c r="F8" s="2">
        <v>2</v>
      </c>
      <c r="G8" s="3" t="s">
        <v>15</v>
      </c>
      <c r="H8" s="139" t="s">
        <v>16</v>
      </c>
      <c r="I8" s="139"/>
      <c r="J8" s="13"/>
      <c r="K8" s="14"/>
    </row>
    <row r="9" spans="2:11" ht="13.5" thickBot="1" x14ac:dyDescent="0.25">
      <c r="B9" s="5">
        <v>1</v>
      </c>
      <c r="C9" s="6" t="s">
        <v>17</v>
      </c>
      <c r="D9" s="7" t="s">
        <v>18</v>
      </c>
      <c r="E9" s="13"/>
      <c r="F9" s="5">
        <v>1</v>
      </c>
      <c r="G9" s="6" t="s">
        <v>19</v>
      </c>
      <c r="H9" s="140" t="s">
        <v>20</v>
      </c>
      <c r="I9" s="140"/>
      <c r="J9" s="13"/>
      <c r="K9" s="14"/>
    </row>
    <row r="10" spans="2:11" x14ac:dyDescent="0.2">
      <c r="B10" s="12"/>
      <c r="C10" s="13"/>
      <c r="D10" s="13"/>
      <c r="E10" s="13"/>
      <c r="F10" s="13"/>
      <c r="G10" s="13"/>
      <c r="H10" s="13"/>
      <c r="I10" s="13"/>
      <c r="J10" s="13"/>
      <c r="K10" s="14"/>
    </row>
    <row r="11" spans="2:11" x14ac:dyDescent="0.2">
      <c r="B11" s="12"/>
      <c r="C11" s="13"/>
      <c r="D11" s="13"/>
      <c r="E11" s="13"/>
      <c r="F11" s="13"/>
      <c r="G11" s="13"/>
      <c r="H11" s="13"/>
      <c r="I11" s="13"/>
      <c r="J11" s="13"/>
      <c r="K11" s="14"/>
    </row>
    <row r="12" spans="2:11" ht="13.5" thickBot="1" x14ac:dyDescent="0.25">
      <c r="B12" s="12"/>
      <c r="C12" s="13"/>
      <c r="D12" s="13"/>
      <c r="E12" s="13"/>
      <c r="F12" s="13"/>
      <c r="G12" s="13"/>
      <c r="H12" s="13"/>
      <c r="I12" s="13"/>
      <c r="J12" s="13"/>
      <c r="K12" s="14"/>
    </row>
    <row r="13" spans="2:11" x14ac:dyDescent="0.2">
      <c r="B13" s="141" t="s">
        <v>21</v>
      </c>
      <c r="C13" s="141"/>
      <c r="D13" s="141"/>
      <c r="E13" s="141"/>
      <c r="F13" s="141"/>
      <c r="G13" s="141"/>
      <c r="H13" s="142" t="s">
        <v>22</v>
      </c>
      <c r="I13" s="142"/>
      <c r="J13" s="8" t="s">
        <v>23</v>
      </c>
      <c r="K13" s="1" t="s">
        <v>83</v>
      </c>
    </row>
    <row r="14" spans="2:11" x14ac:dyDescent="0.2">
      <c r="B14" s="135"/>
      <c r="C14" s="135"/>
      <c r="D14" s="135"/>
      <c r="E14" s="135"/>
      <c r="F14" s="135"/>
      <c r="G14" s="135"/>
      <c r="H14" s="9"/>
      <c r="I14" s="10"/>
      <c r="J14" s="11"/>
      <c r="K14" s="14"/>
    </row>
    <row r="15" spans="2:11" ht="26.25" thickBot="1" x14ac:dyDescent="0.25">
      <c r="B15" s="15" t="s">
        <v>24</v>
      </c>
      <c r="C15" s="16" t="s">
        <v>25</v>
      </c>
      <c r="D15" s="16" t="s">
        <v>26</v>
      </c>
      <c r="E15" s="17" t="s">
        <v>27</v>
      </c>
      <c r="F15" s="17" t="s">
        <v>28</v>
      </c>
      <c r="G15" s="17" t="s">
        <v>29</v>
      </c>
      <c r="H15" s="18" t="s">
        <v>0</v>
      </c>
      <c r="I15" s="18" t="s">
        <v>1</v>
      </c>
      <c r="J15" s="19" t="s">
        <v>30</v>
      </c>
      <c r="K15" s="101" t="s">
        <v>31</v>
      </c>
    </row>
    <row r="16" spans="2:11" ht="75" customHeight="1" thickBot="1" x14ac:dyDescent="0.25">
      <c r="B16" s="97">
        <v>1</v>
      </c>
      <c r="C16" s="98" t="s">
        <v>120</v>
      </c>
      <c r="D16" s="120" t="s">
        <v>102</v>
      </c>
      <c r="E16" s="121" t="s">
        <v>104</v>
      </c>
      <c r="F16" s="122" t="s">
        <v>105</v>
      </c>
      <c r="G16" s="123" t="s">
        <v>106</v>
      </c>
      <c r="H16" s="108">
        <v>3</v>
      </c>
      <c r="I16" s="108">
        <v>5</v>
      </c>
      <c r="J16" s="109">
        <f t="shared" ref="J16:J30" si="0">H16*I16</f>
        <v>15</v>
      </c>
      <c r="K16" s="116" t="s">
        <v>107</v>
      </c>
    </row>
    <row r="17" spans="2:11" ht="63" customHeight="1" x14ac:dyDescent="0.2">
      <c r="B17" s="20">
        <v>2</v>
      </c>
      <c r="C17" s="21" t="s">
        <v>80</v>
      </c>
      <c r="D17" s="124" t="s">
        <v>101</v>
      </c>
      <c r="E17" s="125" t="s">
        <v>103</v>
      </c>
      <c r="F17" s="126" t="s">
        <v>108</v>
      </c>
      <c r="G17" s="127" t="s">
        <v>109</v>
      </c>
      <c r="H17" s="110">
        <v>3</v>
      </c>
      <c r="I17" s="110">
        <v>4</v>
      </c>
      <c r="J17" s="111">
        <f t="shared" si="0"/>
        <v>12</v>
      </c>
      <c r="K17" s="117" t="s">
        <v>110</v>
      </c>
    </row>
    <row r="18" spans="2:11" ht="57" customHeight="1" x14ac:dyDescent="0.2">
      <c r="B18" s="22">
        <v>3</v>
      </c>
      <c r="C18" s="23" t="s">
        <v>80</v>
      </c>
      <c r="D18" s="128" t="s">
        <v>87</v>
      </c>
      <c r="E18" s="129" t="s">
        <v>86</v>
      </c>
      <c r="F18" s="130" t="s">
        <v>85</v>
      </c>
      <c r="G18" s="131" t="s">
        <v>93</v>
      </c>
      <c r="H18" s="112">
        <v>3</v>
      </c>
      <c r="I18" s="112">
        <v>4</v>
      </c>
      <c r="J18" s="113">
        <f t="shared" si="0"/>
        <v>12</v>
      </c>
      <c r="K18" s="118" t="s">
        <v>119</v>
      </c>
    </row>
    <row r="19" spans="2:11" ht="70.900000000000006" customHeight="1" x14ac:dyDescent="0.2">
      <c r="B19" s="22">
        <v>4</v>
      </c>
      <c r="C19" s="23" t="s">
        <v>88</v>
      </c>
      <c r="D19" s="128" t="s">
        <v>99</v>
      </c>
      <c r="E19" s="129" t="s">
        <v>111</v>
      </c>
      <c r="F19" s="130" t="s">
        <v>113</v>
      </c>
      <c r="G19" s="131" t="s">
        <v>112</v>
      </c>
      <c r="H19" s="112">
        <v>2</v>
      </c>
      <c r="I19" s="112">
        <v>3</v>
      </c>
      <c r="J19" s="113">
        <f t="shared" si="0"/>
        <v>6</v>
      </c>
      <c r="K19" s="119" t="s">
        <v>130</v>
      </c>
    </row>
    <row r="20" spans="2:11" ht="66" customHeight="1" x14ac:dyDescent="0.2">
      <c r="B20" s="22">
        <v>5</v>
      </c>
      <c r="C20" s="23" t="s">
        <v>92</v>
      </c>
      <c r="D20" s="128" t="s">
        <v>114</v>
      </c>
      <c r="E20" s="129" t="s">
        <v>115</v>
      </c>
      <c r="F20" s="130" t="s">
        <v>117</v>
      </c>
      <c r="G20" s="131" t="s">
        <v>116</v>
      </c>
      <c r="H20" s="112">
        <v>3</v>
      </c>
      <c r="I20" s="112">
        <v>4</v>
      </c>
      <c r="J20" s="113">
        <f t="shared" si="0"/>
        <v>12</v>
      </c>
      <c r="K20" s="119" t="s">
        <v>118</v>
      </c>
    </row>
    <row r="21" spans="2:11" ht="164.25" customHeight="1" x14ac:dyDescent="0.2">
      <c r="B21" s="22">
        <v>6</v>
      </c>
      <c r="C21" s="23" t="s">
        <v>94</v>
      </c>
      <c r="D21" s="128" t="s">
        <v>131</v>
      </c>
      <c r="E21" s="129" t="s">
        <v>96</v>
      </c>
      <c r="F21" s="130" t="s">
        <v>100</v>
      </c>
      <c r="G21" s="131" t="s">
        <v>95</v>
      </c>
      <c r="H21" s="112">
        <v>3</v>
      </c>
      <c r="I21" s="112">
        <v>5</v>
      </c>
      <c r="J21" s="113">
        <f t="shared" si="0"/>
        <v>15</v>
      </c>
      <c r="K21" s="118" t="s">
        <v>132</v>
      </c>
    </row>
    <row r="22" spans="2:11" ht="20.100000000000001" customHeight="1" x14ac:dyDescent="0.2">
      <c r="B22" s="22">
        <v>7</v>
      </c>
      <c r="C22" s="23"/>
      <c r="D22" s="89"/>
      <c r="E22" s="91"/>
      <c r="F22" s="93"/>
      <c r="G22" s="95"/>
      <c r="H22" s="112">
        <v>0</v>
      </c>
      <c r="I22" s="112">
        <v>0</v>
      </c>
      <c r="J22" s="113">
        <f t="shared" si="0"/>
        <v>0</v>
      </c>
      <c r="K22" s="99"/>
    </row>
    <row r="23" spans="2:11" ht="20.100000000000001" customHeight="1" x14ac:dyDescent="0.2">
      <c r="B23" s="22">
        <v>8</v>
      </c>
      <c r="C23" s="23"/>
      <c r="D23" s="89"/>
      <c r="E23" s="91"/>
      <c r="F23" s="93"/>
      <c r="G23" s="95"/>
      <c r="H23" s="112">
        <v>0</v>
      </c>
      <c r="I23" s="112">
        <v>0</v>
      </c>
      <c r="J23" s="113">
        <f t="shared" si="0"/>
        <v>0</v>
      </c>
      <c r="K23" s="99"/>
    </row>
    <row r="24" spans="2:11" ht="20.100000000000001" customHeight="1" x14ac:dyDescent="0.2">
      <c r="B24" s="22">
        <v>9</v>
      </c>
      <c r="C24" s="23"/>
      <c r="D24" s="89"/>
      <c r="E24" s="91"/>
      <c r="F24" s="93"/>
      <c r="G24" s="95"/>
      <c r="H24" s="112">
        <v>0</v>
      </c>
      <c r="I24" s="112">
        <v>0</v>
      </c>
      <c r="J24" s="113">
        <f t="shared" si="0"/>
        <v>0</v>
      </c>
      <c r="K24" s="99"/>
    </row>
    <row r="25" spans="2:11" ht="20.100000000000001" customHeight="1" x14ac:dyDescent="0.2">
      <c r="B25" s="22">
        <v>10</v>
      </c>
      <c r="C25" s="23"/>
      <c r="D25" s="89"/>
      <c r="E25" s="91"/>
      <c r="F25" s="93"/>
      <c r="G25" s="95"/>
      <c r="H25" s="112">
        <v>0</v>
      </c>
      <c r="I25" s="112">
        <v>0</v>
      </c>
      <c r="J25" s="113">
        <f t="shared" si="0"/>
        <v>0</v>
      </c>
      <c r="K25" s="99"/>
    </row>
    <row r="26" spans="2:11" ht="20.100000000000001" customHeight="1" x14ac:dyDescent="0.2">
      <c r="B26" s="22">
        <v>11</v>
      </c>
      <c r="C26" s="23"/>
      <c r="D26" s="89"/>
      <c r="E26" s="91"/>
      <c r="F26" s="93"/>
      <c r="G26" s="95"/>
      <c r="H26" s="112">
        <v>0</v>
      </c>
      <c r="I26" s="112">
        <v>0</v>
      </c>
      <c r="J26" s="113">
        <f t="shared" si="0"/>
        <v>0</v>
      </c>
      <c r="K26" s="99"/>
    </row>
    <row r="27" spans="2:11" ht="20.100000000000001" customHeight="1" x14ac:dyDescent="0.2">
      <c r="B27" s="22">
        <v>12</v>
      </c>
      <c r="C27" s="23"/>
      <c r="D27" s="89"/>
      <c r="E27" s="91"/>
      <c r="F27" s="93"/>
      <c r="G27" s="95"/>
      <c r="H27" s="112">
        <v>0</v>
      </c>
      <c r="I27" s="112">
        <v>0</v>
      </c>
      <c r="J27" s="113">
        <f t="shared" si="0"/>
        <v>0</v>
      </c>
      <c r="K27" s="99"/>
    </row>
    <row r="28" spans="2:11" ht="20.100000000000001" customHeight="1" x14ac:dyDescent="0.2">
      <c r="B28" s="22">
        <v>13</v>
      </c>
      <c r="C28" s="23"/>
      <c r="D28" s="89"/>
      <c r="E28" s="91"/>
      <c r="F28" s="93"/>
      <c r="G28" s="95"/>
      <c r="H28" s="112">
        <v>0</v>
      </c>
      <c r="I28" s="112">
        <v>0</v>
      </c>
      <c r="J28" s="113">
        <f t="shared" si="0"/>
        <v>0</v>
      </c>
      <c r="K28" s="99"/>
    </row>
    <row r="29" spans="2:11" ht="20.100000000000001" customHeight="1" x14ac:dyDescent="0.2">
      <c r="B29" s="22">
        <v>14</v>
      </c>
      <c r="C29" s="23"/>
      <c r="D29" s="89"/>
      <c r="E29" s="91"/>
      <c r="F29" s="93"/>
      <c r="G29" s="95"/>
      <c r="H29" s="112">
        <v>0</v>
      </c>
      <c r="I29" s="112">
        <v>0</v>
      </c>
      <c r="J29" s="113">
        <f t="shared" si="0"/>
        <v>0</v>
      </c>
      <c r="K29" s="99"/>
    </row>
    <row r="30" spans="2:11" ht="20.100000000000001" customHeight="1" thickBot="1" x14ac:dyDescent="0.25">
      <c r="B30" s="24">
        <v>15</v>
      </c>
      <c r="C30" s="25"/>
      <c r="D30" s="90"/>
      <c r="E30" s="92"/>
      <c r="F30" s="94"/>
      <c r="G30" s="96"/>
      <c r="H30" s="114">
        <v>0</v>
      </c>
      <c r="I30" s="114">
        <v>0</v>
      </c>
      <c r="J30" s="115">
        <f t="shared" si="0"/>
        <v>0</v>
      </c>
      <c r="K30" s="100"/>
    </row>
    <row r="31" spans="2:11" x14ac:dyDescent="0.2">
      <c r="B31" s="12"/>
      <c r="C31" s="13"/>
      <c r="D31" s="13"/>
      <c r="E31" s="13"/>
      <c r="F31" s="13"/>
      <c r="G31" s="13"/>
      <c r="H31" s="13"/>
      <c r="I31" s="13"/>
      <c r="J31" s="13"/>
      <c r="K31" s="14"/>
    </row>
    <row r="32" spans="2:11" x14ac:dyDescent="0.2">
      <c r="B32" s="12"/>
      <c r="C32" s="13"/>
      <c r="D32" s="13"/>
      <c r="E32" s="13"/>
      <c r="F32" s="13"/>
      <c r="G32" s="13"/>
      <c r="H32" s="13"/>
      <c r="I32" s="13"/>
      <c r="J32" s="13"/>
      <c r="K32" s="14"/>
    </row>
    <row r="33" spans="2:11" x14ac:dyDescent="0.2">
      <c r="B33" s="12"/>
      <c r="C33" s="13"/>
      <c r="D33" s="13"/>
      <c r="E33" s="13"/>
      <c r="F33" s="13"/>
      <c r="G33" s="13"/>
      <c r="H33" s="13"/>
      <c r="I33" s="13"/>
      <c r="J33" s="13"/>
      <c r="K33" s="14"/>
    </row>
    <row r="34" spans="2:11" ht="13.5" thickBot="1" x14ac:dyDescent="0.25">
      <c r="B34" s="74"/>
      <c r="C34" s="75"/>
      <c r="D34" s="75"/>
      <c r="E34" s="75"/>
      <c r="F34" s="75"/>
      <c r="G34" s="75"/>
      <c r="H34" s="75"/>
      <c r="I34" s="75"/>
      <c r="J34" s="75"/>
      <c r="K34" s="76"/>
    </row>
  </sheetData>
  <mergeCells count="11">
    <mergeCell ref="B14:G14"/>
    <mergeCell ref="B1:K1"/>
    <mergeCell ref="H8:I8"/>
    <mergeCell ref="H9:I9"/>
    <mergeCell ref="B13:G13"/>
    <mergeCell ref="H13:I13"/>
    <mergeCell ref="B4:D4"/>
    <mergeCell ref="F4:I4"/>
    <mergeCell ref="H5:I5"/>
    <mergeCell ref="H6:I6"/>
    <mergeCell ref="H7:I7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"/>
  <sheetViews>
    <sheetView topLeftCell="A37" zoomScale="90" zoomScaleNormal="90" workbookViewId="0">
      <selection activeCell="O35" sqref="O35"/>
    </sheetView>
  </sheetViews>
  <sheetFormatPr baseColWidth="10" defaultColWidth="9.140625" defaultRowHeight="12.75" x14ac:dyDescent="0.2"/>
  <cols>
    <col min="1" max="1" width="9.140625" customWidth="1"/>
    <col min="3" max="3" width="12.140625" customWidth="1"/>
    <col min="4" max="4" width="14.140625" customWidth="1"/>
    <col min="5" max="5" width="12.28515625" customWidth="1"/>
    <col min="6" max="8" width="14.7109375" customWidth="1"/>
    <col min="9" max="9" width="13.28515625" customWidth="1"/>
    <col min="10" max="10" width="13.42578125" customWidth="1"/>
    <col min="11" max="11" width="11.85546875" customWidth="1"/>
    <col min="12" max="12" width="12.7109375" customWidth="1"/>
  </cols>
  <sheetData>
    <row r="2" spans="2:17" x14ac:dyDescent="0.2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</row>
    <row r="3" spans="2:17" ht="18" x14ac:dyDescent="0.25">
      <c r="B3" s="12"/>
      <c r="C3" s="144" t="s">
        <v>32</v>
      </c>
      <c r="D3" s="144"/>
      <c r="E3" s="144"/>
      <c r="F3" s="144"/>
      <c r="G3" s="144"/>
      <c r="H3" s="144"/>
      <c r="I3" s="144"/>
      <c r="J3" s="144"/>
      <c r="K3" s="144"/>
      <c r="L3" s="144"/>
      <c r="M3" s="14"/>
    </row>
    <row r="4" spans="2:17" x14ac:dyDescent="0.2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2:17" ht="26.25" customHeight="1" x14ac:dyDescent="0.2">
      <c r="B5" s="12"/>
      <c r="C5" s="29" t="s">
        <v>0</v>
      </c>
      <c r="D5" s="30" t="s">
        <v>33</v>
      </c>
      <c r="E5" s="30" t="s">
        <v>1</v>
      </c>
      <c r="F5" s="31" t="s">
        <v>33</v>
      </c>
      <c r="G5" s="32"/>
      <c r="H5" s="33"/>
      <c r="I5" s="29" t="s">
        <v>34</v>
      </c>
      <c r="J5" s="145" t="s">
        <v>35</v>
      </c>
      <c r="K5" s="145"/>
      <c r="L5" s="34" t="s">
        <v>36</v>
      </c>
      <c r="M5" s="14"/>
    </row>
    <row r="6" spans="2:17" ht="25.5" x14ac:dyDescent="0.2">
      <c r="B6" s="12"/>
      <c r="C6" s="35" t="s">
        <v>37</v>
      </c>
      <c r="D6" s="36">
        <v>1</v>
      </c>
      <c r="E6" s="36" t="s">
        <v>38</v>
      </c>
      <c r="F6" s="37">
        <v>1</v>
      </c>
      <c r="G6" s="38"/>
      <c r="H6" s="13"/>
      <c r="I6" s="39" t="s">
        <v>39</v>
      </c>
      <c r="J6" s="146" t="s">
        <v>40</v>
      </c>
      <c r="K6" s="146"/>
      <c r="L6" s="37">
        <f>16/25*100</f>
        <v>64</v>
      </c>
      <c r="M6" s="14"/>
    </row>
    <row r="7" spans="2:17" ht="25.5" customHeight="1" x14ac:dyDescent="0.2">
      <c r="B7" s="12"/>
      <c r="C7" s="40" t="s">
        <v>41</v>
      </c>
      <c r="D7" s="41">
        <v>2</v>
      </c>
      <c r="E7" s="41" t="s">
        <v>42</v>
      </c>
      <c r="F7" s="42">
        <v>2</v>
      </c>
      <c r="G7" s="38"/>
      <c r="H7" s="13"/>
      <c r="I7" s="43" t="s">
        <v>43</v>
      </c>
      <c r="J7" s="147" t="s">
        <v>44</v>
      </c>
      <c r="K7" s="147"/>
      <c r="L7" s="42">
        <f>15/25*100</f>
        <v>60</v>
      </c>
      <c r="M7" s="14"/>
    </row>
    <row r="8" spans="2:17" ht="25.5" customHeight="1" x14ac:dyDescent="0.2">
      <c r="B8" s="12"/>
      <c r="C8" s="40" t="s">
        <v>45</v>
      </c>
      <c r="D8" s="41">
        <v>3</v>
      </c>
      <c r="E8" s="41" t="s">
        <v>6</v>
      </c>
      <c r="F8" s="42">
        <v>3</v>
      </c>
      <c r="G8" s="38"/>
      <c r="H8" s="13"/>
      <c r="I8" s="43" t="s">
        <v>6</v>
      </c>
      <c r="J8" s="147" t="s">
        <v>46</v>
      </c>
      <c r="K8" s="147"/>
      <c r="L8" s="42">
        <f>12/25*100</f>
        <v>48</v>
      </c>
      <c r="M8" s="14"/>
    </row>
    <row r="9" spans="2:17" ht="25.5" customHeight="1" x14ac:dyDescent="0.2">
      <c r="B9" s="12"/>
      <c r="C9" s="40" t="s">
        <v>47</v>
      </c>
      <c r="D9" s="41">
        <v>4</v>
      </c>
      <c r="E9" s="41" t="s">
        <v>43</v>
      </c>
      <c r="F9" s="42">
        <v>4</v>
      </c>
      <c r="G9" s="38"/>
      <c r="H9" s="13"/>
      <c r="I9" s="43" t="s">
        <v>42</v>
      </c>
      <c r="J9" s="147" t="s">
        <v>48</v>
      </c>
      <c r="K9" s="147"/>
      <c r="L9" s="42">
        <f>8/25*100</f>
        <v>32</v>
      </c>
      <c r="M9" s="14"/>
    </row>
    <row r="10" spans="2:17" ht="25.5" customHeight="1" x14ac:dyDescent="0.2">
      <c r="B10" s="12"/>
      <c r="C10" s="45" t="s">
        <v>49</v>
      </c>
      <c r="D10" s="46">
        <v>5</v>
      </c>
      <c r="E10" s="46" t="s">
        <v>39</v>
      </c>
      <c r="F10" s="47">
        <v>5</v>
      </c>
      <c r="G10" s="38"/>
      <c r="H10" s="13"/>
      <c r="I10" s="48" t="s">
        <v>38</v>
      </c>
      <c r="J10" s="148" t="s">
        <v>50</v>
      </c>
      <c r="K10" s="148"/>
      <c r="L10" s="47">
        <f>5/25*100</f>
        <v>20</v>
      </c>
      <c r="M10" s="14"/>
      <c r="Q10">
        <f>O10*P10</f>
        <v>0</v>
      </c>
    </row>
    <row r="11" spans="2:17" x14ac:dyDescent="0.2">
      <c r="B11" s="12"/>
      <c r="C11" s="49"/>
      <c r="D11" s="13"/>
      <c r="E11" s="13"/>
      <c r="F11" s="13"/>
      <c r="G11" s="13"/>
      <c r="H11" s="13"/>
      <c r="I11" s="13"/>
      <c r="J11" s="13"/>
      <c r="K11" s="13"/>
      <c r="L11" s="13"/>
      <c r="M11" s="14"/>
    </row>
    <row r="12" spans="2:17" x14ac:dyDescent="0.2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4"/>
    </row>
    <row r="13" spans="2:17" ht="24.75" customHeight="1" thickBot="1" x14ac:dyDescent="0.25">
      <c r="B13" s="12" t="s">
        <v>51</v>
      </c>
      <c r="C13" s="50" t="s">
        <v>52</v>
      </c>
      <c r="D13" s="149" t="s">
        <v>53</v>
      </c>
      <c r="E13" s="149"/>
      <c r="F13" s="51" t="s">
        <v>54</v>
      </c>
      <c r="G13" s="51" t="s">
        <v>55</v>
      </c>
      <c r="H13" s="51" t="s">
        <v>56</v>
      </c>
      <c r="I13" s="51" t="s">
        <v>57</v>
      </c>
      <c r="J13" s="51" t="s">
        <v>58</v>
      </c>
      <c r="K13" s="51" t="s">
        <v>59</v>
      </c>
      <c r="L13" s="52" t="s">
        <v>60</v>
      </c>
      <c r="M13" s="14"/>
    </row>
    <row r="14" spans="2:17" ht="88.9" customHeight="1" x14ac:dyDescent="0.2">
      <c r="B14" s="12"/>
      <c r="C14" s="53" t="str">
        <f>CONCATENATE($B$13,Matriz!B16)</f>
        <v>R1</v>
      </c>
      <c r="D14" s="150" t="str">
        <f>Matriz!E16</f>
        <v>no trabajar eficientemente</v>
      </c>
      <c r="E14" s="150"/>
      <c r="F14" s="54" t="str">
        <f>Matriz!F16</f>
        <v xml:space="preserve">Mala comunicación, descuerdos en el equipo y trabajo disperso. </v>
      </c>
      <c r="G14" s="132" t="s">
        <v>121</v>
      </c>
      <c r="H14" s="54">
        <f>Matriz!H16</f>
        <v>3</v>
      </c>
      <c r="I14" s="54">
        <f>Matriz!I16</f>
        <v>5</v>
      </c>
      <c r="J14" s="55">
        <f t="shared" ref="J14:J28" si="0">H14*I14</f>
        <v>15</v>
      </c>
      <c r="K14" s="55" t="str">
        <f t="shared" ref="K14:K28" si="1">IF(J14&lt;5,"MUY BAJO",IF( AND(J14&gt;=5,J14&lt;8),"BAJO",IF(AND(J14&gt;=8,J14&lt;=12),"MODERADO",IF(AND(J14&gt;=12,J14&lt;=15),"ALTO","MUY ALTO"))))</f>
        <v>ALTO</v>
      </c>
      <c r="L14" s="56">
        <f t="shared" ref="L14:L28" si="2">J14/25*100</f>
        <v>60</v>
      </c>
      <c r="M14" s="14"/>
    </row>
    <row r="15" spans="2:17" ht="79.150000000000006" customHeight="1" x14ac:dyDescent="0.2">
      <c r="B15" s="12"/>
      <c r="C15" s="44" t="str">
        <f>CONCATENATE($B$13,Matriz!B17)</f>
        <v>R2</v>
      </c>
      <c r="D15" s="151" t="str">
        <f>Matriz!E17</f>
        <v>Tiempos incongruentes y fechas mal planeadas ,Organización ineficiente</v>
      </c>
      <c r="E15" s="151"/>
      <c r="F15" s="57" t="str">
        <f>Matriz!F17</f>
        <v xml:space="preserve"> Retrazo en entregables del proyecto e información dispersa</v>
      </c>
      <c r="G15" s="106" t="s">
        <v>84</v>
      </c>
      <c r="H15" s="57">
        <f>Matriz!H17</f>
        <v>3</v>
      </c>
      <c r="I15" s="57">
        <f>Matriz!I17</f>
        <v>4</v>
      </c>
      <c r="J15" s="59">
        <f t="shared" si="0"/>
        <v>12</v>
      </c>
      <c r="K15" s="59" t="str">
        <f t="shared" si="1"/>
        <v>MODERADO</v>
      </c>
      <c r="L15" s="60">
        <f t="shared" si="2"/>
        <v>48</v>
      </c>
      <c r="M15" s="14"/>
    </row>
    <row r="16" spans="2:17" ht="60" customHeight="1" x14ac:dyDescent="0.2">
      <c r="B16" s="12"/>
      <c r="C16" s="44" t="str">
        <f>CONCATENATE($B$13,Matriz!B18)</f>
        <v>R3</v>
      </c>
      <c r="D16" s="151" t="str">
        <f>Matriz!E18</f>
        <v>Cambios regulares y nuevos añadidos a los requerimientos</v>
      </c>
      <c r="E16" s="151"/>
      <c r="F16" s="106" t="str">
        <f>Matriz!F18</f>
        <v>Requerimientos ambiguos o incompletos</v>
      </c>
      <c r="G16" s="106" t="s">
        <v>97</v>
      </c>
      <c r="H16" s="57">
        <f>Matriz!H18</f>
        <v>3</v>
      </c>
      <c r="I16" s="57">
        <f>Matriz!I18</f>
        <v>4</v>
      </c>
      <c r="J16" s="59">
        <f t="shared" si="0"/>
        <v>12</v>
      </c>
      <c r="K16" s="59" t="str">
        <f t="shared" si="1"/>
        <v>MODERADO</v>
      </c>
      <c r="L16" s="60">
        <f t="shared" si="2"/>
        <v>48</v>
      </c>
      <c r="M16" s="14"/>
    </row>
    <row r="17" spans="2:13" ht="86.45" customHeight="1" x14ac:dyDescent="0.2">
      <c r="B17" s="12"/>
      <c r="C17" s="44" t="str">
        <f>CONCATENATE($B$13,Matriz!B19)</f>
        <v>R4</v>
      </c>
      <c r="D17" s="151" t="str">
        <f>Matriz!E19</f>
        <v>interpretación erronea de las ventanas e interfaces</v>
      </c>
      <c r="E17" s="151"/>
      <c r="F17" s="106" t="str">
        <f>Matriz!F19</f>
        <v>Diseño de interfaces equivocadas o mal diseñadas</v>
      </c>
      <c r="G17" s="106" t="s">
        <v>91</v>
      </c>
      <c r="H17" s="57">
        <f>Matriz!H19</f>
        <v>2</v>
      </c>
      <c r="I17" s="57">
        <f>Matriz!I19</f>
        <v>3</v>
      </c>
      <c r="J17" s="59">
        <f t="shared" si="0"/>
        <v>6</v>
      </c>
      <c r="K17" s="59" t="str">
        <f t="shared" si="1"/>
        <v>BAJO</v>
      </c>
      <c r="L17" s="60">
        <f t="shared" si="2"/>
        <v>24</v>
      </c>
      <c r="M17" s="14"/>
    </row>
    <row r="18" spans="2:13" ht="95.45" customHeight="1" x14ac:dyDescent="0.2">
      <c r="B18" s="12"/>
      <c r="C18" s="44" t="str">
        <f>CONCATENATE($B$13,Matriz!B20)</f>
        <v>R5</v>
      </c>
      <c r="D18" s="151" t="str">
        <f>Matriz!E20</f>
        <v>Estructuración erronea de los datos, tablas mal relacionadas</v>
      </c>
      <c r="E18" s="151"/>
      <c r="F18" s="57" t="str">
        <f>Matriz!F20</f>
        <v>Retrazo en codificación del producto</v>
      </c>
      <c r="G18" s="58" t="s">
        <v>98</v>
      </c>
      <c r="H18" s="57">
        <f>Matriz!H20</f>
        <v>3</v>
      </c>
      <c r="I18" s="57">
        <f>Matriz!I20</f>
        <v>4</v>
      </c>
      <c r="J18" s="59">
        <f t="shared" si="0"/>
        <v>12</v>
      </c>
      <c r="K18" s="59" t="str">
        <f t="shared" si="1"/>
        <v>MODERADO</v>
      </c>
      <c r="L18" s="60">
        <f t="shared" si="2"/>
        <v>48</v>
      </c>
      <c r="M18" s="14"/>
    </row>
    <row r="19" spans="2:13" ht="81" customHeight="1" x14ac:dyDescent="0.2">
      <c r="B19" s="12"/>
      <c r="C19" s="44" t="str">
        <f>CONCATENATE($B$13,Matriz!B21)</f>
        <v>R6</v>
      </c>
      <c r="D19" s="151" t="str">
        <f>Matriz!E21</f>
        <v>Pruebas ineficientes</v>
      </c>
      <c r="E19" s="151"/>
      <c r="F19" s="57" t="str">
        <f>Matriz!F21</f>
        <v>Mala ejecución del producto, presenta errores</v>
      </c>
      <c r="G19" s="58" t="s">
        <v>94</v>
      </c>
      <c r="H19" s="57">
        <f>Matriz!H21</f>
        <v>3</v>
      </c>
      <c r="I19" s="57">
        <f>Matriz!I21</f>
        <v>5</v>
      </c>
      <c r="J19" s="59">
        <f t="shared" si="0"/>
        <v>15</v>
      </c>
      <c r="K19" s="59" t="str">
        <f t="shared" si="1"/>
        <v>ALTO</v>
      </c>
      <c r="L19" s="60">
        <f t="shared" si="2"/>
        <v>60</v>
      </c>
      <c r="M19" s="14"/>
    </row>
    <row r="20" spans="2:13" ht="24.95" customHeight="1" x14ac:dyDescent="0.2">
      <c r="B20" s="12"/>
      <c r="C20" s="53" t="str">
        <f>CONCATENATE($B$13,Matriz!B22)</f>
        <v>R7</v>
      </c>
      <c r="D20" s="151">
        <f>Matriz!E22</f>
        <v>0</v>
      </c>
      <c r="E20" s="151"/>
      <c r="F20" s="57">
        <f>Matriz!F22</f>
        <v>0</v>
      </c>
      <c r="G20" s="58"/>
      <c r="H20" s="57">
        <f>Matriz!H22</f>
        <v>0</v>
      </c>
      <c r="I20" s="57">
        <f>Matriz!I22</f>
        <v>0</v>
      </c>
      <c r="J20" s="59">
        <f t="shared" si="0"/>
        <v>0</v>
      </c>
      <c r="K20" s="59" t="str">
        <f t="shared" si="1"/>
        <v>MUY BAJO</v>
      </c>
      <c r="L20" s="60">
        <f t="shared" si="2"/>
        <v>0</v>
      </c>
      <c r="M20" s="14"/>
    </row>
    <row r="21" spans="2:13" ht="24.95" customHeight="1" x14ac:dyDescent="0.2">
      <c r="B21" s="12"/>
      <c r="C21" s="44" t="str">
        <f>CONCATENATE($B$13,Matriz!B23)</f>
        <v>R8</v>
      </c>
      <c r="D21" s="151">
        <f>Matriz!E23</f>
        <v>0</v>
      </c>
      <c r="E21" s="151"/>
      <c r="F21" s="57">
        <f>Matriz!F23</f>
        <v>0</v>
      </c>
      <c r="G21" s="58"/>
      <c r="H21" s="57">
        <f>Matriz!H23</f>
        <v>0</v>
      </c>
      <c r="I21" s="57">
        <f>Matriz!I23</f>
        <v>0</v>
      </c>
      <c r="J21" s="59">
        <f t="shared" si="0"/>
        <v>0</v>
      </c>
      <c r="K21" s="59" t="str">
        <f t="shared" si="1"/>
        <v>MUY BAJO</v>
      </c>
      <c r="L21" s="60">
        <f t="shared" si="2"/>
        <v>0</v>
      </c>
      <c r="M21" s="14"/>
    </row>
    <row r="22" spans="2:13" ht="24.95" customHeight="1" x14ac:dyDescent="0.2">
      <c r="B22" s="12"/>
      <c r="C22" s="44" t="str">
        <f>CONCATENATE($B$13,Matriz!B24)</f>
        <v>R9</v>
      </c>
      <c r="D22" s="151">
        <f>Matriz!E24</f>
        <v>0</v>
      </c>
      <c r="E22" s="151"/>
      <c r="F22" s="57">
        <f>Matriz!F24</f>
        <v>0</v>
      </c>
      <c r="G22" s="58"/>
      <c r="H22" s="57">
        <f>Matriz!H24</f>
        <v>0</v>
      </c>
      <c r="I22" s="57">
        <f>Matriz!I24</f>
        <v>0</v>
      </c>
      <c r="J22" s="59">
        <f t="shared" si="0"/>
        <v>0</v>
      </c>
      <c r="K22" s="59" t="str">
        <f t="shared" si="1"/>
        <v>MUY BAJO</v>
      </c>
      <c r="L22" s="60">
        <f t="shared" si="2"/>
        <v>0</v>
      </c>
      <c r="M22" s="14"/>
    </row>
    <row r="23" spans="2:13" ht="24.95" customHeight="1" x14ac:dyDescent="0.2">
      <c r="B23" s="12"/>
      <c r="C23" s="44" t="str">
        <f>CONCATENATE($B$13,Matriz!B25)</f>
        <v>R10</v>
      </c>
      <c r="D23" s="151">
        <f>Matriz!E25</f>
        <v>0</v>
      </c>
      <c r="E23" s="151"/>
      <c r="F23" s="57">
        <f>Matriz!F25</f>
        <v>0</v>
      </c>
      <c r="G23" s="58"/>
      <c r="H23" s="57">
        <f>Matriz!H25</f>
        <v>0</v>
      </c>
      <c r="I23" s="57">
        <f>Matriz!I25</f>
        <v>0</v>
      </c>
      <c r="J23" s="59">
        <f t="shared" si="0"/>
        <v>0</v>
      </c>
      <c r="K23" s="59" t="str">
        <f t="shared" si="1"/>
        <v>MUY BAJO</v>
      </c>
      <c r="L23" s="60">
        <f t="shared" si="2"/>
        <v>0</v>
      </c>
      <c r="M23" s="14"/>
    </row>
    <row r="24" spans="2:13" ht="24.95" customHeight="1" x14ac:dyDescent="0.2">
      <c r="B24" s="12"/>
      <c r="C24" s="44" t="str">
        <f>CONCATENATE($B$13,Matriz!B26)</f>
        <v>R11</v>
      </c>
      <c r="D24" s="151">
        <f>Matriz!E26</f>
        <v>0</v>
      </c>
      <c r="E24" s="151"/>
      <c r="F24" s="57">
        <f>Matriz!F26</f>
        <v>0</v>
      </c>
      <c r="G24" s="58"/>
      <c r="H24" s="57">
        <f>Matriz!H26</f>
        <v>0</v>
      </c>
      <c r="I24" s="57">
        <f>Matriz!I26</f>
        <v>0</v>
      </c>
      <c r="J24" s="59">
        <f t="shared" si="0"/>
        <v>0</v>
      </c>
      <c r="K24" s="59" t="str">
        <f t="shared" si="1"/>
        <v>MUY BAJO</v>
      </c>
      <c r="L24" s="60">
        <f t="shared" si="2"/>
        <v>0</v>
      </c>
      <c r="M24" s="14"/>
    </row>
    <row r="25" spans="2:13" ht="24.95" customHeight="1" x14ac:dyDescent="0.2">
      <c r="B25" s="12"/>
      <c r="C25" s="44" t="str">
        <f>CONCATENATE($B$13,Matriz!B27)</f>
        <v>R12</v>
      </c>
      <c r="D25" s="151">
        <f>Matriz!E27</f>
        <v>0</v>
      </c>
      <c r="E25" s="151"/>
      <c r="F25" s="57">
        <f>Matriz!F27</f>
        <v>0</v>
      </c>
      <c r="G25" s="58"/>
      <c r="H25" s="57">
        <f>Matriz!H27</f>
        <v>0</v>
      </c>
      <c r="I25" s="57">
        <f>Matriz!I27</f>
        <v>0</v>
      </c>
      <c r="J25" s="59">
        <f t="shared" si="0"/>
        <v>0</v>
      </c>
      <c r="K25" s="59" t="str">
        <f t="shared" si="1"/>
        <v>MUY BAJO</v>
      </c>
      <c r="L25" s="60">
        <f t="shared" si="2"/>
        <v>0</v>
      </c>
      <c r="M25" s="14"/>
    </row>
    <row r="26" spans="2:13" ht="24.95" customHeight="1" x14ac:dyDescent="0.2">
      <c r="B26" s="12"/>
      <c r="C26" s="53" t="str">
        <f>CONCATENATE($B$13,Matriz!B28)</f>
        <v>R13</v>
      </c>
      <c r="D26" s="151">
        <f>Matriz!E28</f>
        <v>0</v>
      </c>
      <c r="E26" s="151"/>
      <c r="F26" s="57">
        <f>Matriz!F28</f>
        <v>0</v>
      </c>
      <c r="G26" s="58"/>
      <c r="H26" s="57">
        <f>Matriz!H28</f>
        <v>0</v>
      </c>
      <c r="I26" s="57">
        <f>Matriz!I28</f>
        <v>0</v>
      </c>
      <c r="J26" s="59">
        <f t="shared" si="0"/>
        <v>0</v>
      </c>
      <c r="K26" s="59" t="str">
        <f t="shared" si="1"/>
        <v>MUY BAJO</v>
      </c>
      <c r="L26" s="60">
        <f t="shared" si="2"/>
        <v>0</v>
      </c>
      <c r="M26" s="14"/>
    </row>
    <row r="27" spans="2:13" ht="24.95" customHeight="1" x14ac:dyDescent="0.2">
      <c r="B27" s="12"/>
      <c r="C27" s="44" t="str">
        <f>CONCATENATE($B$13,Matriz!B29)</f>
        <v>R14</v>
      </c>
      <c r="D27" s="151">
        <f>Matriz!E29</f>
        <v>0</v>
      </c>
      <c r="E27" s="151"/>
      <c r="F27" s="57">
        <f>Matriz!F29</f>
        <v>0</v>
      </c>
      <c r="G27" s="58"/>
      <c r="H27" s="57">
        <f>Matriz!H29</f>
        <v>0</v>
      </c>
      <c r="I27" s="57">
        <f>Matriz!I29</f>
        <v>0</v>
      </c>
      <c r="J27" s="59">
        <f t="shared" si="0"/>
        <v>0</v>
      </c>
      <c r="K27" s="59" t="str">
        <f t="shared" si="1"/>
        <v>MUY BAJO</v>
      </c>
      <c r="L27" s="60">
        <f t="shared" si="2"/>
        <v>0</v>
      </c>
      <c r="M27" s="14"/>
    </row>
    <row r="28" spans="2:13" ht="24.95" customHeight="1" x14ac:dyDescent="0.2">
      <c r="B28" s="12"/>
      <c r="C28" s="44" t="str">
        <f>CONCATENATE($B$13,Matriz!B30)</f>
        <v>R15</v>
      </c>
      <c r="D28" s="151">
        <f>Matriz!E30</f>
        <v>0</v>
      </c>
      <c r="E28" s="151"/>
      <c r="F28" s="57">
        <f>Matriz!F30</f>
        <v>0</v>
      </c>
      <c r="G28" s="58"/>
      <c r="H28" s="57">
        <f>Matriz!H30</f>
        <v>0</v>
      </c>
      <c r="I28" s="57">
        <f>Matriz!I30</f>
        <v>0</v>
      </c>
      <c r="J28" s="59">
        <f t="shared" si="0"/>
        <v>0</v>
      </c>
      <c r="K28" s="59" t="str">
        <f t="shared" si="1"/>
        <v>MUY BAJO</v>
      </c>
      <c r="L28" s="60">
        <f t="shared" si="2"/>
        <v>0</v>
      </c>
      <c r="M28" s="14"/>
    </row>
    <row r="29" spans="2:13" ht="21.75" customHeight="1" x14ac:dyDescent="0.2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</row>
    <row r="30" spans="2:13" ht="40.5" customHeight="1" x14ac:dyDescent="0.25">
      <c r="B30" s="152" t="s">
        <v>61</v>
      </c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20.25" customHeight="1" x14ac:dyDescent="0.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4"/>
    </row>
    <row r="32" spans="2:13" ht="36.75" customHeight="1" x14ac:dyDescent="0.2">
      <c r="B32" s="12"/>
      <c r="C32" s="61" t="s">
        <v>52</v>
      </c>
      <c r="D32" s="153" t="s">
        <v>53</v>
      </c>
      <c r="E32" s="153"/>
      <c r="F32" s="62" t="s">
        <v>62</v>
      </c>
      <c r="G32" s="62" t="s">
        <v>63</v>
      </c>
      <c r="H32" s="62" t="s">
        <v>64</v>
      </c>
      <c r="I32" s="62" t="s">
        <v>59</v>
      </c>
      <c r="J32" s="62" t="s">
        <v>65</v>
      </c>
      <c r="K32" s="154" t="s">
        <v>66</v>
      </c>
      <c r="L32" s="154"/>
      <c r="M32" s="14"/>
    </row>
    <row r="33" spans="2:13" ht="163.9" customHeight="1" thickBot="1" x14ac:dyDescent="0.25">
      <c r="B33" s="12"/>
      <c r="C33" s="63" t="str">
        <f t="shared" ref="C33:D47" si="3">C14</f>
        <v>R1</v>
      </c>
      <c r="D33" s="155" t="str">
        <f t="shared" si="3"/>
        <v>no trabajar eficientemente</v>
      </c>
      <c r="E33" s="155"/>
      <c r="F33" s="65" t="str">
        <f t="shared" ref="F33:F47" si="4">K14</f>
        <v>ALTO</v>
      </c>
      <c r="G33" s="64" t="s">
        <v>82</v>
      </c>
      <c r="H33" s="64" t="str">
        <f>Matriz!K16</f>
        <v>•Realización de reuniones sobre avances del proyecto
•Realizar acuerdos y trabajar en un punto medio de opiniones</v>
      </c>
      <c r="I33" s="64" t="s">
        <v>67</v>
      </c>
      <c r="J33" s="64" t="s">
        <v>122</v>
      </c>
      <c r="K33" s="156" t="str">
        <f>Matriz!K16</f>
        <v>•Realización de reuniones sobre avances del proyecto
•Realizar acuerdos y trabajar en un punto medio de opiniones</v>
      </c>
      <c r="L33" s="156"/>
      <c r="M33" s="14"/>
    </row>
    <row r="34" spans="2:13" ht="78.75" customHeight="1" thickBot="1" x14ac:dyDescent="0.25">
      <c r="B34" s="12"/>
      <c r="C34" s="66" t="str">
        <f t="shared" si="3"/>
        <v>R2</v>
      </c>
      <c r="D34" s="157" t="str">
        <f t="shared" si="3"/>
        <v>Tiempos incongruentes y fechas mal planeadas ,Organización ineficiente</v>
      </c>
      <c r="E34" s="157"/>
      <c r="F34" s="67" t="str">
        <f t="shared" si="4"/>
        <v>MODERADO</v>
      </c>
      <c r="G34" s="68" t="s">
        <v>82</v>
      </c>
      <c r="H34" s="88" t="str">
        <f>Matriz!K17</f>
        <v>Revisar actividades con fechas y ajustarlos a tiempos del proyecto, utilizar un repositorio para el almacenamiento de la información.</v>
      </c>
      <c r="I34" s="64" t="s">
        <v>67</v>
      </c>
      <c r="J34" s="68" t="s">
        <v>122</v>
      </c>
      <c r="K34" s="158" t="str">
        <f>Matriz!K17</f>
        <v>Revisar actividades con fechas y ajustarlos a tiempos del proyecto, utilizar un repositorio para el almacenamiento de la información.</v>
      </c>
      <c r="L34" s="158"/>
      <c r="M34" s="14"/>
    </row>
    <row r="35" spans="2:13" ht="125.45" customHeight="1" thickBot="1" x14ac:dyDescent="0.25">
      <c r="B35" s="12"/>
      <c r="C35" s="66" t="str">
        <f t="shared" si="3"/>
        <v>R3</v>
      </c>
      <c r="D35" s="159" t="str">
        <f t="shared" si="3"/>
        <v>Cambios regulares y nuevos añadidos a los requerimientos</v>
      </c>
      <c r="E35" s="159"/>
      <c r="F35" s="70" t="str">
        <f t="shared" si="4"/>
        <v>MODERADO</v>
      </c>
      <c r="G35" s="69" t="s">
        <v>82</v>
      </c>
      <c r="H35" s="88" t="str">
        <f>Matriz!K18</f>
        <v xml:space="preserve">Acoplar los requerimientos nuevos o cambios  existentes de forma clara y  eficiente  para cumplir la funcionalidad planeada </v>
      </c>
      <c r="I35" s="64" t="s">
        <v>67</v>
      </c>
      <c r="J35" s="69" t="s">
        <v>122</v>
      </c>
      <c r="K35" s="158" t="str">
        <f>Matriz!K18</f>
        <v xml:space="preserve">Acoplar los requerimientos nuevos o cambios  existentes de forma clara y  eficiente  para cumplir la funcionalidad planeada </v>
      </c>
      <c r="L35" s="158"/>
      <c r="M35" s="14"/>
    </row>
    <row r="36" spans="2:13" ht="126" customHeight="1" thickBot="1" x14ac:dyDescent="0.25">
      <c r="B36" s="12"/>
      <c r="C36" s="66" t="str">
        <f t="shared" si="3"/>
        <v>R4</v>
      </c>
      <c r="D36" s="159" t="str">
        <f t="shared" si="3"/>
        <v>interpretación erronea de las ventanas e interfaces</v>
      </c>
      <c r="E36" s="159"/>
      <c r="F36" s="67" t="str">
        <f t="shared" si="4"/>
        <v>BAJO</v>
      </c>
      <c r="G36" s="68" t="s">
        <v>89</v>
      </c>
      <c r="H36" s="88" t="str">
        <f>Matriz!K19</f>
        <v xml:space="preserve">Rediseñar las interfaces con base  a los requerimientos de software
Aplicación de la norma ISO 9126 en el criterio de Usabilidad. </v>
      </c>
      <c r="I36" s="64" t="s">
        <v>67</v>
      </c>
      <c r="J36" s="68" t="s">
        <v>90</v>
      </c>
      <c r="K36" s="158" t="str">
        <f>Matriz!K19</f>
        <v xml:space="preserve">Rediseñar las interfaces con base  a los requerimientos de software
Aplicación de la norma ISO 9126 en el criterio de Usabilidad. </v>
      </c>
      <c r="L36" s="158"/>
      <c r="M36" s="14"/>
    </row>
    <row r="37" spans="2:13" ht="147" customHeight="1" thickBot="1" x14ac:dyDescent="0.25">
      <c r="B37" s="12"/>
      <c r="C37" s="66" t="str">
        <f t="shared" si="3"/>
        <v>R5</v>
      </c>
      <c r="D37" s="159" t="str">
        <f t="shared" si="3"/>
        <v>Estructuración erronea de los datos, tablas mal relacionadas</v>
      </c>
      <c r="E37" s="159"/>
      <c r="F37" s="70" t="str">
        <f t="shared" si="4"/>
        <v>MODERADO</v>
      </c>
      <c r="G37" s="69" t="s">
        <v>81</v>
      </c>
      <c r="H37" s="88" t="str">
        <f>Matriz!K20</f>
        <v>Redefinir la arquitectura lógica llevando a cabo un analisis produndo para lograr  relaciones de tablas correctas con base a los procesos de la empresa</v>
      </c>
      <c r="I37" s="64" t="s">
        <v>67</v>
      </c>
      <c r="J37" s="69" t="s">
        <v>90</v>
      </c>
      <c r="K37" s="158" t="str">
        <f>Matriz!K20</f>
        <v>Redefinir la arquitectura lógica llevando a cabo un analisis produndo para lograr  relaciones de tablas correctas con base a los procesos de la empresa</v>
      </c>
      <c r="L37" s="158"/>
      <c r="M37" s="14"/>
    </row>
    <row r="38" spans="2:13" ht="194.45" customHeight="1" thickBot="1" x14ac:dyDescent="0.25">
      <c r="B38" s="12"/>
      <c r="C38" s="71" t="str">
        <f t="shared" si="3"/>
        <v>R6</v>
      </c>
      <c r="D38" s="160" t="str">
        <f t="shared" si="3"/>
        <v>Pruebas ineficientes</v>
      </c>
      <c r="E38" s="160"/>
      <c r="F38" s="72" t="str">
        <f t="shared" si="4"/>
        <v>ALTO</v>
      </c>
      <c r="G38" s="73" t="s">
        <v>124</v>
      </c>
      <c r="H38" s="88" t="str">
        <f>Matriz!K21</f>
        <v>•Realizar pruebas completas sobre cada módulo de la aplicación asegurandose de cumplir la funcionalidad principal
•Darle seguimiento a cada falla encontrado
•someter nuevamente a pruebas los módulos donde se reportaron fallas.
Seguimiento a la aplicación de la norma ISO 9126 en el criterio de eficiencia de desempeño.</v>
      </c>
      <c r="I38" s="64" t="s">
        <v>67</v>
      </c>
      <c r="J38" s="73" t="s">
        <v>125</v>
      </c>
      <c r="K38" s="161" t="str">
        <f>Matriz!K21</f>
        <v>•Realizar pruebas completas sobre cada módulo de la aplicación asegurandose de cumplir la funcionalidad principal
•Darle seguimiento a cada falla encontrado
•someter nuevamente a pruebas los módulos donde se reportaron fallas.
Seguimiento a la aplicación de la norma ISO 9126 en el criterio de eficiencia de desempeño.</v>
      </c>
      <c r="L38" s="161"/>
      <c r="M38" s="14"/>
    </row>
    <row r="39" spans="2:13" ht="27.95" customHeight="1" thickBot="1" x14ac:dyDescent="0.25">
      <c r="B39" s="12"/>
      <c r="C39" s="66" t="str">
        <f t="shared" si="3"/>
        <v>R7</v>
      </c>
      <c r="D39" s="160">
        <f t="shared" si="3"/>
        <v>0</v>
      </c>
      <c r="E39" s="160"/>
      <c r="F39" s="72" t="str">
        <f t="shared" si="4"/>
        <v>MUY BAJO</v>
      </c>
      <c r="G39" s="73"/>
      <c r="H39" s="88">
        <f>Matriz!K22</f>
        <v>0</v>
      </c>
      <c r="I39" s="64" t="s">
        <v>67</v>
      </c>
      <c r="J39" s="73"/>
      <c r="K39" s="161">
        <f>Matriz!K22</f>
        <v>0</v>
      </c>
      <c r="L39" s="161"/>
      <c r="M39" s="14"/>
    </row>
    <row r="40" spans="2:13" ht="27.95" customHeight="1" thickBot="1" x14ac:dyDescent="0.25">
      <c r="B40" s="12"/>
      <c r="C40" s="66" t="str">
        <f t="shared" si="3"/>
        <v>R8</v>
      </c>
      <c r="D40" s="160">
        <f t="shared" si="3"/>
        <v>0</v>
      </c>
      <c r="E40" s="160"/>
      <c r="F40" s="72" t="str">
        <f t="shared" si="4"/>
        <v>MUY BAJO</v>
      </c>
      <c r="G40" s="73"/>
      <c r="H40" s="88">
        <f>Matriz!K23</f>
        <v>0</v>
      </c>
      <c r="I40" s="64" t="s">
        <v>67</v>
      </c>
      <c r="J40" s="73"/>
      <c r="K40" s="161">
        <f>Matriz!K23</f>
        <v>0</v>
      </c>
      <c r="L40" s="161"/>
      <c r="M40" s="14"/>
    </row>
    <row r="41" spans="2:13" ht="27.95" customHeight="1" thickBot="1" x14ac:dyDescent="0.25">
      <c r="B41" s="12"/>
      <c r="C41" s="66" t="str">
        <f t="shared" si="3"/>
        <v>R9</v>
      </c>
      <c r="D41" s="160">
        <f t="shared" si="3"/>
        <v>0</v>
      </c>
      <c r="E41" s="160"/>
      <c r="F41" s="72" t="str">
        <f t="shared" si="4"/>
        <v>MUY BAJO</v>
      </c>
      <c r="G41" s="73"/>
      <c r="H41" s="88">
        <f>Matriz!K24</f>
        <v>0</v>
      </c>
      <c r="I41" s="64" t="s">
        <v>67</v>
      </c>
      <c r="J41" s="73"/>
      <c r="K41" s="161">
        <f>Matriz!K24</f>
        <v>0</v>
      </c>
      <c r="L41" s="161"/>
      <c r="M41" s="14"/>
    </row>
    <row r="42" spans="2:13" ht="27.95" customHeight="1" thickBot="1" x14ac:dyDescent="0.25">
      <c r="B42" s="12"/>
      <c r="C42" s="66" t="str">
        <f t="shared" si="3"/>
        <v>R10</v>
      </c>
      <c r="D42" s="160">
        <f t="shared" si="3"/>
        <v>0</v>
      </c>
      <c r="E42" s="160"/>
      <c r="F42" s="72" t="str">
        <f t="shared" si="4"/>
        <v>MUY BAJO</v>
      </c>
      <c r="G42" s="73"/>
      <c r="H42" s="88">
        <f>Matriz!K25</f>
        <v>0</v>
      </c>
      <c r="I42" s="64" t="s">
        <v>67</v>
      </c>
      <c r="J42" s="73"/>
      <c r="K42" s="161">
        <f>Matriz!K25</f>
        <v>0</v>
      </c>
      <c r="L42" s="161"/>
      <c r="M42" s="14"/>
    </row>
    <row r="43" spans="2:13" ht="27.95" customHeight="1" thickBot="1" x14ac:dyDescent="0.25">
      <c r="B43" s="12"/>
      <c r="C43" s="71" t="str">
        <f t="shared" si="3"/>
        <v>R11</v>
      </c>
      <c r="D43" s="160">
        <f t="shared" si="3"/>
        <v>0</v>
      </c>
      <c r="E43" s="160"/>
      <c r="F43" s="72" t="str">
        <f t="shared" si="4"/>
        <v>MUY BAJO</v>
      </c>
      <c r="G43" s="73"/>
      <c r="H43" s="88">
        <f>Matriz!K26</f>
        <v>0</v>
      </c>
      <c r="I43" s="64" t="s">
        <v>67</v>
      </c>
      <c r="J43" s="73"/>
      <c r="K43" s="161">
        <f>Matriz!K26</f>
        <v>0</v>
      </c>
      <c r="L43" s="161"/>
      <c r="M43" s="14"/>
    </row>
    <row r="44" spans="2:13" ht="27.95" customHeight="1" thickBot="1" x14ac:dyDescent="0.25">
      <c r="B44" s="12"/>
      <c r="C44" s="66" t="str">
        <f t="shared" si="3"/>
        <v>R12</v>
      </c>
      <c r="D44" s="160">
        <f t="shared" si="3"/>
        <v>0</v>
      </c>
      <c r="E44" s="160"/>
      <c r="F44" s="72" t="str">
        <f t="shared" si="4"/>
        <v>MUY BAJO</v>
      </c>
      <c r="G44" s="73"/>
      <c r="H44" s="88">
        <f>Matriz!K27</f>
        <v>0</v>
      </c>
      <c r="I44" s="64" t="s">
        <v>67</v>
      </c>
      <c r="J44" s="73"/>
      <c r="K44" s="161">
        <f>Matriz!K27</f>
        <v>0</v>
      </c>
      <c r="L44" s="161"/>
      <c r="M44" s="14"/>
    </row>
    <row r="45" spans="2:13" ht="27.95" customHeight="1" thickBot="1" x14ac:dyDescent="0.25">
      <c r="B45" s="12"/>
      <c r="C45" s="66" t="str">
        <f t="shared" si="3"/>
        <v>R13</v>
      </c>
      <c r="D45" s="160">
        <f t="shared" si="3"/>
        <v>0</v>
      </c>
      <c r="E45" s="160"/>
      <c r="F45" s="72" t="str">
        <f t="shared" si="4"/>
        <v>MUY BAJO</v>
      </c>
      <c r="G45" s="73"/>
      <c r="H45" s="88">
        <f>Matriz!K28</f>
        <v>0</v>
      </c>
      <c r="I45" s="64" t="s">
        <v>67</v>
      </c>
      <c r="J45" s="73"/>
      <c r="K45" s="161">
        <f>Matriz!K28</f>
        <v>0</v>
      </c>
      <c r="L45" s="161"/>
      <c r="M45" s="14"/>
    </row>
    <row r="46" spans="2:13" ht="27.95" customHeight="1" thickBot="1" x14ac:dyDescent="0.25">
      <c r="B46" s="12"/>
      <c r="C46" s="66" t="str">
        <f t="shared" si="3"/>
        <v>R14</v>
      </c>
      <c r="D46" s="160">
        <f t="shared" si="3"/>
        <v>0</v>
      </c>
      <c r="E46" s="160"/>
      <c r="F46" s="72" t="str">
        <f t="shared" si="4"/>
        <v>MUY BAJO</v>
      </c>
      <c r="G46" s="73"/>
      <c r="H46" s="88">
        <f>Matriz!K29</f>
        <v>0</v>
      </c>
      <c r="I46" s="64" t="s">
        <v>67</v>
      </c>
      <c r="J46" s="73"/>
      <c r="K46" s="161">
        <f>Matriz!K29</f>
        <v>0</v>
      </c>
      <c r="L46" s="161"/>
      <c r="M46" s="14"/>
    </row>
    <row r="47" spans="2:13" ht="27.95" customHeight="1" thickBot="1" x14ac:dyDescent="0.25">
      <c r="B47" s="12"/>
      <c r="C47" s="66" t="str">
        <f t="shared" si="3"/>
        <v>R15</v>
      </c>
      <c r="D47" s="160">
        <f t="shared" si="3"/>
        <v>0</v>
      </c>
      <c r="E47" s="160"/>
      <c r="F47" s="72" t="str">
        <f t="shared" si="4"/>
        <v>MUY BAJO</v>
      </c>
      <c r="G47" s="73"/>
      <c r="H47" s="88">
        <f>Matriz!K30</f>
        <v>0</v>
      </c>
      <c r="I47" s="64" t="s">
        <v>67</v>
      </c>
      <c r="J47" s="73"/>
      <c r="K47" s="161">
        <f>Matriz!K30</f>
        <v>0</v>
      </c>
      <c r="L47" s="161"/>
      <c r="M47" s="14"/>
    </row>
    <row r="48" spans="2:13" x14ac:dyDescent="0.2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4"/>
    </row>
    <row r="49" spans="2:13" x14ac:dyDescent="0.2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4"/>
    </row>
    <row r="50" spans="2:13" x14ac:dyDescent="0.2">
      <c r="B50" s="74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6"/>
    </row>
  </sheetData>
  <mergeCells count="56">
    <mergeCell ref="D45:E45"/>
    <mergeCell ref="K45:L45"/>
    <mergeCell ref="D46:E46"/>
    <mergeCell ref="K46:L46"/>
    <mergeCell ref="D47:E47"/>
    <mergeCell ref="K47:L47"/>
    <mergeCell ref="D42:E42"/>
    <mergeCell ref="K42:L42"/>
    <mergeCell ref="D43:E43"/>
    <mergeCell ref="K43:L43"/>
    <mergeCell ref="D44:E44"/>
    <mergeCell ref="K44:L44"/>
    <mergeCell ref="D39:E39"/>
    <mergeCell ref="K39:L39"/>
    <mergeCell ref="D40:E40"/>
    <mergeCell ref="K40:L40"/>
    <mergeCell ref="D41:E41"/>
    <mergeCell ref="K41:L41"/>
    <mergeCell ref="D36:E36"/>
    <mergeCell ref="K36:L36"/>
    <mergeCell ref="D37:E37"/>
    <mergeCell ref="K37:L37"/>
    <mergeCell ref="D38:E38"/>
    <mergeCell ref="K38:L38"/>
    <mergeCell ref="D33:E33"/>
    <mergeCell ref="K33:L33"/>
    <mergeCell ref="D34:E34"/>
    <mergeCell ref="K34:L34"/>
    <mergeCell ref="D35:E35"/>
    <mergeCell ref="K35:L35"/>
    <mergeCell ref="D26:E26"/>
    <mergeCell ref="D27:E27"/>
    <mergeCell ref="D28:E28"/>
    <mergeCell ref="B30:M30"/>
    <mergeCell ref="D32:E32"/>
    <mergeCell ref="K32:L32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  <mergeCell ref="J9:K9"/>
    <mergeCell ref="J10:K10"/>
    <mergeCell ref="D13:E13"/>
    <mergeCell ref="D14:E14"/>
    <mergeCell ref="D15:E15"/>
    <mergeCell ref="C3:L3"/>
    <mergeCell ref="J5:K5"/>
    <mergeCell ref="J6:K6"/>
    <mergeCell ref="J7:K7"/>
    <mergeCell ref="J8:K8"/>
  </mergeCells>
  <conditionalFormatting sqref="L14:L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Elegir" prompt="Elija un valor">
          <x14:formula1>
            <xm:f>Datos!$D$7:$D$10</xm:f>
          </x14:formula1>
          <x14:formula2>
            <xm:f>0</xm:f>
          </x14:formula2>
          <xm:sqref>I33:I47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5"/>
  <sheetViews>
    <sheetView topLeftCell="A10" zoomScale="90" zoomScaleNormal="90" workbookViewId="0">
      <selection activeCell="M13" sqref="M13:N13"/>
    </sheetView>
  </sheetViews>
  <sheetFormatPr baseColWidth="10" defaultColWidth="9.140625" defaultRowHeight="12.75" x14ac:dyDescent="0.2"/>
  <cols>
    <col min="1" max="7" width="11.5703125"/>
    <col min="8" max="8" width="18.85546875" customWidth="1"/>
    <col min="9" max="9" width="18" customWidth="1"/>
    <col min="10" max="11" width="11.5703125"/>
    <col min="12" max="12" width="17.28515625" customWidth="1"/>
    <col min="13" max="1025" width="11.5703125"/>
  </cols>
  <sheetData>
    <row r="4" spans="3:15" ht="13.5" thickBot="1" x14ac:dyDescent="0.25"/>
    <row r="5" spans="3:15" ht="18.75" thickBot="1" x14ac:dyDescent="0.3">
      <c r="C5" s="162" t="s">
        <v>66</v>
      </c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</row>
    <row r="6" spans="3:15" x14ac:dyDescent="0.2"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3:15" ht="33.200000000000003" customHeight="1" x14ac:dyDescent="0.2">
      <c r="C7" s="12"/>
      <c r="D7" s="77" t="s">
        <v>52</v>
      </c>
      <c r="E7" s="163" t="s">
        <v>53</v>
      </c>
      <c r="F7" s="163"/>
      <c r="G7" s="77" t="s">
        <v>62</v>
      </c>
      <c r="H7" s="77" t="s">
        <v>68</v>
      </c>
      <c r="I7" s="77" t="s">
        <v>69</v>
      </c>
      <c r="J7" s="77" t="s">
        <v>70</v>
      </c>
      <c r="K7" s="77" t="s">
        <v>71</v>
      </c>
      <c r="L7" s="77" t="s">
        <v>72</v>
      </c>
      <c r="M7" s="163" t="s">
        <v>73</v>
      </c>
      <c r="N7" s="163"/>
      <c r="O7" s="14"/>
    </row>
    <row r="8" spans="3:15" ht="146.44999999999999" customHeight="1" x14ac:dyDescent="0.2">
      <c r="C8" s="12"/>
      <c r="D8" s="78" t="str">
        <f>'Cualitativo '!C33</f>
        <v>R1</v>
      </c>
      <c r="E8" s="164" t="str">
        <f>'Cualitativo '!D33</f>
        <v>no trabajar eficientemente</v>
      </c>
      <c r="F8" s="164"/>
      <c r="G8" s="80" t="str">
        <f>'Cualitativo '!F33</f>
        <v>ALTO</v>
      </c>
      <c r="H8" s="79" t="str">
        <f>'Cualitativo '!J33</f>
        <v>Portafolio manager</v>
      </c>
      <c r="I8" s="79" t="str">
        <f>Matriz!K16</f>
        <v>•Realización de reuniones sobre avances del proyecto
•Realizar acuerdos y trabajar en un punto medio de opiniones</v>
      </c>
      <c r="J8" s="134" t="s">
        <v>74</v>
      </c>
      <c r="K8" s="105">
        <v>43565</v>
      </c>
      <c r="L8" s="79" t="str">
        <f>'Cualitativo '!J33</f>
        <v>Portafolio manager</v>
      </c>
      <c r="M8" s="164" t="s">
        <v>123</v>
      </c>
      <c r="N8" s="164"/>
      <c r="O8" s="14"/>
    </row>
    <row r="9" spans="3:15" ht="113.45" customHeight="1" x14ac:dyDescent="0.2">
      <c r="C9" s="12"/>
      <c r="D9" s="78" t="str">
        <f>'Cualitativo '!C34</f>
        <v>R2</v>
      </c>
      <c r="E9" s="164" t="str">
        <f>'Cualitativo '!D34</f>
        <v>Tiempos incongruentes y fechas mal planeadas ,Organización ineficiente</v>
      </c>
      <c r="F9" s="164"/>
      <c r="G9" s="80" t="str">
        <f>'Cualitativo '!F34</f>
        <v>MODERADO</v>
      </c>
      <c r="H9" s="133" t="str">
        <f>'Cualitativo '!J34</f>
        <v>Portafolio manager</v>
      </c>
      <c r="I9" s="79" t="str">
        <f>Matriz!K17</f>
        <v>Revisar actividades con fechas y ajustarlos a tiempos del proyecto, utilizar un repositorio para el almacenamiento de la información.</v>
      </c>
      <c r="J9" s="134" t="s">
        <v>74</v>
      </c>
      <c r="K9" s="105">
        <v>43622</v>
      </c>
      <c r="L9" s="79" t="str">
        <f>'Cualitativo '!J34</f>
        <v>Portafolio manager</v>
      </c>
      <c r="M9" s="164" t="s">
        <v>126</v>
      </c>
      <c r="N9" s="164"/>
      <c r="O9" s="14"/>
    </row>
    <row r="10" spans="3:15" ht="114.6" customHeight="1" x14ac:dyDescent="0.2">
      <c r="C10" s="12"/>
      <c r="D10" s="78" t="str">
        <f>'Cualitativo '!C35</f>
        <v>R3</v>
      </c>
      <c r="E10" s="164" t="str">
        <f>'Cualitativo '!D35</f>
        <v>Cambios regulares y nuevos añadidos a los requerimientos</v>
      </c>
      <c r="F10" s="164"/>
      <c r="G10" s="80" t="str">
        <f>'Cualitativo '!F35</f>
        <v>MODERADO</v>
      </c>
      <c r="H10" s="133" t="str">
        <f>'Cualitativo '!J35</f>
        <v>Portafolio manager</v>
      </c>
      <c r="I10" s="107" t="str">
        <f>Matriz!K18</f>
        <v xml:space="preserve">Acoplar los requerimientos nuevos o cambios  existentes de forma clara y  eficiente  para cumplir la funcionalidad planeada </v>
      </c>
      <c r="J10" s="134" t="s">
        <v>74</v>
      </c>
      <c r="K10" s="105">
        <v>43631</v>
      </c>
      <c r="L10" s="79" t="str">
        <f>'Cualitativo '!J35</f>
        <v>Portafolio manager</v>
      </c>
      <c r="M10" s="164" t="s">
        <v>127</v>
      </c>
      <c r="N10" s="164"/>
      <c r="O10" s="14"/>
    </row>
    <row r="11" spans="3:15" ht="92.45" customHeight="1" x14ac:dyDescent="0.2">
      <c r="C11" s="12"/>
      <c r="D11" s="78" t="str">
        <f>'Cualitativo '!C36</f>
        <v>R4</v>
      </c>
      <c r="E11" s="164" t="str">
        <f>'Cualitativo '!D36</f>
        <v>interpretación erronea de las ventanas e interfaces</v>
      </c>
      <c r="F11" s="164"/>
      <c r="G11" s="80" t="str">
        <f>'Cualitativo '!F36</f>
        <v>BAJO</v>
      </c>
      <c r="H11" s="133" t="str">
        <f>'Cualitativo '!J36</f>
        <v>Analista</v>
      </c>
      <c r="I11" s="79" t="str">
        <f>Matriz!K19</f>
        <v xml:space="preserve">Rediseñar las interfaces con base  a los requerimientos de software
Aplicación de la norma ISO 9126 en el criterio de Usabilidad. </v>
      </c>
      <c r="J11" s="134" t="s">
        <v>74</v>
      </c>
      <c r="K11" s="105">
        <v>43642</v>
      </c>
      <c r="L11" s="79" t="s">
        <v>90</v>
      </c>
      <c r="M11" s="164" t="s">
        <v>128</v>
      </c>
      <c r="N11" s="164"/>
      <c r="O11" s="14"/>
    </row>
    <row r="12" spans="3:15" ht="137.44999999999999" customHeight="1" x14ac:dyDescent="0.2">
      <c r="C12" s="12"/>
      <c r="D12" s="78" t="str">
        <f>'Cualitativo '!C37</f>
        <v>R5</v>
      </c>
      <c r="E12" s="164" t="str">
        <f>'Cualitativo '!D37</f>
        <v>Estructuración erronea de los datos, tablas mal relacionadas</v>
      </c>
      <c r="F12" s="164"/>
      <c r="G12" s="80" t="str">
        <f>'Cualitativo '!F37</f>
        <v>MODERADO</v>
      </c>
      <c r="H12" s="133" t="str">
        <f>'Cualitativo '!J37</f>
        <v>Analista</v>
      </c>
      <c r="I12" s="79" t="str">
        <f>Matriz!K20</f>
        <v>Redefinir la arquitectura lógica llevando a cabo un analisis produndo para lograr  relaciones de tablas correctas con base a los procesos de la empresa</v>
      </c>
      <c r="J12" s="134" t="s">
        <v>74</v>
      </c>
      <c r="K12" s="105">
        <v>43645</v>
      </c>
      <c r="L12" s="79" t="str">
        <f>'Cualitativo '!J37</f>
        <v>Analista</v>
      </c>
      <c r="M12" s="164" t="s">
        <v>129</v>
      </c>
      <c r="N12" s="164"/>
      <c r="O12" s="14"/>
    </row>
    <row r="13" spans="3:15" ht="212.45" customHeight="1" x14ac:dyDescent="0.2">
      <c r="C13" s="12"/>
      <c r="D13" s="78" t="str">
        <f>'Cualitativo '!C38</f>
        <v>R6</v>
      </c>
      <c r="E13" s="164" t="str">
        <f>'Cualitativo '!D38</f>
        <v>Pruebas ineficientes</v>
      </c>
      <c r="F13" s="164"/>
      <c r="G13" s="80" t="str">
        <f>'Cualitativo '!F38</f>
        <v>ALTO</v>
      </c>
      <c r="H13" s="133" t="str">
        <f>'Cualitativo '!J38</f>
        <v>programador</v>
      </c>
      <c r="I13" s="79" t="str">
        <f>Matriz!K21</f>
        <v>•Realizar pruebas completas sobre cada módulo de la aplicación asegurandose de cumplir la funcionalidad principal
•Darle seguimiento a cada falla encontrado
•someter nuevamente a pruebas los módulos donde se reportaron fallas.
Seguimiento a la aplicación de la norma ISO 9126 en el criterio de eficiencia de desempeño.</v>
      </c>
      <c r="J13" s="134"/>
      <c r="K13" s="79"/>
      <c r="L13" s="79" t="str">
        <f>'Cualitativo '!J38</f>
        <v>programador</v>
      </c>
      <c r="M13" s="164"/>
      <c r="N13" s="164"/>
      <c r="O13" s="14"/>
    </row>
    <row r="14" spans="3:15" ht="24.95" customHeight="1" x14ac:dyDescent="0.2">
      <c r="C14" s="12"/>
      <c r="D14" s="78" t="str">
        <f>'Cualitativo '!C39</f>
        <v>R7</v>
      </c>
      <c r="E14" s="164">
        <f>'Cualitativo '!D39</f>
        <v>0</v>
      </c>
      <c r="F14" s="164"/>
      <c r="G14" s="80" t="str">
        <f>'Cualitativo '!F39</f>
        <v>MUY BAJO</v>
      </c>
      <c r="H14" s="79">
        <f>'Cualitativo '!J39</f>
        <v>0</v>
      </c>
      <c r="I14" s="79">
        <f>Matriz!K22</f>
        <v>0</v>
      </c>
      <c r="J14" s="81"/>
      <c r="K14" s="79"/>
      <c r="L14" s="79">
        <f>'Cualitativo '!J39</f>
        <v>0</v>
      </c>
      <c r="M14" s="164"/>
      <c r="N14" s="164"/>
      <c r="O14" s="14"/>
    </row>
    <row r="15" spans="3:15" ht="24.95" customHeight="1" x14ac:dyDescent="0.2">
      <c r="C15" s="12"/>
      <c r="D15" s="78" t="str">
        <f>'Cualitativo '!C40</f>
        <v>R8</v>
      </c>
      <c r="E15" s="164">
        <f>'Cualitativo '!D40</f>
        <v>0</v>
      </c>
      <c r="F15" s="164"/>
      <c r="G15" s="80" t="str">
        <f>'Cualitativo '!F40</f>
        <v>MUY BAJO</v>
      </c>
      <c r="H15" s="79">
        <f>'Cualitativo '!J40</f>
        <v>0</v>
      </c>
      <c r="I15" s="79">
        <f>Matriz!K23</f>
        <v>0</v>
      </c>
      <c r="J15" s="81"/>
      <c r="K15" s="79"/>
      <c r="L15" s="79">
        <f>'Cualitativo '!J40</f>
        <v>0</v>
      </c>
      <c r="M15" s="164"/>
      <c r="N15" s="164"/>
      <c r="O15" s="14"/>
    </row>
    <row r="16" spans="3:15" ht="24.95" customHeight="1" x14ac:dyDescent="0.2">
      <c r="C16" s="12"/>
      <c r="D16" s="78" t="str">
        <f>'Cualitativo '!C41</f>
        <v>R9</v>
      </c>
      <c r="E16" s="164">
        <f>'Cualitativo '!D41</f>
        <v>0</v>
      </c>
      <c r="F16" s="164"/>
      <c r="G16" s="80" t="str">
        <f>'Cualitativo '!F41</f>
        <v>MUY BAJO</v>
      </c>
      <c r="H16" s="79">
        <f>'Cualitativo '!J41</f>
        <v>0</v>
      </c>
      <c r="I16" s="79">
        <f>Matriz!K24</f>
        <v>0</v>
      </c>
      <c r="J16" s="81"/>
      <c r="K16" s="79"/>
      <c r="L16" s="79">
        <f>'Cualitativo '!J41</f>
        <v>0</v>
      </c>
      <c r="M16" s="164"/>
      <c r="N16" s="164"/>
      <c r="O16" s="14"/>
    </row>
    <row r="17" spans="3:15" ht="24.95" customHeight="1" x14ac:dyDescent="0.2">
      <c r="C17" s="12"/>
      <c r="D17" s="78" t="str">
        <f>'Cualitativo '!C42</f>
        <v>R10</v>
      </c>
      <c r="E17" s="164">
        <f>'Cualitativo '!D42</f>
        <v>0</v>
      </c>
      <c r="F17" s="164"/>
      <c r="G17" s="80" t="str">
        <f>'Cualitativo '!F42</f>
        <v>MUY BAJO</v>
      </c>
      <c r="H17" s="79">
        <f>'Cualitativo '!J42</f>
        <v>0</v>
      </c>
      <c r="I17" s="79">
        <f>Matriz!K25</f>
        <v>0</v>
      </c>
      <c r="J17" s="81"/>
      <c r="K17" s="79"/>
      <c r="L17" s="79">
        <f>'Cualitativo '!J42</f>
        <v>0</v>
      </c>
      <c r="M17" s="164"/>
      <c r="N17" s="164"/>
      <c r="O17" s="14"/>
    </row>
    <row r="18" spans="3:15" ht="24.95" customHeight="1" x14ac:dyDescent="0.2">
      <c r="C18" s="12"/>
      <c r="D18" s="78" t="str">
        <f>'Cualitativo '!C43</f>
        <v>R11</v>
      </c>
      <c r="E18" s="164">
        <f>'Cualitativo '!D43</f>
        <v>0</v>
      </c>
      <c r="F18" s="164"/>
      <c r="G18" s="80" t="str">
        <f>'Cualitativo '!F43</f>
        <v>MUY BAJO</v>
      </c>
      <c r="H18" s="79">
        <f>'Cualitativo '!J43</f>
        <v>0</v>
      </c>
      <c r="I18" s="79">
        <f>Matriz!K26</f>
        <v>0</v>
      </c>
      <c r="J18" s="81"/>
      <c r="K18" s="79"/>
      <c r="L18" s="79">
        <f>'Cualitativo '!J43</f>
        <v>0</v>
      </c>
      <c r="M18" s="164"/>
      <c r="N18" s="164"/>
      <c r="O18" s="14"/>
    </row>
    <row r="19" spans="3:15" ht="24.95" customHeight="1" x14ac:dyDescent="0.2">
      <c r="C19" s="12"/>
      <c r="D19" s="78" t="str">
        <f>'Cualitativo '!C44</f>
        <v>R12</v>
      </c>
      <c r="E19" s="164">
        <f>'Cualitativo '!D44</f>
        <v>0</v>
      </c>
      <c r="F19" s="164"/>
      <c r="G19" s="80" t="str">
        <f>'Cualitativo '!F44</f>
        <v>MUY BAJO</v>
      </c>
      <c r="H19" s="79">
        <f>'Cualitativo '!J44</f>
        <v>0</v>
      </c>
      <c r="I19" s="79">
        <f>Matriz!K27</f>
        <v>0</v>
      </c>
      <c r="J19" s="81"/>
      <c r="K19" s="79"/>
      <c r="L19" s="79">
        <f>'Cualitativo '!J44</f>
        <v>0</v>
      </c>
      <c r="M19" s="164"/>
      <c r="N19" s="164"/>
      <c r="O19" s="14"/>
    </row>
    <row r="20" spans="3:15" ht="24.95" customHeight="1" x14ac:dyDescent="0.2">
      <c r="C20" s="12"/>
      <c r="D20" s="78" t="str">
        <f>'Cualitativo '!C45</f>
        <v>R13</v>
      </c>
      <c r="E20" s="164">
        <f>'Cualitativo '!D45</f>
        <v>0</v>
      </c>
      <c r="F20" s="164"/>
      <c r="G20" s="80" t="str">
        <f>'Cualitativo '!F45</f>
        <v>MUY BAJO</v>
      </c>
      <c r="H20" s="79">
        <f>'Cualitativo '!J45</f>
        <v>0</v>
      </c>
      <c r="I20" s="79">
        <f>Matriz!K28</f>
        <v>0</v>
      </c>
      <c r="J20" s="81"/>
      <c r="K20" s="79"/>
      <c r="L20" s="79">
        <f>'Cualitativo '!J45</f>
        <v>0</v>
      </c>
      <c r="M20" s="164"/>
      <c r="N20" s="164"/>
      <c r="O20" s="14"/>
    </row>
    <row r="21" spans="3:15" ht="24.95" customHeight="1" x14ac:dyDescent="0.2">
      <c r="C21" s="12"/>
      <c r="D21" s="78" t="str">
        <f>'Cualitativo '!C46</f>
        <v>R14</v>
      </c>
      <c r="E21" s="164">
        <f>'Cualitativo '!D46</f>
        <v>0</v>
      </c>
      <c r="F21" s="164"/>
      <c r="G21" s="80" t="str">
        <f>'Cualitativo '!F46</f>
        <v>MUY BAJO</v>
      </c>
      <c r="H21" s="79">
        <f>'Cualitativo '!J46</f>
        <v>0</v>
      </c>
      <c r="I21" s="79">
        <f>Matriz!K29</f>
        <v>0</v>
      </c>
      <c r="J21" s="81"/>
      <c r="K21" s="79"/>
      <c r="L21" s="79">
        <f>'Cualitativo '!J46</f>
        <v>0</v>
      </c>
      <c r="M21" s="164"/>
      <c r="N21" s="164"/>
      <c r="O21" s="14"/>
    </row>
    <row r="22" spans="3:15" ht="24.95" customHeight="1" x14ac:dyDescent="0.2">
      <c r="C22" s="12"/>
      <c r="D22" s="78" t="str">
        <f>'Cualitativo '!C47</f>
        <v>R15</v>
      </c>
      <c r="E22" s="164">
        <f>'Cualitativo '!D47</f>
        <v>0</v>
      </c>
      <c r="F22" s="164"/>
      <c r="G22" s="80" t="str">
        <f>'Cualitativo '!F47</f>
        <v>MUY BAJO</v>
      </c>
      <c r="H22" s="79">
        <f>'Cualitativo '!J47</f>
        <v>0</v>
      </c>
      <c r="I22" s="79">
        <f>Matriz!K30</f>
        <v>0</v>
      </c>
      <c r="J22" s="81"/>
      <c r="K22" s="79"/>
      <c r="L22" s="79">
        <f>'Cualitativo '!J47</f>
        <v>0</v>
      </c>
      <c r="M22" s="164"/>
      <c r="N22" s="164"/>
      <c r="O22" s="14"/>
    </row>
    <row r="23" spans="3:15" x14ac:dyDescent="0.2"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</row>
    <row r="24" spans="3:15" x14ac:dyDescent="0.2"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</row>
    <row r="25" spans="3:15" x14ac:dyDescent="0.2">
      <c r="C25" s="74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6"/>
    </row>
  </sheetData>
  <mergeCells count="33">
    <mergeCell ref="E21:F21"/>
    <mergeCell ref="M21:N21"/>
    <mergeCell ref="E22:F22"/>
    <mergeCell ref="M22:N22"/>
    <mergeCell ref="E18:F18"/>
    <mergeCell ref="M18:N18"/>
    <mergeCell ref="E19:F19"/>
    <mergeCell ref="M19:N19"/>
    <mergeCell ref="E20:F20"/>
    <mergeCell ref="M20:N20"/>
    <mergeCell ref="E15:F15"/>
    <mergeCell ref="M15:N15"/>
    <mergeCell ref="E16:F16"/>
    <mergeCell ref="M16:N16"/>
    <mergeCell ref="E17:F17"/>
    <mergeCell ref="M17:N17"/>
    <mergeCell ref="E12:F12"/>
    <mergeCell ref="M12:N12"/>
    <mergeCell ref="E13:F13"/>
    <mergeCell ref="M13:N13"/>
    <mergeCell ref="E14:F14"/>
    <mergeCell ref="M14:N14"/>
    <mergeCell ref="E9:F9"/>
    <mergeCell ref="M9:N9"/>
    <mergeCell ref="E10:F10"/>
    <mergeCell ref="M10:N10"/>
    <mergeCell ref="E11:F11"/>
    <mergeCell ref="M11:N11"/>
    <mergeCell ref="C5:O5"/>
    <mergeCell ref="E7:F7"/>
    <mergeCell ref="M7:N7"/>
    <mergeCell ref="E8:F8"/>
    <mergeCell ref="M8:N8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Datos!$G$7:$G$8</xm:f>
          </x14:formula1>
          <xm:sqref>J8:J22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1"/>
  <sheetViews>
    <sheetView topLeftCell="B7" zoomScale="140" zoomScaleNormal="140" workbookViewId="0">
      <selection activeCell="H10" sqref="H10"/>
    </sheetView>
  </sheetViews>
  <sheetFormatPr baseColWidth="10" defaultColWidth="9.140625" defaultRowHeight="12.75" x14ac:dyDescent="0.2"/>
  <cols>
    <col min="1" max="1" width="9.140625" customWidth="1"/>
    <col min="2" max="2" width="3.28515625" customWidth="1"/>
    <col min="3" max="8" width="7.7109375" customWidth="1"/>
    <col min="9" max="9" width="8.5703125" customWidth="1"/>
    <col min="10" max="10" width="7.5703125" customWidth="1"/>
    <col min="11" max="1025" width="8.5703125" customWidth="1"/>
  </cols>
  <sheetData>
    <row r="5" spans="2:14" ht="42.6" customHeight="1" x14ac:dyDescent="0.2">
      <c r="B5" s="165" t="s">
        <v>0</v>
      </c>
      <c r="C5" s="82">
        <v>5</v>
      </c>
      <c r="D5" s="103" t="str">
        <f>CONCATENATE(IF(AND(Matriz!H16=5,Matriz!I16=1),"R1"," "),IF(AND(Matriz!H17=5,Matriz!I17=1),"R2"," "),IF(AND(Matriz!H18=5,Matriz!I18=1),"R3"," "),IF(AND(Matriz!H19=5,Matriz!I19=1),"R4"," "),IF(AND(Matriz!H20=5,Matriz!I20=1),"R5"," "),IF(AND(Matriz!H21=5,Matriz!I21=1),"R6"," "),IF(AND(Matriz!H22=5,Matriz!I22=1)," R7"," "),IF(AND(Matriz!H23=5,Matriz!I23=1)," R8"," "),IF(AND(Matriz!H24=5,Matriz!I24=1)," R9"," "),IF(AND(Matriz!H25=5,Matriz!I25=1)," R10"," "),IF(AND(Matriz!H26=5,Matriz!I26=1)," R11"," "),IF(AND(Matriz!H27=5,Matriz!I27=1)," R12"," "),IF(AND(Matriz!H28=5,Matriz!I28=1)," R13"," "),IF(AND(Matriz!H28=5,Matriz!I28=1)," R14"," "),IF(AND(Matriz!H29=5,Matriz!I29=1)," R15"," "))</f>
        <v xml:space="preserve">               </v>
      </c>
      <c r="E5" s="103" t="str">
        <f>CONCATENATE(  IF(AND(Matriz!H16=5,Matriz!I16=2),"R1", " "), IF(AND(Matriz!H17=5,Matriz!I17=2),"R2", " "), IF(AND(Matriz!H18=5,Matriz!I18=2),"R3", " "), IF(AND(Matriz!H19=5,Matriz!I19=2),"R4", " "), IF(AND(Matriz!H20=5,Matriz!I20=2),"R5", " "), IF(AND(Matriz!H21=5,Matriz!I21=2),"R6", " "),IF(AND(Matriz!H22=5,Matriz!I22=2)," R7"," "),IF(AND(Matriz!H23=5,Matriz!I23=2)," R8"," "),IF(AND(Matriz!H24=5,Matriz!I24=2)," R9"," "),IF(AND(Matriz!H25=5,Matriz!I25=2)," R10"," "),IF(AND(Matriz!H26=5,Matriz!I26=2)," R11"," "),IF(AND(Matriz!H27=5,Matriz!I27=2)," R12"," "),IF(AND(Matriz!H28=5,Matriz!I28=2)," R13"," "),IF(AND(Matriz!H28=5,Matriz!I28=2)," R14"," "),IF(AND(Matriz!H29=5,Matriz!I29=2)," R15"," "))</f>
        <v xml:space="preserve">               </v>
      </c>
      <c r="F5" s="104" t="str">
        <f>CONCATENATE(  IF(AND(Matriz!H16=5,Matriz!I16=3),"R1", " "), IF(AND(Matriz!H17=5,Matriz!I17=3),"R2", " "), IF(AND(Matriz!H18=5,Matriz!I18=3),"R3", " "), IF(AND(Matriz!H19=52,Matriz!I19=3),"R4", " "), IF(AND(Matriz!H20=5,Matriz!I20=3),"R5", " "), IF(AND(Matriz!H21=5,Matriz!I21=3),"R6", " "),IF(AND(Matriz!H22=5,Matriz!I22=3)," R7"," "),IF(AND(Matriz!H23=5,Matriz!I23=3)," R8"," "),IF(AND(Matriz!H24=5,Matriz!I24=3)," R9"," "),IF(AND(Matriz!H25=5,Matriz!I25=3)," R10"," "),IF(AND(Matriz!H26=5,Matriz!I26=3)," R11"," "),IF(AND(Matriz!H27=5,Matriz!I27=3)," R12"," "),IF(AND(Matriz!H28=5,Matriz!I28=3)," R13"," "),IF(AND(Matriz!H28=5,Matriz!I28=3)," R14"," "),IF(AND(Matriz!H29=5,Matriz!I29=3)," R15"," "))</f>
        <v xml:space="preserve">               </v>
      </c>
      <c r="G5" s="104" t="str">
        <f>CONCATENATE(  IF(AND(Matriz!H16=5,Matriz!I16=4),"R1", " "), IF(AND(Matriz!H17=5,Matriz!I17=4),"R2", " "), IF(AND(Matriz!H18=5,Matriz!I18=4),"R3", " "), IF(AND(Matriz!H19=5,Matriz!I19=4),"R4", " "), IF(AND(Matriz!H20=5,Matriz!I20=4),"R5", " "), IF(AND(Matriz!H21=5,Matriz!I21=4),"R6", " "),IF(AND(Matriz!H22=5,Matriz!I22=4)," R7"," "),IF(AND(Matriz!H23=5,Matriz!I23=4)," R8"," "),IF(AND(Matriz!H24=5,Matriz!I24=4)," R9"," "),IF(AND(Matriz!H25=5,Matriz!I25=4)," R10"," "),IF(AND(Matriz!H26=5,Matriz!I26=4)," R11"," "),IF(AND(Matriz!H27=5,Matriz!I27=4)," R12"," "),IF(AND(Matriz!H28=5,Matriz!I28=4)," R13"," "),IF(AND(Matriz!H28=5,Matriz!I28=4)," R14"," "),IF(AND(Matriz!H29=5,Matriz!I29=4)," R15"," "))</f>
        <v xml:space="preserve">               </v>
      </c>
      <c r="H5" s="104" t="str">
        <f>CONCATENATE(  IF(AND(Matriz!H16=5,Matriz!I16=5),"R1", " "), IF(AND(Matriz!H17=5,Matriz!I17=5),"R2", " "), IF(AND(Matriz!H18=5,Matriz!I18=5),"R3", " "), IF(AND(Matriz!H19=5,Matriz!I19=5),"R4", " "), IF(AND(Matriz!H20=5,Matriz!I20=5),"R5", " "), IF(AND(Matriz!H21=5,Matriz!I21=5),"R6", " "),IF(AND(Matriz!H22=5,Matriz!I22=5)," R7"," "),IF(AND(Matriz!H23=5,Matriz!I23=5)," R8"," "),IF(AND(Matriz!H24=5,Matriz!I24=5)," R9"," "),IF(AND(Matriz!H25=5,Matriz!I25=5)," R10"," "),IF(AND(Matriz!H26=5,Matriz!I26=5)," R11"," "),IF(AND(Matriz!H27=5,Matriz!I27=5)," R12"," "),IF(AND(Matriz!H28=5,Matriz!I28=5)," R13"," "),IF(AND(Matriz!H28=5,Matriz!I28=5)," R14"," "),IF(AND(Matriz!H29=5,Matriz!I29=5)," R15"," "))</f>
        <v xml:space="preserve">               </v>
      </c>
      <c r="J5" s="83"/>
      <c r="K5" s="83"/>
      <c r="L5" s="83"/>
      <c r="M5" s="83"/>
      <c r="N5" s="83"/>
    </row>
    <row r="6" spans="2:14" ht="42.6" customHeight="1" x14ac:dyDescent="0.2">
      <c r="B6" s="165"/>
      <c r="C6" s="82">
        <v>4</v>
      </c>
      <c r="D6" s="102" t="str">
        <f>CONCATENATE(IF(AND(Matriz!H16=4,Matriz!I16=1),"R1"," "),IF(AND(Matriz!H17=4,Matriz!I17=1),"R2"," "),IF(AND(Matriz!H18=4,Matriz!I18=1),"R3"," "),IF(AND(Matriz!H19=4,Matriz!I19=1),"R4"," "),IF(AND(Matriz!H20=4,Matriz!I20=1),"R5"," "),IF(AND(Matriz!H21=4,Matriz!I21=1),"R6"," "),IF(AND(Matriz!H22=4,Matriz!I22=1)," R7"," "),IF(AND(Matriz!H23=4,Matriz!I23=1)," R8"," "),IF(AND(Matriz!H24=4,Matriz!I24=1)," R9"," "),IF(AND(Matriz!H25=4,Matriz!I25=1)," R10"," "),IF(AND(Matriz!H26=4,Matriz!I26=1)," R11"," "),IF(AND(Matriz!H27=4,Matriz!I27=1)," R12"," "),IF(AND(Matriz!H28=4,Matriz!I28=1)," R13"," "),IF(AND(Matriz!H28=4,Matriz!I28=1)," R14"," "),IF(AND(Matriz!H29=4,Matriz!I29=1)," R15"," "))</f>
        <v xml:space="preserve">               </v>
      </c>
      <c r="E6" s="103" t="str">
        <f>CONCATENATE(  IF(AND(Matriz!H16=4,Matriz!I16=2),"R1", " "), IF(AND(Matriz!H17=4,Matriz!I17=2),"R2", " "), IF(AND(Matriz!H18=4,Matriz!I18=2),"R3", " "), IF(AND(Matriz!H19=4,Matriz!I19=2),"R4", " "), IF(AND(Matriz!H20=4,Matriz!I20=2),"R5", " "), IF(AND(Matriz!H21=4,Matriz!I21=2),"R6", " "),IF(AND(Matriz!H22=4,Matriz!I22=2)," R7"," "),IF(AND(Matriz!H23=4,Matriz!I23=2)," R8"," "),IF(AND(Matriz!H24=4,Matriz!I24=2)," R9"," "),IF(AND(Matriz!H25=4,Matriz!I25=2)," R10"," "),IF(AND(Matriz!H26=4,Matriz!I26=2)," R11"," "),IF(AND(Matriz!H27=4,Matriz!I27=2)," R12"," "),IF(AND(Matriz!H28=4,Matriz!I28=2)," R13"," "),IF(AND(Matriz!H28=4,Matriz!I28=2)," R14"," "),IF(AND(Matriz!H29=4,Matriz!I29=2)," R15"," "))</f>
        <v xml:space="preserve">               </v>
      </c>
      <c r="F6" s="103" t="str">
        <f>CONCATENATE(  IF(AND(Matriz!H16=4,Matriz!I16=3),"R1", " "), IF(AND(Matriz!H17=4,Matriz!I17=3),"R2", " "), IF(AND(Matriz!H18=4,Matriz!I18=3),"R3", " "), IF(AND(Matriz!H19=4,Matriz!I19=3),"R4", " "), IF(AND(Matriz!H20=4,Matriz!I20=3),"R5", " "), IF(AND(Matriz!H21=4,Matriz!I21=3),"R6", " "),IF(AND(Matriz!H22=4,Matriz!I22=3)," R7"," "),IF(AND(Matriz!H23=4,Matriz!I23=3)," R8"," "),IF(AND(Matriz!H24=4,Matriz!I24=3)," R9"," "),IF(AND(Matriz!H25=4,Matriz!I25=3)," R10"," "),IF(AND(Matriz!H26=4,Matriz!I26=3)," R11"," "),IF(AND(Matriz!H27=4,Matriz!I27=3)," R12"," "),IF(AND(Matriz!H28=4,Matriz!I28=3)," R13"," "),IF(AND(Matriz!H28=4,Matriz!I28=3)," R14"," "),IF(AND(Matriz!H29=4,Matriz!I29=3)," R15"," "))</f>
        <v xml:space="preserve">               </v>
      </c>
      <c r="G6" s="104" t="str">
        <f>CONCATENATE(  IF(AND(Matriz!H16=4,Matriz!I16=4),"R1", " "), IF(AND(Matriz!H17=4,Matriz!I17=4),"R2", " "), IF(AND(Matriz!H18=4,Matriz!I18=4),"R3", " "), IF(AND(Matriz!H19=4,Matriz!I19=4),"R4", " "), IF(AND(Matriz!H20=4,Matriz!I20=4),"R5", " "), IF(AND(Matriz!H21=4,Matriz!I21=4),"R6", " "),IF(AND(Matriz!H22=4,Matriz!I22=4)," R7"," "),IF(AND(Matriz!H23=4,Matriz!I23=4)," R8"," "),IF(AND(Matriz!H24=4,Matriz!I24=4)," R9"," "),IF(AND(Matriz!H25=4,Matriz!I25=4)," R10"," "),IF(AND(Matriz!H26=4,Matriz!I26=4)," R11"," "),IF(AND(Matriz!H27=4,Matriz!I27=4)," R12"," "),IF(AND(Matriz!H28=4,Matriz!I28=4)," R13"," "),IF(AND(Matriz!H28=4,Matriz!I28=4)," R14"," "),IF(AND(Matriz!H29=4,Matriz!I29=4)," R15"," "))</f>
        <v xml:space="preserve">               </v>
      </c>
      <c r="H6" s="104" t="str">
        <f>CONCATENATE(  IF(AND(Matriz!H16=4,Matriz!I16=5),"R1", " "), IF(AND(Matriz!H17=4,Matriz!I17=5),"R2", " "), IF(AND(Matriz!H18=4,Matriz!I18=5),"R3", " "), IF(AND(Matriz!H19=4,Matriz!I19=5),"R4", " "), IF(AND(Matriz!H20=4,Matriz!I20=5),"R5", " "), IF(AND(Matriz!H21=4,Matriz!I21=5),"R6", " "),IF(AND(Matriz!H22=4,Matriz!I22=5)," R7"," "),IF(AND(Matriz!H23=4,Matriz!I23=5)," R8"," "),IF(AND(Matriz!H24=4,Matriz!I24=5)," R9"," "),IF(AND(Matriz!H25=4,Matriz!I25=5)," R10"," "),IF(AND(Matriz!H26=4,Matriz!I26=5)," R11"," "),IF(AND(Matriz!H27=4,Matriz!I27=5)," R12"," "),IF(AND(Matriz!H28=4,Matriz!I28=5)," R13"," "),IF(AND(Matriz!H28=4,Matriz!I28=5)," R14"," "),IF(AND(Matriz!H29=4,Matriz!I29=5)," R15"," "))</f>
        <v xml:space="preserve">               </v>
      </c>
      <c r="J6" s="83"/>
      <c r="K6" s="83"/>
      <c r="L6" s="83"/>
      <c r="M6" s="83"/>
      <c r="N6" s="83"/>
    </row>
    <row r="7" spans="2:14" ht="42.6" customHeight="1" x14ac:dyDescent="0.2">
      <c r="B7" s="165"/>
      <c r="C7" s="82">
        <v>3</v>
      </c>
      <c r="D7" s="102" t="str">
        <f>CONCATENATE(IF(AND(Matriz!H16=3,Matriz!I16=1),"R1"," "),IF(AND(Matriz!H17=3,Matriz!I17=1),"R2"," "),IF(AND(Matriz!H18=3,Matriz!I18=1),"R3"," "),IF(AND(Matriz!H19=3,Matriz!I19=1),"R4"," "),IF(AND(Matriz!H20=3,Matriz!I20=1),"R5"," "),IF(AND(Matriz!H21=3,Matriz!I21=1),"R6"," "),IF(AND(Matriz!H22=3,Matriz!I22=1)," R7"," "),IF(AND(Matriz!H23=3,Matriz!I23=1)," R8"," "),IF(AND(Matriz!H24=3,Matriz!I24=1)," R9"," "),IF(AND(Matriz!H25=3,Matriz!I25=1)," R10"," "),IF(AND(Matriz!H26=3,Matriz!I26=1)," R11"," "),IF(AND(Matriz!H27=3,Matriz!I27=1)," R12"," "),IF(AND(Matriz!H28=3,Matriz!I28=1)," R13"," "),IF(AND(Matriz!H28=3,Matriz!I28=1)," R14"," "),IF(AND(Matriz!H29=3,Matriz!I29=1)," R15"," "))</f>
        <v xml:space="preserve">               </v>
      </c>
      <c r="E7" s="103" t="str">
        <f>CONCATENATE(  IF(AND(Matriz!H16=3,Matriz!I16=2),"R1", " "), IF(AND(Matriz!H17=3,Matriz!I17=2),"R2", " "), IF(AND(Matriz!H18=3,Matriz!I18=2),"R3", " "), IF(AND(Matriz!H19=3,Matriz!I19=2),"R4", " "), IF(AND(Matriz!H20=3,Matriz!I20=2),"R5", " "), IF(AND(Matriz!H21=3,Matriz!I21=2),"R6", " "),IF(AND(Matriz!H22=3,Matriz!I22=2)," R7"," "),IF(AND(Matriz!H23=3,Matriz!I23=2)," R8"," "),IF(AND(Matriz!H24=3,Matriz!I24=2)," R9"," "),IF(AND(Matriz!H25=3,Matriz!I25=2)," R10"," "),IF(AND(Matriz!H26=3,Matriz!I26=2)," R11"," "),IF(AND(Matriz!H27=3,Matriz!I27=2)," R12"," "),IF(AND(Matriz!H28=3,Matriz!I28=2)," R13"," "),IF(AND(Matriz!H28=3,Matriz!I28=2)," R14"," "),IF(AND(Matriz!H29=3,Matriz!I29=2)," R15"," "))</f>
        <v xml:space="preserve">               </v>
      </c>
      <c r="F7" s="103" t="str">
        <f>CONCATENATE(  IF(AND(Matriz!H16=3,Matriz!I16=3),"R1", " "), IF(AND(Matriz!H17=3,Matriz!I17=3),"R2", " "), IF(AND(Matriz!H18=3,Matriz!I18=3),"R3", " "), IF(AND(Matriz!H19=3,Matriz!I19=3),"R4", " "), IF(AND(Matriz!H20=3,Matriz!I20=3),"R5", " "), IF(AND(Matriz!H21=3,Matriz!I21=3),"R6", " "),IF(AND(Matriz!H22=3,Matriz!I22=3)," R7"," "),IF(AND(Matriz!H23=3,Matriz!I23=3)," R8"," "),IF(AND(Matriz!H24=3,Matriz!I24=3)," R9"," "),IF(AND(Matriz!H25=3,Matriz!I25=3)," R10"," "),IF(AND(Matriz!H26=3,Matriz!I26=3)," R11"," "),IF(AND(Matriz!H27=3,Matriz!I27=3)," R12"," "),IF(AND(Matriz!H28=3,Matriz!I28=3)," R13"," "),IF(AND(Matriz!H28=3,Matriz!I28=3)," R14"," "),IF(AND(Matriz!H29=3,Matriz!I29=3)," R15"," "))</f>
        <v xml:space="preserve">               </v>
      </c>
      <c r="G7" s="103" t="str">
        <f>CONCATENATE(  IF(AND(Matriz!H16=3,Matriz!I16=4),"R1", " "), IF(AND(Matriz!H17=3,Matriz!I17=4),"R2", " "), IF(AND(Matriz!H18=3,Matriz!I18=4),"R3", " "), IF(AND(Matriz!H19=3,Matriz!I19=4),"R4", " "), IF(AND(Matriz!H20=3,Matriz!I20=4),"R5", " "), IF(AND(Matriz!H21=3,Matriz!I21=4),"R6", " "),IF(AND(Matriz!H22=3,Matriz!I22=4)," R7"," "),IF(AND(Matriz!H23=3,Matriz!I23=4)," R8"," "),IF(AND(Matriz!H24=3,Matriz!I24=4)," R9"," "),IF(AND(Matriz!H25=3,Matriz!I25=4)," R10"," "),IF(AND(Matriz!H26=3,Matriz!I26=4)," R11"," "),IF(AND(Matriz!H27=3,Matriz!I27=4)," R12"," "),IF(AND(Matriz!H28=3,Matriz!I28=4)," R13"," "),IF(AND(Matriz!H28=3,Matriz!I28=4)," R14"," "),IF(AND(Matriz!H29=3,Matriz!I29=4)," R15"," "))</f>
        <v xml:space="preserve"> R2R3 R5          </v>
      </c>
      <c r="H7" s="104" t="str">
        <f>CONCATENATE(  IF(AND(Matriz!H16=3,Matriz!I16=5),"R1", " "), IF(AND(Matriz!H17=3,Matriz!I17=5),"R2", " "), IF(AND(Matriz!H18=3,Matriz!I18=5),"R3", " "), IF(AND(Matriz!H19=3,Matriz!I19=5),"R4", " "), IF(AND(Matriz!H20=3,Matriz!I20=5),"R5", " "), IF(AND(Matriz!H21=3,Matriz!I21=5),"R6", " "),IF(AND(Matriz!H22=3,Matriz!I22=5)," R7"," "),IF(AND(Matriz!H23=3,Matriz!I23=5)," R8"," "),IF(AND(Matriz!H24=3,Matriz!I24=5)," R9"," "),IF(AND(Matriz!H25=3,Matriz!I25=5)," R10"," "),IF(AND(Matriz!H26=3,Matriz!I26=5)," R11"," "),IF(AND(Matriz!H27=3,Matriz!I27=5)," R12"," "),IF(AND(Matriz!H28=3,Matriz!I28=5)," R13"," "),IF(AND(Matriz!H28=3,Matriz!I28=5)," R14"," "),IF(AND(Matriz!H29=3,Matriz!I29=5)," R15"," "))</f>
        <v xml:space="preserve">R1    R6         </v>
      </c>
      <c r="J7" s="83"/>
      <c r="K7" s="83"/>
      <c r="L7" s="83"/>
      <c r="M7" s="83"/>
      <c r="N7" s="83"/>
    </row>
    <row r="8" spans="2:14" ht="42.6" customHeight="1" x14ac:dyDescent="0.2">
      <c r="B8" s="165"/>
      <c r="C8" s="82">
        <v>2</v>
      </c>
      <c r="D8" s="102" t="str">
        <f>CONCATENATE(IF(AND(Matriz!H16=2,Matriz!I16=1),"R1"," "),IF(AND(Matriz!H17=2,Matriz!I17=1),"R2"," "),IF(AND(Matriz!H18=2,Matriz!I18=1),"R3"," "),IF(AND(Matriz!H19=2,Matriz!I19=1),"R4"," "),IF(AND(Matriz!H20=2,Matriz!I20=1),"R5"," "),IF(AND(Matriz!H21=2,Matriz!I21=1),"R6"," "),IF(AND(Matriz!H22=2,Matriz!I22=1)," R7"," "),IF(AND(Matriz!H23=2,Matriz!I23=1)," R8"," "),IF(AND(Matriz!H24=2,Matriz!I24=1)," R9"," "),IF(AND(Matriz!H25=2,Matriz!I25=1)," R10"," "),IF(AND(Matriz!H26=2,Matriz!I26=1)," R11"," "),IF(AND(Matriz!H27=2,Matriz!I27=1)," R12"," "),IF(AND(Matriz!H28=2,Matriz!I28=1)," R13"," "),IF(AND(Matriz!H28=2,Matriz!I28=1)," R14"," "),IF(AND(Matriz!H29=2,Matriz!I29=1)," R15"," "))</f>
        <v xml:space="preserve">               </v>
      </c>
      <c r="E8" s="102" t="str">
        <f>CONCATENATE(  IF(AND(Matriz!H16=2,Matriz!I16=2),"R1", " "), IF(AND(Matriz!H17=2,Matriz!I17=2),"R2", " "), IF(AND(Matriz!H18=2,Matriz!I18=2),"R3", " "), IF(AND(Matriz!H19=2,Matriz!I19=2),"R4", " "), IF(AND(Matriz!H20=2,Matriz!I20=2),"R5", " "), IF(AND(Matriz!H21=2,Matriz!I21=2),"R6", " "),IF(AND(Matriz!H22=2,Matriz!I22=2)," R7"," "),IF(AND(Matriz!H23=2,Matriz!I23=2)," R8"," "),IF(AND(Matriz!H24=2,Matriz!I24=2)," R9"," "),IF(AND(Matriz!H25=2,Matriz!I25=2)," R10"," "),IF(AND(Matriz!H26=2,Matriz!I26=2)," R11"," "),IF(AND(Matriz!H27=2,Matriz!I27=2)," R12"," "),IF(AND(Matriz!H28=2,Matriz!I28=2)," R13"," "),IF(AND(Matriz!H28=2,Matriz!I28=2)," R14"," "),IF(AND(Matriz!H29=2,Matriz!I29=2)," R15"," "))</f>
        <v xml:space="preserve">               </v>
      </c>
      <c r="F8" s="103" t="str">
        <f>CONCATENATE(  IF(AND(Matriz!H16=2,Matriz!I16=3),"R1", " "), IF(AND(Matriz!H17=2,Matriz!I17=3),"R2", " "), IF(AND(Matriz!H18=2,Matriz!I18=3),"R3", " "), IF(AND(Matriz!H19=2,Matriz!I19=3),"R4", " "), IF(AND(Matriz!H20=2,Matriz!I20=3),"R5", " "), IF(AND(Matriz!H21=2,Matriz!I21=3),"R6", " "),IF(AND(Matriz!H22=2,Matriz!I22=3)," R7"," "),IF(AND(Matriz!H23=2,Matriz!I23=3)," R8"," "),IF(AND(Matriz!H24=2,Matriz!I24=3)," R9"," "),IF(AND(Matriz!H25=2,Matriz!I25=3)," R10"," "),IF(AND(Matriz!H26=2,Matriz!I26=3)," R11"," "),IF(AND(Matriz!H27=2,Matriz!I27=3)," R12"," "),IF(AND(Matriz!H28=2,Matriz!I28=3)," R13"," "),IF(AND(Matriz!H28=2,Matriz!I28=3)," R14"," "),IF(AND(Matriz!H29=2,Matriz!I29=3)," R15"," "))</f>
        <v xml:space="preserve">   R4           </v>
      </c>
      <c r="G8" s="103" t="str">
        <f>CONCATENATE(  IF(AND(Matriz!H16=2,Matriz!I16=4),"R1", " "), IF(AND(Matriz!H17=2,Matriz!I17=4),"R2", " "), IF(AND(Matriz!H18=2,Matriz!I18=4),"R3", " "), IF(AND(Matriz!H19=2,Matriz!I19=4),"R4", " "), IF(AND(Matriz!H20=2,Matriz!I20=4),"R5", " "), IF(AND(Matriz!H21=2,Matriz!I21=4),"R6", " "),IF(AND(Matriz!H22=2,Matriz!I22=4)," R7"," "),IF(AND(Matriz!H23=2,Matriz!I23=4)," R8"," "),IF(AND(Matriz!H24=2,Matriz!I24=4)," R9"," "),IF(AND(Matriz!H25=2,Matriz!I25=4)," R10"," "),IF(AND(Matriz!H26=2,Matriz!I26=4)," R11"," "),IF(AND(Matriz!H27=2,Matriz!I27=4)," R12"," "),IF(AND(Matriz!H28=2,Matriz!I28=4)," R13"," "),IF(AND(Matriz!H28=2,Matriz!I28=4)," R14"," "),IF(AND(Matriz!H29=2,Matriz!I29=4)," R15"," "))</f>
        <v xml:space="preserve">               </v>
      </c>
      <c r="H8" s="104" t="str">
        <f>CONCATENATE(  IF(AND(Matriz!H16=2,Matriz!I16=5),"R1", " "), IF(AND(Matriz!H17=2,Matriz!I17=5),"R2", " "), IF(AND(Matriz!H18=2,Matriz!I18=5),"R3", " "), IF(AND(Matriz!H19=2,Matriz!I19=5),"R4", " "), IF(AND(Matriz!H20=2,Matriz!I20=5),"R5", " "), IF(AND(Matriz!H21=2,Matriz!I21=5),"R6", " "),IF(AND(Matriz!H22=2,Matriz!I22=5)," R7"," "),IF(AND(Matriz!H23=2,Matriz!I23=5)," R8"," "),IF(AND(Matriz!H24=2,Matriz!I24=5)," R9"," "),IF(AND(Matriz!H25=2,Matriz!I25=5)," R10"," "),IF(AND(Matriz!H26=2,Matriz!I26=5)," R11"," "),IF(AND(Matriz!H27=2,Matriz!I27=5)," R12"," "),IF(AND(Matriz!H28=2,Matriz!I28=5)," R13"," "),IF(AND(Matriz!H28=2,Matriz!I28=5)," R14"," "),IF(AND(Matriz!H29=2,Matriz!I29=5)," R15"," "))</f>
        <v xml:space="preserve">               </v>
      </c>
      <c r="J8" s="83"/>
      <c r="K8" s="83"/>
      <c r="L8" s="83"/>
      <c r="M8" s="83"/>
      <c r="N8" s="83"/>
    </row>
    <row r="9" spans="2:14" ht="42.6" customHeight="1" x14ac:dyDescent="0.2">
      <c r="B9" s="165"/>
      <c r="C9" s="82">
        <v>1</v>
      </c>
      <c r="D9" s="102" t="str">
        <f>CONCATENATE(IF(AND(Matriz!H16=1,Matriz!I16=1),"R1"," "),IF(AND(Matriz!H17=1,Matriz!I17=1),"R2"," "),IF(AND(Matriz!H18=1,Matriz!I18=1),"R3"," "),IF(AND(Matriz!H19=1,Matriz!I19=1),"R4"," "),IF(AND(Matriz!H20=1,Matriz!I20=1),"R5"," "),IF(AND(Matriz!H21=1,Matriz!I21=1),"R6"," "),IF(AND(Matriz!H22=1,Matriz!I22=1)," R7"," "),IF(AND(Matriz!H23=1,Matriz!I23=1)," R8"," "),IF(AND(Matriz!H24=1,Matriz!I24=1)," R9"," "),IF(AND(Matriz!H25=1,Matriz!I25=1)," R10"," "),IF(AND(Matriz!H26=1,Matriz!I26=1)," R11"," "),IF(AND(Matriz!H27=1,Matriz!I27=1)," R12"," "),IF(AND(Matriz!H28=1,Matriz!I28=1)," R13"," "),IF(AND(Matriz!H28=1,Matriz!I28=1)," R14"," "),IF(AND(Matriz!H29=1,Matriz!I29=1)," R15"," "))</f>
        <v xml:space="preserve">               </v>
      </c>
      <c r="E9" s="102" t="str">
        <f>CONCATENATE(  IF(AND(Matriz!H16=1,Matriz!I16=2),"R1", " "), IF(AND(Matriz!H17=1,Matriz!I17=2),"R2", " "), IF(AND(Matriz!H18=1,Matriz!I18=2),"R3", " "), IF(AND(Matriz!H19=1,Matriz!I19=2),"R4", " "), IF(AND(Matriz!H20=1,Matriz!I20=2),"R5", " "), IF(AND(Matriz!H21=1,Matriz!I21=2),"R6", " "),IF(AND(Matriz!H22=1,Matriz!I22=2)," R7"," "),IF(AND(Matriz!H23=1,Matriz!I23=2)," R8"," "),IF(AND(Matriz!H24=1,Matriz!I24=2)," R9"," "),IF(AND(Matriz!H25=1,Matriz!I25=2)," R10"," "),IF(AND(Matriz!H26=1,Matriz!I26=2)," R11"," "),IF(AND(Matriz!H27=1,Matriz!I27=2)," R12"," "),IF(AND(Matriz!H28=1,Matriz!I28=2)," R13"," "),IF(AND(Matriz!H28=1,Matriz!I28=2)," R14"," "),IF(AND(Matriz!H29=1,Matriz!I29=2)," R15"," "))</f>
        <v xml:space="preserve">               </v>
      </c>
      <c r="F9" s="102" t="str">
        <f>CONCATENATE(  IF(AND(Matriz!H16=1,Matriz!I16=3),"R1", " "), IF(AND(Matriz!H17=1,Matriz!I17=3),"R2", " "), IF(AND(Matriz!H18=1,Matriz!I18=3),"R3", " "), IF(AND(Matriz!H19=1,Matriz!I19=3),"R4", " "), IF(AND(Matriz!H20=1,Matriz!I20=3),"R5", " "), IF(AND(Matriz!H21=1,Matriz!I21=3),"R6", " "),IF(AND(Matriz!H22=1,Matriz!I22=3)," R7"," "),IF(AND(Matriz!H23=1,Matriz!I23=3)," R8"," "),IF(AND(Matriz!H24=1,Matriz!I24=3)," R9"," "),IF(AND(Matriz!H25=1,Matriz!I25=3)," R10"," "),IF(AND(Matriz!H26=1,Matriz!I26=3)," R11"," "),IF(AND(Matriz!H27=1,Matriz!I27=3)," R12"," "),IF(AND(Matriz!H28=1,Matriz!I28=3)," R13"," "),IF(AND(Matriz!H28=1,Matriz!I28=3)," R14"," "),IF(AND(Matriz!H29=1,Matriz!I29=3)," R15"," "))</f>
        <v xml:space="preserve">               </v>
      </c>
      <c r="G9" s="102" t="str">
        <f>CONCATENATE(  IF(AND(Matriz!H16=1,Matriz!I16=4),"R1", " "), IF(AND(Matriz!H17=1,Matriz!I17=4),"R2", " "), IF(AND(Matriz!H18=1,Matriz!I18=4),"R3", " "), IF(AND(Matriz!H19=1,Matriz!I19=4),"R4", " "), IF(AND(Matriz!H20=1,Matriz!I20=4),"R5", " "), IF(AND(Matriz!H21=1,Matriz!I21=4),"R6", " "),IF(AND(Matriz!H22=1,Matriz!I22=4)," R7"," "),IF(AND(Matriz!H23=1,Matriz!I23=4)," R8"," "),IF(AND(Matriz!H24=1,Matriz!I24=4)," R9"," "),IF(AND(Matriz!H25=1,Matriz!I25=4)," R10"," "),IF(AND(Matriz!H26=1,Matriz!I26=4)," R11"," "),IF(AND(Matriz!H27=1,Matriz!I27=4)," R12"," "),IF(AND(Matriz!H28=1,Matriz!I28=4)," R13"," "),IF(AND(Matriz!H28=1,Matriz!I28=4)," R14"," "),IF(AND(Matriz!H29=1,Matriz!I29=4)," R15"," "))</f>
        <v xml:space="preserve">               </v>
      </c>
      <c r="H9" s="102" t="str">
        <f>CONCATENATE(  IF(AND(Matriz!H16=1,Matriz!I16=5),"R1", " "), IF(AND(Matriz!H17=1,Matriz!I17=5),"R2", " "), IF(AND(Matriz!H18=1,Matriz!I18=5),"R3", " "), IF(AND(Matriz!H19=1,Matriz!I19=5),"R4", " "), IF(AND(Matriz!H20=1,Matriz!I20=5),"R5", " "), IF(AND(Matriz!H21=1,Matriz!I21=5),"R6", " "),IF(AND(Matriz!H22=1,Matriz!I22=5)," R7"," "),IF(AND(Matriz!H23=1,Matriz!I23=5)," R8"," "),IF(AND(Matriz!H24=1,Matriz!I24=5)," R9"," "),IF(AND(Matriz!H25=1,Matriz!I25=5)," R10"," "),IF(AND(Matriz!H26=1,Matriz!I26=5)," R11"," "),IF(AND(Matriz!H27=1,Matriz!I27=5)," R12"," "),IF(AND(Matriz!H28=1,Matriz!I28=5)," R13"," "),IF(AND(Matriz!H28=1,Matriz!I28=5)," R14"," "),IF(AND(Matriz!H29=1,Matriz!I29=5)," R15"," "))</f>
        <v xml:space="preserve">               </v>
      </c>
      <c r="J9" s="83"/>
      <c r="K9" s="83"/>
      <c r="L9" s="83"/>
      <c r="M9" s="83"/>
      <c r="N9" s="83"/>
    </row>
    <row r="10" spans="2:14" ht="42.6" customHeight="1" x14ac:dyDescent="0.2">
      <c r="C10" s="84"/>
      <c r="D10" s="85">
        <v>1</v>
      </c>
      <c r="E10" s="85">
        <v>2</v>
      </c>
      <c r="F10" s="85">
        <v>3</v>
      </c>
      <c r="G10" s="85">
        <v>4</v>
      </c>
      <c r="H10" s="85">
        <v>5</v>
      </c>
    </row>
    <row r="11" spans="2:14" x14ac:dyDescent="0.2">
      <c r="D11" s="166" t="s">
        <v>1</v>
      </c>
      <c r="E11" s="166"/>
      <c r="F11" s="166"/>
      <c r="G11" s="166"/>
      <c r="H11" s="166"/>
    </row>
  </sheetData>
  <mergeCells count="2">
    <mergeCell ref="B5:B9"/>
    <mergeCell ref="D11:H1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10"/>
  <sheetViews>
    <sheetView zoomScaleNormal="100" workbookViewId="0">
      <selection activeCell="E33" sqref="E33"/>
    </sheetView>
  </sheetViews>
  <sheetFormatPr baseColWidth="10" defaultColWidth="9.140625" defaultRowHeight="12.75" x14ac:dyDescent="0.2"/>
  <cols>
    <col min="1" max="1025" width="10.5703125" customWidth="1"/>
  </cols>
  <sheetData>
    <row r="6" spans="4:7" x14ac:dyDescent="0.2">
      <c r="D6" s="167" t="s">
        <v>59</v>
      </c>
      <c r="E6" s="167"/>
      <c r="G6" t="s">
        <v>64</v>
      </c>
    </row>
    <row r="7" spans="4:7" x14ac:dyDescent="0.2">
      <c r="D7" s="86" t="s">
        <v>67</v>
      </c>
      <c r="E7" s="86"/>
      <c r="G7" t="s">
        <v>74</v>
      </c>
    </row>
    <row r="8" spans="4:7" x14ac:dyDescent="0.2">
      <c r="D8" s="87" t="s">
        <v>75</v>
      </c>
      <c r="E8" s="87"/>
      <c r="G8" t="s">
        <v>76</v>
      </c>
    </row>
    <row r="9" spans="4:7" x14ac:dyDescent="0.2">
      <c r="D9" s="87" t="s">
        <v>77</v>
      </c>
      <c r="E9" s="87"/>
    </row>
    <row r="10" spans="4:7" x14ac:dyDescent="0.2">
      <c r="D10" s="87" t="s">
        <v>78</v>
      </c>
      <c r="E10" s="87"/>
    </row>
  </sheetData>
  <sheetProtection algorithmName="SHA-512" hashValue="92Yof/q98Qz0l03Jz4uwbgDSRgW8YmfJAg3pw1EE7BIN4dg2iPxrq1GXCmtVfB1tR/nWCd0Eo2cf06hjIpQ90A==" saltValue="aWpxacXrnR+vFubBJj5Ulw==" spinCount="100000" sheet="1" objects="1" scenarios="1"/>
  <mergeCells count="1">
    <mergeCell ref="D6:E6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Cualitativo </vt:lpstr>
      <vt:lpstr>Plan de contingencia</vt:lpstr>
      <vt:lpstr>Grafica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Cecy Tapia</cp:lastModifiedBy>
  <cp:revision>9</cp:revision>
  <dcterms:created xsi:type="dcterms:W3CDTF">2019-06-07T14:28:46Z</dcterms:created>
  <dcterms:modified xsi:type="dcterms:W3CDTF">2019-07-19T18:00:45Z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