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Simba\U.S Companies - Equity Reseach\Consumer Staples Sector\Berverage and Tobacco\Beverage Industry\Monster Beverage Corporation\Monster - Research Excel Documents\"/>
    </mc:Choice>
  </mc:AlternateContent>
  <xr:revisionPtr revIDLastSave="0" documentId="13_ncr:1_{38A4D513-DD53-47AB-807B-90A10B4A0FE1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Link" sheetId="1" r:id="rId1"/>
    <sheet name="I.S" sheetId="2" r:id="rId2"/>
    <sheet name="C.S" sheetId="9" r:id="rId3"/>
    <sheet name="B.S" sheetId="4" r:id="rId4"/>
    <sheet name="&gt;&gt;Valuation" sheetId="11" r:id="rId5"/>
    <sheet name="Working Capital Schedule" sheetId="12" r:id="rId6"/>
    <sheet name="Depreciation Schedule" sheetId="13" r:id="rId7"/>
    <sheet name="Debt Schedule" sheetId="14" r:id="rId8"/>
  </sheet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S_915d31d8-1f0c-4cba-a9ce-14e01a83d05e" name="BS" connection="Query - BS"/>
          <x15:modelTable id="CS_73cac842-794a-40fb-93e9-26b98719e39a" name="CS" connection="Query - CS"/>
          <x15:modelTable id="Table094  Page 81_7efd4b88-b247-4f4c-ab0c-caf64a209308" name="Table094  Page 81" connection="Query - Table094 (Page 81)"/>
          <x15:modelTable id="Table095  Page 81_caf20626-20e0-4a64-b738-d23680ddf7fe" name="Table095  Page 81" connection="Query - Table095 (Page 81)"/>
          <x15:modelTable id="Table096  Page 81_30793840-41c9-438b-a08c-9021021011b3" name="Table096  Page 81" connection="Query - Table096 (Page 81)"/>
          <x15:modelTable id="Table097  Page 81_22606a2c-3e48-4b4b-ac4a-5ea9098590af" name="Table097  Page 81" connection="Query - Table097 (Page 81)"/>
          <x15:modelTable id="Table098  Page 81_110e48f6-18d9-4aae-8710-8a93ad2cb2dd" name="Table098  Page 81" connection="Query - Table098 (Page 81)"/>
          <x15:modelTable id="Table105  Page 85_d9d73de4-3a99-4948-a9a9-6fcc35606746" name="Table105  Page 85" connection="Query - Table105 (Page 85)"/>
          <x15:modelTable id="Table106  Page 85_9b3f793f-17ad-4215-854e-80df8853b177" name="Table106  Page 85" connection="Query - Table106 (Page 85)"/>
          <x15:modelTable id="Table107  Page 85_fcba65d6-2df2-4414-9f98-9cad14a34fe7" name="Table107  Page 85" connection="Query - Table107 (Page 85)"/>
          <x15:modelTable id="Table108  Page 85_76279736-e7a7-44fb-b604-d07f83c0069b" name="Table108  Page 85" connection="Query - Table108 (Page 85)"/>
          <x15:modelTable id="Table109  Page 85_bb63d0bf-3178-43fb-bae3-40426cab623a" name="Table109  Page 85" connection="Query - Table109 (Page 85)"/>
          <x15:modelTable id="Table110  Page 85_8b5f2f9b-80c2-4f67-b1c8-4c0c573b21a1" name="Table110  Page 85" connection="Query - Table110 (Page 85)"/>
          <x15:modelTable id="Table099  Page 82_2db4df64-c924-4039-b724-662383c413a7" name="Table099  Page 82" connection="Query - Table099 (Page 82)"/>
          <x15:modelTable id="Table100  Page 82_fadb87d6-00cb-42f7-9254-dbb129a08616" name="Table100  Page 82" connection="Query - Table100 (Page 82)"/>
          <x15:modelTable id="Table101  Page 82_8959d3ac-2ba2-4234-abcc-531156bf8a44" name="Table101  Page 82" connection="Query - Table101 (Page 82)"/>
          <x15:modelTable id="Table066  Page 72_b663c64c-7395-4aa7-bbae-1df6ce0b94e0" name="Table066  Page 72" connection="Query - Table066 (Page 72)"/>
          <x15:modelTable id="Table067  Page 72_7da05498-c775-4aed-aaec-ff442f9e1423" name="Table067  Page 72" connection="Query - Table067 (Page 72)"/>
          <x15:modelTable id="Table068  Page 72_a9928ce9-ce67-4977-8dba-c41a3ff8b8ba" name="Table068  Page 72" connection="Query - Table068 (Page 72)"/>
          <x15:modelTable id="Table069  Page 72_f49d4dfa-d4da-482b-ad58-d8df327e5f66" name="Table069  Page 72" connection="Query - Table069 (Page 72)"/>
          <x15:modelTable id="Table070  Page 72_a0fcaa3f-0505-4295-9be4-c82c42d5ab8a" name="Table070  Page 72" connection="Query - Table070 (Page 72)"/>
          <x15:modelTable id="Table071  Page 73_7136ec6c-d9c7-4be5-91ca-5a58232cb118" name="Table071  Page 73" connection="Query - Table071 (Page 73)"/>
          <x15:modelTable id="Table072  Page 73_eb7bf19d-6152-4c4a-85cf-40d11e054165" name="Table072  Page 73" connection="Query - Table072 (Page 73)"/>
          <x15:modelTable id="Table076  Page 76_3fea6d4d-8560-4a31-a0f2-c1576455462d" name="Table076  Page 76" connection="Query - Table076 (Page 76)"/>
          <x15:modelTable id="Table077  Page 76_3ea3f45e-6d1c-4a1a-a8c3-ad1a1549054d" name="Table077  Page 76" connection="Query - Table077 (Page 76)"/>
          <x15:modelTable id="Table078  Page 76_14e8ea17-48e6-4f00-93cd-e9997ca62e5f" name="Table078  Page 76" connection="Query - Table078 (Page 76)"/>
          <x15:modelTable id="Table079  Page 76_de43e9f0-65a9-4929-b42c-f8a22fa116b4" name="Table079  Page 76" connection="Query - Table079 (Page 76)"/>
          <x15:modelTable id="Table080  Page 76_56a20a92-033c-45b5-8c76-ce5d2be2af9d" name="Table080  Page 76" connection="Query - Table080 (Page 7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F37" i="2"/>
  <c r="N2" i="2"/>
  <c r="N11" i="2"/>
  <c r="G35" i="9"/>
  <c r="G12" i="2"/>
  <c r="F15" i="2" l="1"/>
  <c r="E15" i="2"/>
  <c r="D15" i="2"/>
  <c r="C15" i="2"/>
  <c r="B15" i="2"/>
  <c r="K6" i="2"/>
  <c r="J6" i="2"/>
  <c r="I6" i="2"/>
  <c r="H6" i="2"/>
  <c r="G6" i="2"/>
  <c r="F6" i="2"/>
  <c r="E6" i="2"/>
  <c r="D6" i="2"/>
  <c r="C6" i="2"/>
  <c r="B6" i="2"/>
  <c r="G14" i="2"/>
  <c r="G10" i="2"/>
  <c r="G31" i="9" l="1"/>
  <c r="M39" i="13"/>
  <c r="L39" i="13"/>
  <c r="K39" i="13"/>
  <c r="J39" i="13"/>
  <c r="M31" i="13"/>
  <c r="L31" i="13"/>
  <c r="K31" i="13"/>
  <c r="J31" i="13"/>
  <c r="I31" i="13"/>
  <c r="K43" i="9"/>
  <c r="J43" i="9"/>
  <c r="I43" i="9"/>
  <c r="H43" i="9"/>
  <c r="G43" i="9"/>
  <c r="K27" i="14" l="1"/>
  <c r="J27" i="14"/>
  <c r="I27" i="14"/>
  <c r="H27" i="14"/>
  <c r="G27" i="14"/>
  <c r="F36" i="4"/>
  <c r="F40" i="11"/>
  <c r="G40" i="11" s="1"/>
  <c r="D40" i="11"/>
  <c r="C40" i="11" s="1"/>
  <c r="B44" i="11"/>
  <c r="B45" i="11" s="1"/>
  <c r="B53" i="11"/>
  <c r="B54" i="11" s="1"/>
  <c r="B51" i="11"/>
  <c r="B50" i="11" s="1"/>
  <c r="B42" i="11"/>
  <c r="B41" i="11" s="1"/>
  <c r="F49" i="11"/>
  <c r="G49" i="11" s="1"/>
  <c r="D49" i="11"/>
  <c r="C49" i="11" s="1"/>
  <c r="J22" i="11" l="1"/>
  <c r="M21" i="11"/>
  <c r="B35" i="11" s="1"/>
  <c r="C35" i="11" s="1"/>
  <c r="M19" i="11"/>
  <c r="M22" i="11" l="1"/>
  <c r="M23" i="11"/>
  <c r="B33" i="11" l="1"/>
  <c r="C33" i="11" s="1"/>
  <c r="M25" i="11"/>
  <c r="F16" i="4"/>
  <c r="G16" i="4" s="1"/>
  <c r="H16" i="4" s="1"/>
  <c r="I16" i="4" s="1"/>
  <c r="J16" i="4" s="1"/>
  <c r="F35" i="4" l="1"/>
  <c r="G35" i="4" s="1"/>
  <c r="H35" i="4" s="1"/>
  <c r="I35" i="4" s="1"/>
  <c r="J35" i="4" s="1"/>
  <c r="F12" i="4"/>
  <c r="G12" i="4" s="1"/>
  <c r="H12" i="4" s="1"/>
  <c r="I12" i="4" s="1"/>
  <c r="J12" i="4" s="1"/>
  <c r="F17" i="4"/>
  <c r="G17" i="4" s="1"/>
  <c r="H17" i="4" s="1"/>
  <c r="I17" i="4" s="1"/>
  <c r="J17" i="4" s="1"/>
  <c r="F15" i="4"/>
  <c r="G15" i="4" s="1"/>
  <c r="H15" i="4" s="1"/>
  <c r="I15" i="4" s="1"/>
  <c r="J15" i="4" s="1"/>
  <c r="F47" i="4"/>
  <c r="G47" i="4" s="1"/>
  <c r="H47" i="4" s="1"/>
  <c r="I47" i="4" s="1"/>
  <c r="J47" i="4" s="1"/>
  <c r="F45" i="4"/>
  <c r="G45" i="4" s="1"/>
  <c r="H45" i="4" s="1"/>
  <c r="I45" i="4" s="1"/>
  <c r="J45" i="4" s="1"/>
  <c r="F43" i="4"/>
  <c r="G43" i="4" s="1"/>
  <c r="H43" i="4" s="1"/>
  <c r="I43" i="4" s="1"/>
  <c r="J43" i="4" s="1"/>
  <c r="G17" i="14"/>
  <c r="F38" i="4"/>
  <c r="K44" i="9"/>
  <c r="J44" i="9"/>
  <c r="I44" i="9"/>
  <c r="H44" i="9"/>
  <c r="G36" i="4"/>
  <c r="K42" i="9"/>
  <c r="J42" i="9"/>
  <c r="I42" i="9"/>
  <c r="H42" i="9"/>
  <c r="G44" i="9"/>
  <c r="F37" i="4"/>
  <c r="G42" i="9"/>
  <c r="G37" i="4" l="1"/>
  <c r="H37" i="4" s="1"/>
  <c r="I37" i="4" s="1"/>
  <c r="J37" i="4" s="1"/>
  <c r="H36" i="4"/>
  <c r="H38" i="4" s="1"/>
  <c r="F30" i="4"/>
  <c r="G30" i="4" s="1"/>
  <c r="H30" i="4" s="1"/>
  <c r="I30" i="4" s="1"/>
  <c r="J30" i="4" s="1"/>
  <c r="G47" i="9"/>
  <c r="H47" i="9"/>
  <c r="I47" i="9"/>
  <c r="G38" i="4"/>
  <c r="J47" i="9"/>
  <c r="K47" i="9"/>
  <c r="F23" i="14"/>
  <c r="G20" i="14" s="1"/>
  <c r="G23" i="14" s="1"/>
  <c r="F15" i="14"/>
  <c r="G12" i="14" s="1"/>
  <c r="G15" i="14" s="1"/>
  <c r="F29" i="14"/>
  <c r="G6" i="14" s="1"/>
  <c r="I36" i="4" l="1"/>
  <c r="J36" i="4" s="1"/>
  <c r="J38" i="4" s="1"/>
  <c r="H12" i="14"/>
  <c r="H15" i="14" s="1"/>
  <c r="H16" i="14"/>
  <c r="H20" i="14"/>
  <c r="H23" i="14" s="1"/>
  <c r="H24" i="14"/>
  <c r="G24" i="14"/>
  <c r="G16" i="14"/>
  <c r="E3" i="14"/>
  <c r="F3" i="14" s="1"/>
  <c r="G3" i="14" s="1"/>
  <c r="H3" i="14" s="1"/>
  <c r="I3" i="14" s="1"/>
  <c r="J3" i="14" s="1"/>
  <c r="K3" i="14" s="1"/>
  <c r="F21" i="2"/>
  <c r="E21" i="2"/>
  <c r="D21" i="2"/>
  <c r="C21" i="2"/>
  <c r="B21" i="2"/>
  <c r="D19" i="2"/>
  <c r="C19" i="2"/>
  <c r="B19" i="2"/>
  <c r="H19" i="13"/>
  <c r="G19" i="13"/>
  <c r="F19" i="13"/>
  <c r="E19" i="13"/>
  <c r="D19" i="13"/>
  <c r="I4" i="13"/>
  <c r="M13" i="13" s="1"/>
  <c r="G3" i="13"/>
  <c r="H3" i="13" s="1"/>
  <c r="I3" i="13" s="1"/>
  <c r="J3" i="13" s="1"/>
  <c r="K3" i="13" s="1"/>
  <c r="L3" i="13" s="1"/>
  <c r="M3" i="13" s="1"/>
  <c r="I38" i="4" l="1"/>
  <c r="G28" i="14"/>
  <c r="H28" i="14"/>
  <c r="I20" i="14"/>
  <c r="I23" i="14" s="1"/>
  <c r="I24" i="14" s="1"/>
  <c r="I12" i="14"/>
  <c r="I15" i="14" s="1"/>
  <c r="I13" i="13"/>
  <c r="L13" i="13"/>
  <c r="J13" i="13"/>
  <c r="K13" i="13"/>
  <c r="E20" i="13"/>
  <c r="F20" i="13"/>
  <c r="H20" i="13"/>
  <c r="G20" i="13"/>
  <c r="J12" i="14" l="1"/>
  <c r="J15" i="14" s="1"/>
  <c r="J16" i="14" s="1"/>
  <c r="J20" i="14"/>
  <c r="J23" i="14" s="1"/>
  <c r="J24" i="14" s="1"/>
  <c r="I16" i="14"/>
  <c r="I28" i="14" s="1"/>
  <c r="F24" i="12"/>
  <c r="E24" i="12"/>
  <c r="F25" i="12" s="1"/>
  <c r="D24" i="12"/>
  <c r="E25" i="12" s="1"/>
  <c r="F22" i="12"/>
  <c r="E22" i="12"/>
  <c r="F23" i="12" s="1"/>
  <c r="D22" i="12"/>
  <c r="E23" i="12" s="1"/>
  <c r="F20" i="12"/>
  <c r="F26" i="12" s="1"/>
  <c r="E20" i="12"/>
  <c r="D20" i="12"/>
  <c r="F18" i="12"/>
  <c r="E18" i="12"/>
  <c r="D18" i="12"/>
  <c r="F16" i="12"/>
  <c r="E16" i="12"/>
  <c r="D16" i="12"/>
  <c r="F14" i="12"/>
  <c r="E14" i="12"/>
  <c r="F15" i="12" s="1"/>
  <c r="G15" i="12" s="1"/>
  <c r="D14" i="12"/>
  <c r="E15" i="12" s="1"/>
  <c r="C24" i="12"/>
  <c r="D25" i="12" s="1"/>
  <c r="G25" i="12" s="1"/>
  <c r="C22" i="12"/>
  <c r="D23" i="12" s="1"/>
  <c r="G23" i="12" s="1"/>
  <c r="C20" i="12"/>
  <c r="C18" i="12"/>
  <c r="C16" i="12"/>
  <c r="C14" i="12"/>
  <c r="F10" i="12"/>
  <c r="E10" i="12"/>
  <c r="F11" i="12" s="1"/>
  <c r="D10" i="12"/>
  <c r="E11" i="12" s="1"/>
  <c r="F8" i="12"/>
  <c r="E8" i="12"/>
  <c r="D8" i="12"/>
  <c r="C10" i="12"/>
  <c r="D11" i="12" s="1"/>
  <c r="G11" i="12" s="1"/>
  <c r="C8" i="12"/>
  <c r="F6" i="12"/>
  <c r="E6" i="12"/>
  <c r="D6" i="12"/>
  <c r="E7" i="12" s="1"/>
  <c r="C6" i="12"/>
  <c r="D7" i="12" s="1"/>
  <c r="F4" i="12"/>
  <c r="E4" i="12"/>
  <c r="F5" i="12" s="1"/>
  <c r="D4" i="12"/>
  <c r="E5" i="12" s="1"/>
  <c r="E3" i="12"/>
  <c r="F3" i="12" s="1"/>
  <c r="G3" i="12" s="1"/>
  <c r="H3" i="12" s="1"/>
  <c r="I3" i="12" s="1"/>
  <c r="J3" i="12" s="1"/>
  <c r="K3" i="12" s="1"/>
  <c r="C4" i="12"/>
  <c r="D5" i="12" s="1"/>
  <c r="G5" i="12" s="1"/>
  <c r="G57" i="9"/>
  <c r="H57" i="9" s="1"/>
  <c r="I57" i="9" s="1"/>
  <c r="J57" i="9" s="1"/>
  <c r="K57" i="9" s="1"/>
  <c r="G46" i="9"/>
  <c r="H46" i="9" s="1"/>
  <c r="I46" i="9" s="1"/>
  <c r="J46" i="9" s="1"/>
  <c r="K46" i="9" s="1"/>
  <c r="G45" i="9"/>
  <c r="F35" i="9"/>
  <c r="E35" i="9"/>
  <c r="D35" i="9"/>
  <c r="C35" i="9"/>
  <c r="B35" i="9"/>
  <c r="G10" i="9"/>
  <c r="H10" i="9" s="1"/>
  <c r="I10" i="9" s="1"/>
  <c r="J10" i="9" s="1"/>
  <c r="K10" i="9" s="1"/>
  <c r="G9" i="9"/>
  <c r="H9" i="9" s="1"/>
  <c r="I9" i="9" s="1"/>
  <c r="J9" i="9" s="1"/>
  <c r="K9" i="9" s="1"/>
  <c r="F6" i="9"/>
  <c r="G6" i="9" s="1"/>
  <c r="G5" i="9" s="1"/>
  <c r="E6" i="9"/>
  <c r="D6" i="9"/>
  <c r="C6" i="9"/>
  <c r="J28" i="14" l="1"/>
  <c r="K12" i="14"/>
  <c r="K15" i="14" s="1"/>
  <c r="K16" i="14" s="1"/>
  <c r="F12" i="12"/>
  <c r="F28" i="12" s="1"/>
  <c r="D26" i="12"/>
  <c r="F7" i="12"/>
  <c r="G7" i="12" s="1"/>
  <c r="K20" i="14"/>
  <c r="K23" i="14" s="1"/>
  <c r="K24" i="14"/>
  <c r="D15" i="12"/>
  <c r="C12" i="12"/>
  <c r="C26" i="12"/>
  <c r="E26" i="12"/>
  <c r="D12" i="12"/>
  <c r="E12" i="12"/>
  <c r="H6" i="9"/>
  <c r="I6" i="9" s="1"/>
  <c r="J6" i="9" s="1"/>
  <c r="K6" i="9" s="1"/>
  <c r="D28" i="12" l="1"/>
  <c r="K28" i="14"/>
  <c r="E28" i="12"/>
  <c r="C28" i="12"/>
  <c r="H5" i="9"/>
  <c r="I5" i="9" s="1"/>
  <c r="J5" i="9" s="1"/>
  <c r="K5" i="9" s="1"/>
  <c r="B5" i="2" l="1"/>
  <c r="B14" i="2"/>
  <c r="B30" i="2"/>
  <c r="B12" i="2"/>
  <c r="G38" i="2"/>
  <c r="G37" i="2"/>
  <c r="F14" i="2"/>
  <c r="E14" i="2"/>
  <c r="D14" i="2"/>
  <c r="C14" i="2"/>
  <c r="F12" i="2"/>
  <c r="E12" i="2"/>
  <c r="D12" i="2"/>
  <c r="C12" i="2"/>
  <c r="F10" i="2"/>
  <c r="E10" i="2"/>
  <c r="C10" i="2"/>
  <c r="G5" i="2"/>
  <c r="G2" i="2"/>
  <c r="F5" i="2"/>
  <c r="E5" i="2"/>
  <c r="D5" i="2"/>
  <c r="C5" i="2"/>
  <c r="F3" i="2"/>
  <c r="E3" i="2"/>
  <c r="D3" i="2"/>
  <c r="C3" i="2"/>
  <c r="E31" i="4"/>
  <c r="E48" i="4"/>
  <c r="D48" i="4"/>
  <c r="E38" i="4"/>
  <c r="D38" i="4"/>
  <c r="D31" i="4"/>
  <c r="E18" i="4"/>
  <c r="D18" i="4"/>
  <c r="E9" i="4"/>
  <c r="D9" i="4"/>
  <c r="C48" i="4"/>
  <c r="B48" i="4"/>
  <c r="C38" i="4"/>
  <c r="B38" i="4"/>
  <c r="C31" i="4"/>
  <c r="B31" i="4"/>
  <c r="C18" i="4"/>
  <c r="B18" i="4"/>
  <c r="C9" i="4"/>
  <c r="B9" i="4"/>
  <c r="D1" i="4"/>
  <c r="E1" i="4" s="1"/>
  <c r="F1" i="4" s="1"/>
  <c r="G1" i="4" s="1"/>
  <c r="H1" i="4" s="1"/>
  <c r="I1" i="4" s="1"/>
  <c r="J1" i="4" s="1"/>
  <c r="F47" i="9"/>
  <c r="E47" i="9"/>
  <c r="F39" i="9"/>
  <c r="E39" i="9"/>
  <c r="F26" i="9"/>
  <c r="E26" i="9"/>
  <c r="D47" i="9"/>
  <c r="C47" i="9"/>
  <c r="B47" i="9"/>
  <c r="B39" i="9"/>
  <c r="D39" i="9"/>
  <c r="C39" i="9"/>
  <c r="D26" i="9"/>
  <c r="C26" i="9"/>
  <c r="B26" i="9"/>
  <c r="G11" i="2" l="1"/>
  <c r="G15" i="2" s="1"/>
  <c r="G13" i="2"/>
  <c r="B39" i="4"/>
  <c r="G24" i="12"/>
  <c r="G25" i="9" s="1"/>
  <c r="F27" i="4" s="1"/>
  <c r="G4" i="12"/>
  <c r="G16" i="9" s="1"/>
  <c r="F5" i="4" s="1"/>
  <c r="G34" i="9"/>
  <c r="H2" i="2"/>
  <c r="G4" i="2"/>
  <c r="D19" i="4"/>
  <c r="E19" i="4"/>
  <c r="D39" i="4"/>
  <c r="D49" i="4" s="1"/>
  <c r="E39" i="4"/>
  <c r="E49" i="4" s="1"/>
  <c r="B19" i="4"/>
  <c r="C39" i="4"/>
  <c r="C49" i="4" s="1"/>
  <c r="C19" i="4"/>
  <c r="B49" i="4"/>
  <c r="H24" i="12" l="1"/>
  <c r="H25" i="9" s="1"/>
  <c r="H4" i="12"/>
  <c r="H16" i="9" s="1"/>
  <c r="G5" i="4" s="1"/>
  <c r="H34" i="9"/>
  <c r="H11" i="2"/>
  <c r="H15" i="2" s="1"/>
  <c r="H9" i="2"/>
  <c r="H13" i="2"/>
  <c r="I5" i="13"/>
  <c r="E8" i="11"/>
  <c r="G7" i="2"/>
  <c r="G14" i="12"/>
  <c r="G20" i="9" s="1"/>
  <c r="F24" i="4" s="1"/>
  <c r="G6" i="12"/>
  <c r="G17" i="9" s="1"/>
  <c r="F6" i="4" s="1"/>
  <c r="G27" i="4"/>
  <c r="H4" i="2"/>
  <c r="I2" i="2"/>
  <c r="E1" i="9"/>
  <c r="F1" i="9" s="1"/>
  <c r="G1" i="9" s="1"/>
  <c r="H1" i="9" s="1"/>
  <c r="I1" i="9" s="1"/>
  <c r="J1" i="9" s="1"/>
  <c r="K1" i="9" s="1"/>
  <c r="F7" i="2"/>
  <c r="E7" i="2"/>
  <c r="J32" i="13" l="1"/>
  <c r="L32" i="13"/>
  <c r="I32" i="13"/>
  <c r="I37" i="13" s="1"/>
  <c r="M32" i="13"/>
  <c r="K32" i="13"/>
  <c r="E12" i="9"/>
  <c r="E21" i="12"/>
  <c r="E9" i="12"/>
  <c r="E17" i="12"/>
  <c r="E19" i="12"/>
  <c r="F12" i="9"/>
  <c r="F21" i="12"/>
  <c r="F9" i="12"/>
  <c r="G9" i="12" s="1"/>
  <c r="F19" i="12"/>
  <c r="F17" i="12"/>
  <c r="J14" i="13"/>
  <c r="M14" i="13"/>
  <c r="I14" i="13"/>
  <c r="I19" i="13" s="1"/>
  <c r="L14" i="13"/>
  <c r="K14" i="13"/>
  <c r="I4" i="12"/>
  <c r="I16" i="9" s="1"/>
  <c r="H5" i="4" s="1"/>
  <c r="I24" i="12"/>
  <c r="I25" i="9" s="1"/>
  <c r="H27" i="4" s="1"/>
  <c r="I34" i="9"/>
  <c r="I11" i="2"/>
  <c r="I15" i="2" s="1"/>
  <c r="I9" i="2"/>
  <c r="I13" i="2"/>
  <c r="H7" i="2"/>
  <c r="H14" i="12"/>
  <c r="H20" i="9" s="1"/>
  <c r="H6" i="12"/>
  <c r="H17" i="9" s="1"/>
  <c r="J5" i="13"/>
  <c r="H39" i="9"/>
  <c r="F8" i="11"/>
  <c r="G6" i="4"/>
  <c r="G24" i="4"/>
  <c r="G16" i="2"/>
  <c r="G8" i="12"/>
  <c r="I4" i="2"/>
  <c r="J2" i="2"/>
  <c r="F16" i="2"/>
  <c r="F22" i="2" s="1"/>
  <c r="F23" i="2" s="1"/>
  <c r="E16" i="2"/>
  <c r="E22" i="2" s="1"/>
  <c r="E23" i="2" s="1"/>
  <c r="D9" i="2"/>
  <c r="D10" i="2" s="1"/>
  <c r="G9" i="2" s="1"/>
  <c r="I38" i="13" l="1"/>
  <c r="G19" i="2"/>
  <c r="G21" i="2" s="1"/>
  <c r="M33" i="13"/>
  <c r="K33" i="13"/>
  <c r="J33" i="13"/>
  <c r="L33" i="13"/>
  <c r="J37" i="13"/>
  <c r="K5" i="13"/>
  <c r="I39" i="9"/>
  <c r="G8" i="11"/>
  <c r="I7" i="2"/>
  <c r="I14" i="12"/>
  <c r="I20" i="9" s="1"/>
  <c r="H24" i="4" s="1"/>
  <c r="I6" i="12"/>
  <c r="I17" i="9" s="1"/>
  <c r="H6" i="4" s="1"/>
  <c r="L15" i="13"/>
  <c r="K15" i="13"/>
  <c r="J15" i="13"/>
  <c r="J19" i="13" s="1"/>
  <c r="M15" i="13"/>
  <c r="J6" i="13"/>
  <c r="G22" i="2"/>
  <c r="I20" i="13"/>
  <c r="J24" i="12"/>
  <c r="J25" i="9" s="1"/>
  <c r="I27" i="4" s="1"/>
  <c r="J4" i="12"/>
  <c r="J16" i="9" s="1"/>
  <c r="I5" i="4" s="1"/>
  <c r="J34" i="9"/>
  <c r="J11" i="2"/>
  <c r="J15" i="2" s="1"/>
  <c r="J9" i="2"/>
  <c r="J13" i="2"/>
  <c r="H16" i="2"/>
  <c r="H17" i="2" s="1"/>
  <c r="H18" i="12"/>
  <c r="H20" i="12"/>
  <c r="H8" i="12"/>
  <c r="H18" i="9" s="1"/>
  <c r="H16" i="12"/>
  <c r="H11" i="9"/>
  <c r="G17" i="2"/>
  <c r="G18" i="9"/>
  <c r="F7" i="4" s="1"/>
  <c r="K2" i="2"/>
  <c r="J4" i="2"/>
  <c r="E26" i="2"/>
  <c r="E17" i="2"/>
  <c r="F26" i="2"/>
  <c r="F17" i="2"/>
  <c r="E2" i="11"/>
  <c r="F2" i="11" s="1"/>
  <c r="G2" i="11" s="1"/>
  <c r="H2" i="11" s="1"/>
  <c r="I2" i="11" s="1"/>
  <c r="C12" i="9"/>
  <c r="B12" i="9"/>
  <c r="E5" i="11" l="1"/>
  <c r="G23" i="2"/>
  <c r="D12" i="9"/>
  <c r="D9" i="12"/>
  <c r="D21" i="12"/>
  <c r="G21" i="12" s="1"/>
  <c r="G20" i="12" s="1"/>
  <c r="G23" i="9" s="1"/>
  <c r="F28" i="4" s="1"/>
  <c r="D17" i="12"/>
  <c r="G17" i="12" s="1"/>
  <c r="G16" i="12" s="1"/>
  <c r="G21" i="9" s="1"/>
  <c r="F25" i="4" s="1"/>
  <c r="D19" i="12"/>
  <c r="G19" i="12" s="1"/>
  <c r="G18" i="12" s="1"/>
  <c r="G22" i="9" s="1"/>
  <c r="F26" i="4" s="1"/>
  <c r="M34" i="13"/>
  <c r="L34" i="13"/>
  <c r="K34" i="13"/>
  <c r="K37" i="13" s="1"/>
  <c r="H21" i="9"/>
  <c r="H23" i="9"/>
  <c r="J38" i="13"/>
  <c r="H19" i="2"/>
  <c r="G12" i="9"/>
  <c r="G11" i="9" s="1"/>
  <c r="F42" i="4" s="1"/>
  <c r="G42" i="4" s="1"/>
  <c r="L5" i="13"/>
  <c r="J39" i="9"/>
  <c r="H8" i="11"/>
  <c r="J7" i="2"/>
  <c r="J6" i="12"/>
  <c r="J17" i="9" s="1"/>
  <c r="I6" i="4" s="1"/>
  <c r="J14" i="12"/>
  <c r="J20" i="9" s="1"/>
  <c r="I24" i="4" s="1"/>
  <c r="K24" i="12"/>
  <c r="K25" i="9" s="1"/>
  <c r="J27" i="4" s="1"/>
  <c r="K4" i="12"/>
  <c r="K16" i="9" s="1"/>
  <c r="J5" i="4" s="1"/>
  <c r="K34" i="9"/>
  <c r="K11" i="2"/>
  <c r="K15" i="2" s="1"/>
  <c r="K13" i="2"/>
  <c r="K9" i="2"/>
  <c r="G7" i="4"/>
  <c r="J20" i="13"/>
  <c r="G4" i="9"/>
  <c r="M16" i="13"/>
  <c r="L16" i="13"/>
  <c r="K16" i="13"/>
  <c r="K19" i="13" s="1"/>
  <c r="K6" i="13"/>
  <c r="I16" i="2"/>
  <c r="I18" i="12"/>
  <c r="I22" i="9" s="1"/>
  <c r="I16" i="12"/>
  <c r="I21" i="9" s="1"/>
  <c r="I8" i="12"/>
  <c r="I18" i="9" s="1"/>
  <c r="I20" i="12"/>
  <c r="I23" i="9" s="1"/>
  <c r="I11" i="9"/>
  <c r="F27" i="2"/>
  <c r="F30" i="2"/>
  <c r="J25" i="11" s="1"/>
  <c r="D14" i="11" s="1"/>
  <c r="F31" i="2"/>
  <c r="E31" i="2"/>
  <c r="E30" i="2"/>
  <c r="E27" i="2"/>
  <c r="E34" i="2"/>
  <c r="K4" i="2"/>
  <c r="D7" i="2"/>
  <c r="C7" i="2"/>
  <c r="B16" i="2"/>
  <c r="H22" i="2" l="1"/>
  <c r="H21" i="2"/>
  <c r="F5" i="11"/>
  <c r="F9" i="11" s="1"/>
  <c r="H23" i="2"/>
  <c r="G28" i="4"/>
  <c r="H28" i="4" s="1"/>
  <c r="G25" i="4"/>
  <c r="H42" i="4"/>
  <c r="K38" i="13"/>
  <c r="I19" i="2"/>
  <c r="I21" i="2" s="1"/>
  <c r="B22" i="2"/>
  <c r="B23" i="2" s="1"/>
  <c r="B17" i="2"/>
  <c r="H22" i="9"/>
  <c r="G26" i="4" s="1"/>
  <c r="H26" i="4" s="1"/>
  <c r="L35" i="13"/>
  <c r="L37" i="13" s="1"/>
  <c r="M35" i="13"/>
  <c r="K20" i="13"/>
  <c r="K7" i="2"/>
  <c r="K6" i="12"/>
  <c r="K17" i="9" s="1"/>
  <c r="J6" i="4" s="1"/>
  <c r="K14" i="12"/>
  <c r="K20" i="9" s="1"/>
  <c r="J24" i="4" s="1"/>
  <c r="H4" i="9"/>
  <c r="F6" i="11" s="1"/>
  <c r="M5" i="13"/>
  <c r="M36" i="13" s="1"/>
  <c r="I8" i="11"/>
  <c r="K39" i="9"/>
  <c r="H7" i="4"/>
  <c r="H25" i="4"/>
  <c r="M17" i="13"/>
  <c r="L17" i="13"/>
  <c r="L19" i="13" s="1"/>
  <c r="J19" i="2" s="1"/>
  <c r="J21" i="2" s="1"/>
  <c r="L6" i="13"/>
  <c r="E6" i="11"/>
  <c r="F13" i="4"/>
  <c r="J16" i="2"/>
  <c r="J20" i="12"/>
  <c r="J23" i="9" s="1"/>
  <c r="J8" i="12"/>
  <c r="J18" i="9" s="1"/>
  <c r="J16" i="12"/>
  <c r="J21" i="9" s="1"/>
  <c r="J18" i="12"/>
  <c r="J22" i="9" s="1"/>
  <c r="J11" i="9"/>
  <c r="I42" i="4" s="1"/>
  <c r="I17" i="2"/>
  <c r="F32" i="2"/>
  <c r="F3" i="9"/>
  <c r="F27" i="9" s="1"/>
  <c r="F50" i="9" s="1"/>
  <c r="F34" i="2"/>
  <c r="E32" i="2"/>
  <c r="E3" i="9"/>
  <c r="E27" i="9" s="1"/>
  <c r="E50" i="9" s="1"/>
  <c r="E35" i="2"/>
  <c r="F35" i="2"/>
  <c r="C16" i="2"/>
  <c r="D16" i="2"/>
  <c r="E1" i="2"/>
  <c r="F1" i="2" s="1"/>
  <c r="G1" i="2" s="1"/>
  <c r="H1" i="2" s="1"/>
  <c r="I1" i="2" s="1"/>
  <c r="J1" i="2" s="1"/>
  <c r="K1" i="2" s="1"/>
  <c r="I22" i="2" l="1"/>
  <c r="B26" i="2"/>
  <c r="B27" i="2" s="1"/>
  <c r="G5" i="11"/>
  <c r="G9" i="11" s="1"/>
  <c r="I23" i="2"/>
  <c r="D17" i="2"/>
  <c r="D22" i="2"/>
  <c r="D23" i="2" s="1"/>
  <c r="C17" i="2"/>
  <c r="C22" i="2"/>
  <c r="I26" i="4"/>
  <c r="L38" i="13"/>
  <c r="M37" i="13"/>
  <c r="I28" i="4"/>
  <c r="J22" i="2"/>
  <c r="L20" i="13"/>
  <c r="G13" i="4"/>
  <c r="I25" i="4"/>
  <c r="I7" i="4"/>
  <c r="M6" i="13"/>
  <c r="M18" i="13"/>
  <c r="M19" i="13" s="1"/>
  <c r="I4" i="9"/>
  <c r="G6" i="11" s="1"/>
  <c r="J17" i="2"/>
  <c r="K16" i="2"/>
  <c r="C20" i="11" s="1"/>
  <c r="K16" i="12"/>
  <c r="K21" i="9" s="1"/>
  <c r="K18" i="12"/>
  <c r="K22" i="9" s="1"/>
  <c r="K8" i="12"/>
  <c r="K18" i="9" s="1"/>
  <c r="K20" i="12"/>
  <c r="K23" i="9" s="1"/>
  <c r="K11" i="9"/>
  <c r="J42" i="4" s="1"/>
  <c r="B31" i="2"/>
  <c r="B35" i="2" s="1"/>
  <c r="C26" i="2" l="1"/>
  <c r="C31" i="2" s="1"/>
  <c r="C35" i="2" s="1"/>
  <c r="C23" i="2"/>
  <c r="D26" i="2"/>
  <c r="D27" i="2" s="1"/>
  <c r="H5" i="11"/>
  <c r="H9" i="11" s="1"/>
  <c r="J23" i="2"/>
  <c r="J28" i="4"/>
  <c r="J26" i="4"/>
  <c r="M38" i="13"/>
  <c r="K19" i="2"/>
  <c r="J7" i="4"/>
  <c r="M20" i="13"/>
  <c r="J25" i="4"/>
  <c r="H13" i="4"/>
  <c r="J4" i="9"/>
  <c r="H6" i="11" s="1"/>
  <c r="K17" i="2"/>
  <c r="B34" i="2"/>
  <c r="B32" i="2"/>
  <c r="B3" i="9"/>
  <c r="B27" i="9" s="1"/>
  <c r="B50" i="9" s="1"/>
  <c r="B53" i="9" s="1"/>
  <c r="C52" i="9" s="1"/>
  <c r="C27" i="2"/>
  <c r="K22" i="2" l="1"/>
  <c r="K21" i="2"/>
  <c r="C30" i="2"/>
  <c r="D30" i="2"/>
  <c r="D31" i="2"/>
  <c r="D35" i="2" s="1"/>
  <c r="I5" i="11"/>
  <c r="I9" i="11" s="1"/>
  <c r="K23" i="2"/>
  <c r="I13" i="4"/>
  <c r="K4" i="9"/>
  <c r="I6" i="11" s="1"/>
  <c r="C32" i="2"/>
  <c r="C3" i="9"/>
  <c r="C27" i="9" s="1"/>
  <c r="C50" i="9" s="1"/>
  <c r="C53" i="9" s="1"/>
  <c r="D52" i="9" s="1"/>
  <c r="C34" i="2"/>
  <c r="D3" i="9" l="1"/>
  <c r="D27" i="9" s="1"/>
  <c r="D50" i="9" s="1"/>
  <c r="D32" i="2"/>
  <c r="D34" i="2"/>
  <c r="C19" i="11"/>
  <c r="C21" i="11" s="1"/>
  <c r="C22" i="11" s="1"/>
  <c r="B31" i="11" s="1"/>
  <c r="I39" i="13"/>
  <c r="I40" i="13" s="1"/>
  <c r="G13" i="9" s="1"/>
  <c r="E9" i="11"/>
  <c r="J13" i="4"/>
  <c r="D53" i="9"/>
  <c r="E52" i="9" s="1"/>
  <c r="E53" i="9" s="1"/>
  <c r="F52" i="9" s="1"/>
  <c r="F53" i="9" s="1"/>
  <c r="G52" i="9" s="1"/>
  <c r="F14" i="4" l="1"/>
  <c r="F18" i="4" l="1"/>
  <c r="F4" i="4"/>
  <c r="G4" i="4" s="1"/>
  <c r="H4" i="4" s="1"/>
  <c r="I4" i="4" s="1"/>
  <c r="J4" i="4" s="1"/>
  <c r="G39" i="9"/>
  <c r="J40" i="13"/>
  <c r="H13" i="9" s="1"/>
  <c r="G14" i="4" s="1"/>
  <c r="K40" i="13"/>
  <c r="I13" i="9" s="1"/>
  <c r="L40" i="13"/>
  <c r="J13" i="9" s="1"/>
  <c r="M40" i="13"/>
  <c r="K13" i="9" s="1"/>
  <c r="H14" i="4" l="1"/>
  <c r="G18" i="4"/>
  <c r="H18" i="4" l="1"/>
  <c r="I14" i="4"/>
  <c r="I18" i="4" l="1"/>
  <c r="J14" i="4"/>
  <c r="J18" i="4" s="1"/>
  <c r="E7" i="11" l="1"/>
  <c r="F7" i="11"/>
  <c r="G7" i="11"/>
  <c r="H7" i="11"/>
  <c r="I7" i="11"/>
  <c r="E10" i="11"/>
  <c r="F10" i="11"/>
  <c r="G10" i="11"/>
  <c r="H10" i="11"/>
  <c r="I10" i="11"/>
  <c r="E14" i="11"/>
  <c r="F14" i="11"/>
  <c r="G14" i="11"/>
  <c r="H14" i="11"/>
  <c r="I14" i="11"/>
  <c r="D15" i="11"/>
  <c r="C24" i="11"/>
  <c r="C26" i="11"/>
  <c r="C27" i="11"/>
  <c r="B30" i="11"/>
  <c r="C30" i="11"/>
  <c r="C31" i="11"/>
  <c r="B32" i="11"/>
  <c r="C32" i="11"/>
  <c r="B34" i="11"/>
  <c r="C34" i="11"/>
  <c r="B36" i="11"/>
  <c r="C36" i="11"/>
  <c r="B40" i="11"/>
  <c r="B49" i="11"/>
  <c r="F3" i="4"/>
  <c r="G3" i="4"/>
  <c r="H3" i="4"/>
  <c r="I3" i="4"/>
  <c r="J3" i="4"/>
  <c r="F8" i="4"/>
  <c r="G8" i="4"/>
  <c r="H8" i="4"/>
  <c r="I8" i="4"/>
  <c r="J8" i="4"/>
  <c r="F9" i="4"/>
  <c r="G9" i="4"/>
  <c r="H9" i="4"/>
  <c r="I9" i="4"/>
  <c r="J9" i="4"/>
  <c r="F19" i="4"/>
  <c r="G19" i="4"/>
  <c r="H19" i="4"/>
  <c r="I19" i="4"/>
  <c r="J19" i="4"/>
  <c r="F29" i="4"/>
  <c r="G29" i="4"/>
  <c r="H29" i="4"/>
  <c r="I29" i="4"/>
  <c r="J29" i="4"/>
  <c r="F31" i="4"/>
  <c r="G31" i="4"/>
  <c r="H31" i="4"/>
  <c r="I31" i="4"/>
  <c r="J31" i="4"/>
  <c r="F39" i="4"/>
  <c r="G39" i="4"/>
  <c r="H39" i="4"/>
  <c r="I39" i="4"/>
  <c r="J39" i="4"/>
  <c r="F44" i="4"/>
  <c r="G44" i="4"/>
  <c r="H44" i="4"/>
  <c r="I44" i="4"/>
  <c r="J44" i="4"/>
  <c r="F48" i="4"/>
  <c r="G48" i="4"/>
  <c r="H48" i="4"/>
  <c r="I48" i="4"/>
  <c r="J48" i="4"/>
  <c r="F49" i="4"/>
  <c r="G49" i="4"/>
  <c r="H49" i="4"/>
  <c r="I49" i="4"/>
  <c r="J49" i="4"/>
  <c r="G3" i="9"/>
  <c r="H3" i="9"/>
  <c r="I3" i="9"/>
  <c r="J3" i="9"/>
  <c r="K3" i="9"/>
  <c r="G19" i="9"/>
  <c r="H19" i="9"/>
  <c r="I19" i="9"/>
  <c r="J19" i="9"/>
  <c r="K19" i="9"/>
  <c r="G24" i="9"/>
  <c r="H24" i="9"/>
  <c r="I24" i="9"/>
  <c r="J24" i="9"/>
  <c r="K24" i="9"/>
  <c r="G26" i="9"/>
  <c r="H26" i="9"/>
  <c r="I26" i="9"/>
  <c r="J26" i="9"/>
  <c r="K26" i="9"/>
  <c r="G27" i="9"/>
  <c r="H27" i="9"/>
  <c r="I27" i="9"/>
  <c r="J27" i="9"/>
  <c r="K27" i="9"/>
  <c r="G50" i="9"/>
  <c r="H50" i="9"/>
  <c r="I50" i="9"/>
  <c r="J50" i="9"/>
  <c r="K50" i="9"/>
  <c r="H52" i="9"/>
  <c r="I52" i="9"/>
  <c r="J52" i="9"/>
  <c r="K52" i="9"/>
  <c r="G53" i="9"/>
  <c r="H53" i="9"/>
  <c r="I53" i="9"/>
  <c r="J53" i="9"/>
  <c r="K53" i="9"/>
  <c r="G60" i="9"/>
  <c r="H60" i="9"/>
  <c r="I60" i="9"/>
  <c r="J60" i="9"/>
  <c r="K60" i="9"/>
  <c r="H6" i="14"/>
  <c r="I6" i="14"/>
  <c r="J6" i="14"/>
  <c r="K6" i="14"/>
  <c r="G7" i="14"/>
  <c r="H7" i="14"/>
  <c r="I7" i="14"/>
  <c r="J7" i="14"/>
  <c r="K7" i="14"/>
  <c r="G9" i="14"/>
  <c r="H9" i="14"/>
  <c r="I9" i="14"/>
  <c r="J9" i="14"/>
  <c r="K9" i="14"/>
  <c r="G29" i="14"/>
  <c r="H29" i="14"/>
  <c r="I29" i="14"/>
  <c r="J29" i="14"/>
  <c r="K29" i="14"/>
  <c r="G30" i="14"/>
  <c r="H30" i="14"/>
  <c r="I30" i="14"/>
  <c r="J30" i="14"/>
  <c r="K30" i="14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9" i="2"/>
  <c r="H29" i="2"/>
  <c r="I29" i="2"/>
  <c r="J29" i="2"/>
  <c r="K29" i="2"/>
  <c r="G31" i="2"/>
  <c r="H31" i="2"/>
  <c r="I31" i="2"/>
  <c r="J31" i="2"/>
  <c r="K31" i="2"/>
  <c r="G32" i="2"/>
  <c r="H32" i="2"/>
  <c r="I32" i="2"/>
  <c r="J32" i="2"/>
  <c r="K32" i="2"/>
  <c r="G34" i="2"/>
  <c r="H34" i="2"/>
  <c r="I34" i="2"/>
  <c r="J34" i="2"/>
  <c r="K34" i="2"/>
  <c r="G35" i="2"/>
  <c r="H35" i="2"/>
  <c r="I35" i="2"/>
  <c r="J35" i="2"/>
  <c r="K35" i="2"/>
  <c r="G10" i="12"/>
  <c r="H10" i="12"/>
  <c r="I10" i="12"/>
  <c r="J10" i="12"/>
  <c r="K10" i="12"/>
  <c r="G12" i="12"/>
  <c r="H12" i="12"/>
  <c r="I12" i="12"/>
  <c r="J12" i="12"/>
  <c r="K12" i="12"/>
  <c r="G22" i="12"/>
  <c r="H22" i="12"/>
  <c r="I22" i="12"/>
  <c r="J22" i="12"/>
  <c r="K22" i="12"/>
  <c r="G26" i="12"/>
  <c r="H26" i="12"/>
  <c r="I26" i="12"/>
  <c r="J26" i="12"/>
  <c r="K26" i="12"/>
  <c r="G28" i="12"/>
  <c r="H28" i="12"/>
  <c r="I28" i="12"/>
  <c r="J28" i="12"/>
  <c r="K28" i="12"/>
  <c r="G29" i="12"/>
  <c r="H29" i="12"/>
  <c r="I29" i="12"/>
  <c r="J29" i="12"/>
  <c r="K2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  <author>acer</author>
  </authors>
  <commentList>
    <comment ref="N1" authorId="0" shapeId="0" xr:uid="{F51A7414-C94B-44B3-9F17-8D8CF7E5A01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Revenue CAGR</t>
        </r>
      </text>
    </comment>
    <comment ref="G3" authorId="0" shapeId="0" xr:uid="{E46F2D17-F706-4177-BCA2-2893BF4E807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in analysts on wall street
</t>
        </r>
        <r>
          <rPr>
            <b/>
            <sz val="9"/>
            <color indexed="81"/>
            <rFont val="Tahoma"/>
            <family val="2"/>
          </rPr>
          <t>Fool.com/Parkev</t>
        </r>
      </text>
    </comment>
    <comment ref="H3" authorId="0" shapeId="0" xr:uid="{F98D9B2D-EA71-454F-8EB3-717DFC1F178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in analysts on wall street
</t>
        </r>
        <r>
          <rPr>
            <b/>
            <sz val="9"/>
            <color indexed="81"/>
            <rFont val="Tahoma"/>
            <family val="2"/>
          </rPr>
          <t>Fool.com/Parkev</t>
        </r>
      </text>
    </comment>
    <comment ref="I3" authorId="0" shapeId="0" xr:uid="{1062B18F-CCA4-4996-82D4-37AA2FD4DF84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in analysts on wall street</t>
        </r>
        <r>
          <rPr>
            <b/>
            <sz val="9"/>
            <color indexed="81"/>
            <rFont val="Tahoma"/>
            <family val="2"/>
          </rPr>
          <t xml:space="preserve">
Fool.com/Parkev</t>
        </r>
      </text>
    </comment>
    <comment ref="J3" authorId="0" shapeId="0" xr:uid="{2C3113A7-3952-4E56-96A2-C9E9704FBF1D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Based the next two growth rates on the 2025 presentation.
https://investors.monsterbevcorp.com/events-and-presentations</t>
        </r>
      </text>
    </comment>
    <comment ref="A9" authorId="0" shapeId="0" xr:uid="{347E3BA8-EBB0-4011-A7F1-8A258292520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Page 92 2023 for further breakdown.
&amp;
Page 81 2025 for further breakdown.</t>
        </r>
      </text>
    </comment>
    <comment ref="N10" authorId="0" shapeId="0" xr:uid="{24EC44F0-62BC-4B67-A9DB-6B02A6A746A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Advertising CAGR</t>
        </r>
      </text>
    </comment>
    <comment ref="A16" authorId="1" shapeId="0" xr:uid="{5B29AD03-8343-43F0-82D1-7FF3ADD0F0B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Find Depreciation</t>
        </r>
      </text>
    </comment>
    <comment ref="A20" authorId="0" shapeId="0" xr:uid="{C6F607FC-4FBB-4699-B08E-FD83016C5F5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Page 106 - 2023 document
Page 90 -2025 document
</t>
        </r>
      </text>
    </comment>
    <comment ref="G30" authorId="0" shapeId="0" xr:uid="{068B34DE-77D3-4FB2-9241-F6DF509AE00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Corporate Tax Rate 21%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G31" authorId="0" shapeId="0" xr:uid="{5A26EBE2-C7E2-4E2B-88B8-ED9459076912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Choosing a more conservative approach</t>
        </r>
      </text>
    </comment>
    <comment ref="G35" authorId="0" shapeId="0" xr:uid="{8F9CF543-73FC-4BE7-9979-2E78D956888B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More conservative approach on capex spending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  <author>acer</author>
  </authors>
  <commentList>
    <comment ref="J19" authorId="0" shapeId="0" xr:uid="{E7CAE471-2F91-42A7-B419-990FC280D4E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Link: https://home.treasury.gov/resource-center/data-chart-center/interest-rates/TextView?type=daily_treasury_yield_curve&amp;field_tdr_date_value=2025
30yr bond yield</t>
        </r>
      </text>
    </comment>
    <comment ref="J20" authorId="0" shapeId="0" xr:uid="{D51F2880-846D-44F3-A503-A381BEFDCDE2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https://pages.stern.nyu.edu/~adamodar/
- Data
- Current data
- Risk/Discount Rate
Go to discount rate estimation 
- Risk premiums for other markets</t>
        </r>
      </text>
    </comment>
    <comment ref="J21" authorId="0" shapeId="0" xr:uid="{9E4A1F82-8B2A-4163-8E34-88D497E59EE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Yahoo Finance: 0.53 (5yr)
Bloomberg:</t>
        </r>
      </text>
    </comment>
    <comment ref="K23" authorId="1" shapeId="0" xr:uid="{43C8E20A-4ACD-4A23-AFA7-8A8F7C232D0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Total Debt + Non controlling interest + Redeemable noncontrolling interest - Cash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I23" authorId="0" shapeId="0" xr:uid="{889B8BF6-5033-4CB0-9C3B-C847B12D871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MACRS (Modified Accelerated Cost Recovery System) - USA - 2025
Page 87
This method would be useful for deferred taxes purposes. Show significant or higher depreciation - lower EBIT therefore less profts to tax and more cash on hand. However, more taxes would be paid in the future, as depreciation is less.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G8" authorId="0" shapeId="0" xr:uid="{BA4DB27D-62BA-421C-BC1B-AB007A8C3045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They kept at least $1m so that is my minimum cash cushion</t>
        </r>
      </text>
    </comment>
    <comment ref="G31" authorId="0" shapeId="0" xr:uid="{7E916F72-5537-46F7-842A-162780E22099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Use CHTGPT. Interest on cash - it is supposed to be 3.5 but you took a more conservative approach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3E6F3-E2B4-4576-94C1-F0267060CEF0}" name="Query - BS" description="Connection to the 'BS' query in the workbook." type="100" refreshedVersion="8" minRefreshableVersion="5">
    <extLst>
      <ext xmlns:x15="http://schemas.microsoft.com/office/spreadsheetml/2010/11/main" uri="{DE250136-89BD-433C-8126-D09CA5730AF9}">
        <x15:connection id="b3bd988d-77dd-4827-8110-0d169f90cfab"/>
      </ext>
    </extLst>
  </connection>
  <connection id="2" xr16:uid="{9C01DD19-FA8E-4E50-AA46-748E0160ABA9}" name="Query - CS" description="Connection to the 'CS' query in the workbook." type="100" refreshedVersion="8" minRefreshableVersion="5">
    <extLst>
      <ext xmlns:x15="http://schemas.microsoft.com/office/spreadsheetml/2010/11/main" uri="{DE250136-89BD-433C-8126-D09CA5730AF9}">
        <x15:connection id="498c8bc1-ad31-4921-94bb-f9478dbf4ec8"/>
      </ext>
    </extLst>
  </connection>
  <connection id="3" xr16:uid="{EEFB21A4-5411-4B45-BFCD-FFE5ECB8B919}" keepAlive="1" name="Query - IS" description="Connection to the 'IS' query in the workbook." type="5" refreshedVersion="8" background="1" saveData="1">
    <dbPr connection="Provider=Microsoft.Mashup.OleDb.1;Data Source=$Workbook$;Location=IS;Extended Properties=&quot;&quot;" command="SELECT * FROM [IS]"/>
  </connection>
  <connection id="4" xr16:uid="{BB0A4984-7442-482A-BEAA-D87E45144CE4}" name="Query - Table066 (Page 72)" description="Connection to the 'Table066 (Page 72)' query in the workbook." type="100" refreshedVersion="8" minRefreshableVersion="5">
    <extLst>
      <ext xmlns:x15="http://schemas.microsoft.com/office/spreadsheetml/2010/11/main" uri="{DE250136-89BD-433C-8126-D09CA5730AF9}">
        <x15:connection id="f2b8bf4b-4afb-4dcc-bb3c-ea6a9e9b217d"/>
      </ext>
    </extLst>
  </connection>
  <connection id="5" xr16:uid="{DB618A94-BB39-4EA6-9D98-1BC9D22BF351}" name="Query - Table067 (Page 72)" description="Connection to the 'Table067 (Page 72)' query in the workbook." type="100" refreshedVersion="8" minRefreshableVersion="5">
    <extLst>
      <ext xmlns:x15="http://schemas.microsoft.com/office/spreadsheetml/2010/11/main" uri="{DE250136-89BD-433C-8126-D09CA5730AF9}">
        <x15:connection id="f97bb3c6-87d6-4907-a7b6-c19b84cadc29"/>
      </ext>
    </extLst>
  </connection>
  <connection id="6" xr16:uid="{C934E036-EAB5-4B70-AE1B-A0E8CED6E417}" name="Query - Table068 (Page 72)" description="Connection to the 'Table068 (Page 72)' query in the workbook." type="100" refreshedVersion="8" minRefreshableVersion="5">
    <extLst>
      <ext xmlns:x15="http://schemas.microsoft.com/office/spreadsheetml/2010/11/main" uri="{DE250136-89BD-433C-8126-D09CA5730AF9}">
        <x15:connection id="f24a309f-bd73-4517-982c-8d65c9614e9c"/>
      </ext>
    </extLst>
  </connection>
  <connection id="7" xr16:uid="{D1D5DF5F-A547-45EC-B566-ED9512C0ADB8}" name="Query - Table069 (Page 72)" description="Connection to the 'Table069 (Page 72)' query in the workbook." type="100" refreshedVersion="8" minRefreshableVersion="5">
    <extLst>
      <ext xmlns:x15="http://schemas.microsoft.com/office/spreadsheetml/2010/11/main" uri="{DE250136-89BD-433C-8126-D09CA5730AF9}">
        <x15:connection id="cb9bb4d1-3d3f-46b0-a650-71160fe0efdf"/>
      </ext>
    </extLst>
  </connection>
  <connection id="8" xr16:uid="{BB74E9C6-641A-4B18-A8AA-EC0704F79E1C}" name="Query - Table070 (Page 72)" description="Connection to the 'Table070 (Page 72)' query in the workbook." type="100" refreshedVersion="8" minRefreshableVersion="5">
    <extLst>
      <ext xmlns:x15="http://schemas.microsoft.com/office/spreadsheetml/2010/11/main" uri="{DE250136-89BD-433C-8126-D09CA5730AF9}">
        <x15:connection id="aae4ec7b-152c-4e11-a090-22a0addcf4e4"/>
      </ext>
    </extLst>
  </connection>
  <connection id="9" xr16:uid="{6DFA577A-5F08-4C2F-8BC3-791AA3F00FE3}" name="Query - Table071 (Page 73)" description="Connection to the 'Table071 (Page 73)' query in the workbook." type="100" refreshedVersion="8" minRefreshableVersion="5">
    <extLst>
      <ext xmlns:x15="http://schemas.microsoft.com/office/spreadsheetml/2010/11/main" uri="{DE250136-89BD-433C-8126-D09CA5730AF9}">
        <x15:connection id="046dd203-3b0e-4637-8b04-2382889c9906"/>
      </ext>
    </extLst>
  </connection>
  <connection id="10" xr16:uid="{CD6354CC-BA6C-4CF7-9E1B-867962574566}" name="Query - Table072 (Page 73)" description="Connection to the 'Table072 (Page 73)' query in the workbook." type="100" refreshedVersion="8" minRefreshableVersion="5">
    <extLst>
      <ext xmlns:x15="http://schemas.microsoft.com/office/spreadsheetml/2010/11/main" uri="{DE250136-89BD-433C-8126-D09CA5730AF9}">
        <x15:connection id="4562b22d-47a9-4393-9e21-2f4034dbc627"/>
      </ext>
    </extLst>
  </connection>
  <connection id="11" xr16:uid="{078D93FF-82D4-4455-9D73-DD2073C51BBA}" name="Query - Table076 (Page 76)" description="Connection to the 'Table076 (Page 76)' query in the workbook." type="100" refreshedVersion="8" minRefreshableVersion="5">
    <extLst>
      <ext xmlns:x15="http://schemas.microsoft.com/office/spreadsheetml/2010/11/main" uri="{DE250136-89BD-433C-8126-D09CA5730AF9}">
        <x15:connection id="9c92c53e-3b41-4ba3-80fc-2ba783f13345"/>
      </ext>
    </extLst>
  </connection>
  <connection id="12" xr16:uid="{82C18A34-DECF-4F97-857B-074D91E6959A}" name="Query - Table077 (Page 76)" description="Connection to the 'Table077 (Page 76)' query in the workbook." type="100" refreshedVersion="8" minRefreshableVersion="5">
    <extLst>
      <ext xmlns:x15="http://schemas.microsoft.com/office/spreadsheetml/2010/11/main" uri="{DE250136-89BD-433C-8126-D09CA5730AF9}">
        <x15:connection id="27cdb587-2b18-4c11-8b78-3d81959eac67"/>
      </ext>
    </extLst>
  </connection>
  <connection id="13" xr16:uid="{951C8C71-B1EC-4FD6-939F-423E259B0775}" name="Query - Table078 (Page 76)" description="Connection to the 'Table078 (Page 76)' query in the workbook." type="100" refreshedVersion="8" minRefreshableVersion="5">
    <extLst>
      <ext xmlns:x15="http://schemas.microsoft.com/office/spreadsheetml/2010/11/main" uri="{DE250136-89BD-433C-8126-D09CA5730AF9}">
        <x15:connection id="c8fe5ab9-195a-41a6-98c5-52f2edc05caa"/>
      </ext>
    </extLst>
  </connection>
  <connection id="14" xr16:uid="{3ECDCFAE-03D1-42ED-9CF1-AA1D40F58FC3}" name="Query - Table079 (Page 76)" description="Connection to the 'Table079 (Page 76)' query in the workbook." type="100" refreshedVersion="8" minRefreshableVersion="5">
    <extLst>
      <ext xmlns:x15="http://schemas.microsoft.com/office/spreadsheetml/2010/11/main" uri="{DE250136-89BD-433C-8126-D09CA5730AF9}">
        <x15:connection id="cbcc1b78-5abd-4604-b8dc-6af381fc0163"/>
      </ext>
    </extLst>
  </connection>
  <connection id="15" xr16:uid="{029E205B-0631-45F8-82EC-AB02F8246317}" name="Query - Table080 (Page 76)" description="Connection to the 'Table080 (Page 76)' query in the workbook." type="100" refreshedVersion="8" minRefreshableVersion="5">
    <extLst>
      <ext xmlns:x15="http://schemas.microsoft.com/office/spreadsheetml/2010/11/main" uri="{DE250136-89BD-433C-8126-D09CA5730AF9}">
        <x15:connection id="0c1a04ce-59f3-4142-84a9-38859b090652"/>
      </ext>
    </extLst>
  </connection>
  <connection id="16" xr16:uid="{5C1E2190-6A29-4D0D-8295-65954D0ECE92}" name="Query - Table094 (Page 81)" description="Connection to the 'Table094 (Page 81)' query in the workbook." type="100" refreshedVersion="8" minRefreshableVersion="5">
    <extLst>
      <ext xmlns:x15="http://schemas.microsoft.com/office/spreadsheetml/2010/11/main" uri="{DE250136-89BD-433C-8126-D09CA5730AF9}">
        <x15:connection id="a6752531-6de4-41ea-91d7-378d64d8ed25"/>
      </ext>
    </extLst>
  </connection>
  <connection id="17" xr16:uid="{1D6E6CBF-5B50-414F-9AA9-8F36A5135B27}" name="Query - Table095 (Page 81)" description="Connection to the 'Table095 (Page 81)' query in the workbook." type="100" refreshedVersion="8" minRefreshableVersion="5">
    <extLst>
      <ext xmlns:x15="http://schemas.microsoft.com/office/spreadsheetml/2010/11/main" uri="{DE250136-89BD-433C-8126-D09CA5730AF9}">
        <x15:connection id="1115bf93-b692-42b7-bcf1-08decc2c45be"/>
      </ext>
    </extLst>
  </connection>
  <connection id="18" xr16:uid="{9A82E57C-F786-495E-9702-AEBDC66020FC}" name="Query - Table096 (Page 81)" description="Connection to the 'Table096 (Page 81)' query in the workbook." type="100" refreshedVersion="8" minRefreshableVersion="5">
    <extLst>
      <ext xmlns:x15="http://schemas.microsoft.com/office/spreadsheetml/2010/11/main" uri="{DE250136-89BD-433C-8126-D09CA5730AF9}">
        <x15:connection id="431d3154-c514-441d-9635-bdb51e1e9783"/>
      </ext>
    </extLst>
  </connection>
  <connection id="19" xr16:uid="{F592D730-6648-44BB-93F1-AF9686699928}" name="Query - Table097 (Page 81)" description="Connection to the 'Table097 (Page 81)' query in the workbook." type="100" refreshedVersion="8" minRefreshableVersion="5">
    <extLst>
      <ext xmlns:x15="http://schemas.microsoft.com/office/spreadsheetml/2010/11/main" uri="{DE250136-89BD-433C-8126-D09CA5730AF9}">
        <x15:connection id="7f5c8d7e-871f-481f-b863-98ace84cbb59"/>
      </ext>
    </extLst>
  </connection>
  <connection id="20" xr16:uid="{F79ADEAC-3DD8-45C1-AAC1-5F235785DF8D}" name="Query - Table098 (Page 81)" description="Connection to the 'Table098 (Page 81)' query in the workbook." type="100" refreshedVersion="8" minRefreshableVersion="5">
    <extLst>
      <ext xmlns:x15="http://schemas.microsoft.com/office/spreadsheetml/2010/11/main" uri="{DE250136-89BD-433C-8126-D09CA5730AF9}">
        <x15:connection id="d87e66d8-a2b3-4b9a-a959-34bb64064425"/>
      </ext>
    </extLst>
  </connection>
  <connection id="21" xr16:uid="{064C88D1-2D99-49D1-990B-C2B0D574CB41}" name="Query - Table099 (Page 82)" description="Connection to the 'Table099 (Page 82)' query in the workbook." type="100" refreshedVersion="8" minRefreshableVersion="5">
    <extLst>
      <ext xmlns:x15="http://schemas.microsoft.com/office/spreadsheetml/2010/11/main" uri="{DE250136-89BD-433C-8126-D09CA5730AF9}">
        <x15:connection id="2d2d4e99-6767-4d32-ac02-ff2a0ddac94c"/>
      </ext>
    </extLst>
  </connection>
  <connection id="22" xr16:uid="{9F4F26D2-137A-4FE4-8D1E-5BC617235AA9}" name="Query - Table100 (Page 82)" description="Connection to the 'Table100 (Page 82)' query in the workbook." type="100" refreshedVersion="8" minRefreshableVersion="5">
    <extLst>
      <ext xmlns:x15="http://schemas.microsoft.com/office/spreadsheetml/2010/11/main" uri="{DE250136-89BD-433C-8126-D09CA5730AF9}">
        <x15:connection id="3e836b98-2a1d-4785-8192-a8e5ceec27f2"/>
      </ext>
    </extLst>
  </connection>
  <connection id="23" xr16:uid="{D33A3BF1-44E0-4975-AD4B-479F2AEF77CE}" name="Query - Table101 (Page 82)" description="Connection to the 'Table101 (Page 82)' query in the workbook." type="100" refreshedVersion="8" minRefreshableVersion="5">
    <extLst>
      <ext xmlns:x15="http://schemas.microsoft.com/office/spreadsheetml/2010/11/main" uri="{DE250136-89BD-433C-8126-D09CA5730AF9}">
        <x15:connection id="fc70bf1d-fd00-4067-b029-6f59104cf9c2"/>
      </ext>
    </extLst>
  </connection>
  <connection id="24" xr16:uid="{8ECC0EA2-FF9A-4B06-927B-5010506A4A2B}" name="Query - Table105 (Page 85)" description="Connection to the 'Table105 (Page 85)' query in the workbook." type="100" refreshedVersion="8" minRefreshableVersion="5">
    <extLst>
      <ext xmlns:x15="http://schemas.microsoft.com/office/spreadsheetml/2010/11/main" uri="{DE250136-89BD-433C-8126-D09CA5730AF9}">
        <x15:connection id="26b06db2-a679-43ca-933c-7eee47f63990"/>
      </ext>
    </extLst>
  </connection>
  <connection id="25" xr16:uid="{92A09F68-E944-4A0A-896D-A95CAF243C55}" name="Query - Table106 (Page 85)" description="Connection to the 'Table106 (Page 85)' query in the workbook." type="100" refreshedVersion="8" minRefreshableVersion="5">
    <extLst>
      <ext xmlns:x15="http://schemas.microsoft.com/office/spreadsheetml/2010/11/main" uri="{DE250136-89BD-433C-8126-D09CA5730AF9}">
        <x15:connection id="6b55e8df-2a39-4db3-8dbe-d2079a764e19"/>
      </ext>
    </extLst>
  </connection>
  <connection id="26" xr16:uid="{99045A80-9302-477A-BF21-ECEFD25548AC}" name="Query - Table107 (Page 85)" description="Connection to the 'Table107 (Page 85)' query in the workbook." type="100" refreshedVersion="8" minRefreshableVersion="5">
    <extLst>
      <ext xmlns:x15="http://schemas.microsoft.com/office/spreadsheetml/2010/11/main" uri="{DE250136-89BD-433C-8126-D09CA5730AF9}">
        <x15:connection id="4700960f-a081-4041-ba30-661617bc67f1"/>
      </ext>
    </extLst>
  </connection>
  <connection id="27" xr16:uid="{0EBE1D95-5B56-4FDE-B20B-1B0080C7EEA9}" name="Query - Table108 (Page 85)" description="Connection to the 'Table108 (Page 85)' query in the workbook." type="100" refreshedVersion="8" minRefreshableVersion="5">
    <extLst>
      <ext xmlns:x15="http://schemas.microsoft.com/office/spreadsheetml/2010/11/main" uri="{DE250136-89BD-433C-8126-D09CA5730AF9}">
        <x15:connection id="e5ea8903-a50b-42ca-b0dc-2f7b45b3f16f"/>
      </ext>
    </extLst>
  </connection>
  <connection id="28" xr16:uid="{CBC9AA0C-26EA-4199-8625-E9E94AFB012C}" name="Query - Table109 (Page 85)" description="Connection to the 'Table109 (Page 85)' query in the workbook." type="100" refreshedVersion="8" minRefreshableVersion="5">
    <extLst>
      <ext xmlns:x15="http://schemas.microsoft.com/office/spreadsheetml/2010/11/main" uri="{DE250136-89BD-433C-8126-D09CA5730AF9}">
        <x15:connection id="a59b2585-25b1-4037-a517-4725fad7f478"/>
      </ext>
    </extLst>
  </connection>
  <connection id="29" xr16:uid="{53526C51-38FB-4AFE-97FB-1687828AC8A0}" name="Query - Table110 (Page 85)" description="Connection to the 'Table110 (Page 85)' query in the workbook." type="100" refreshedVersion="8" minRefreshableVersion="5">
    <extLst>
      <ext xmlns:x15="http://schemas.microsoft.com/office/spreadsheetml/2010/11/main" uri="{DE250136-89BD-433C-8126-D09CA5730AF9}">
        <x15:connection id="08202a85-c3f3-421d-bfdf-69cf8c70513e"/>
      </ext>
    </extLst>
  </connection>
  <connection id="30" xr16:uid="{8BEBD410-2243-4237-A897-2BDF6B01836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<sst xmlns="http://schemas.openxmlformats.org/spreadsheetml/2006/main" count="273" uniqueCount="216">
  <si>
    <t>Revenue</t>
  </si>
  <si>
    <t>Cost of sales</t>
  </si>
  <si>
    <t>Gross margin</t>
  </si>
  <si>
    <t>Assets</t>
  </si>
  <si>
    <t>Property, plant and equipment</t>
  </si>
  <si>
    <t>Cash and cash equivalents</t>
  </si>
  <si>
    <t>Liabilities and equity</t>
  </si>
  <si>
    <t>Non‑current liabilities</t>
  </si>
  <si>
    <t>Current liabilities</t>
  </si>
  <si>
    <t>OPERATING ACTIVITIES</t>
  </si>
  <si>
    <t>Cash from operations before changes in working capital</t>
  </si>
  <si>
    <t>Change in working capital</t>
  </si>
  <si>
    <t>INVESTING ACTIVITIES</t>
  </si>
  <si>
    <t>NET INCREASE/(DECREASE) IN CASH AND CASH EQUIVALENTS (I+II+III+IV)</t>
  </si>
  <si>
    <t>CASH AND CASH EQUIVALENTS AT BEGINNING OF PERIOD</t>
  </si>
  <si>
    <t>CASH AND CASH EQUIVALENTS AT END OF PERIOD</t>
  </si>
  <si>
    <t>Unlevered Free Cash Flow</t>
  </si>
  <si>
    <t>EBIT</t>
  </si>
  <si>
    <t>Depreciation &amp; Amortization</t>
  </si>
  <si>
    <t>Changes in Capital</t>
  </si>
  <si>
    <t>Capital Expenditure</t>
  </si>
  <si>
    <t>Taxes</t>
  </si>
  <si>
    <t>Total Unlevered Free Cash Flow</t>
  </si>
  <si>
    <t>Net Present Value Calculation</t>
  </si>
  <si>
    <t>Period</t>
  </si>
  <si>
    <t>Discounted Cash Flow</t>
  </si>
  <si>
    <t>Total Net Present Value</t>
  </si>
  <si>
    <t>Terminal Value</t>
  </si>
  <si>
    <t>EBITDA Method</t>
  </si>
  <si>
    <t>Cost of Capital</t>
  </si>
  <si>
    <t>Exit Year EBITDA</t>
  </si>
  <si>
    <t>Risk Free Rate</t>
  </si>
  <si>
    <t>Debt YE 2019</t>
  </si>
  <si>
    <t>Multiple</t>
  </si>
  <si>
    <t>Market Risk Premium</t>
  </si>
  <si>
    <t>Stock Price</t>
  </si>
  <si>
    <t>Beta</t>
  </si>
  <si>
    <t>Shares Outstanding</t>
  </si>
  <si>
    <t>Net Present Value</t>
  </si>
  <si>
    <t xml:space="preserve">Cost of Equity </t>
  </si>
  <si>
    <t>Equity Value</t>
  </si>
  <si>
    <t>Perpetuity Method</t>
  </si>
  <si>
    <t>Cost of Debt</t>
  </si>
  <si>
    <t>Growth Rate</t>
  </si>
  <si>
    <t>WACC</t>
  </si>
  <si>
    <t>Discounted Cash Flow Total Valuable</t>
  </si>
  <si>
    <t>Total of Present Value of Cash Flows</t>
  </si>
  <si>
    <t>Present Value of Terminal Value</t>
  </si>
  <si>
    <t>Total Enterprise Value</t>
  </si>
  <si>
    <t>Net Debt Non-controlling interests, preferred securities</t>
  </si>
  <si>
    <t>Share Count (millions)</t>
  </si>
  <si>
    <t>Estimated Equity Value per Share</t>
  </si>
  <si>
    <t>Operating Working Capital</t>
  </si>
  <si>
    <t>DCF (30/09/2025)</t>
  </si>
  <si>
    <t xml:space="preserve">Inventory </t>
  </si>
  <si>
    <t>Inventory Processing Period</t>
  </si>
  <si>
    <t xml:space="preserve">Accounts Recievable </t>
  </si>
  <si>
    <t>Accounts Recievable Collection Period</t>
  </si>
  <si>
    <t>Current Assets</t>
  </si>
  <si>
    <t>Accounts Payable</t>
  </si>
  <si>
    <t>Accounts Payable - Payable Period</t>
  </si>
  <si>
    <t>Current Liabilities</t>
  </si>
  <si>
    <t>Total working capital</t>
  </si>
  <si>
    <t>Match (Y/N)</t>
  </si>
  <si>
    <t>Historical</t>
  </si>
  <si>
    <t>Projections</t>
  </si>
  <si>
    <t>Period Ending September</t>
  </si>
  <si>
    <t>PP&amp;E in Jan</t>
  </si>
  <si>
    <t>Straight line Depreciation Years</t>
  </si>
  <si>
    <t>Years:</t>
  </si>
  <si>
    <t>CAPEX</t>
  </si>
  <si>
    <t>Depreciation</t>
  </si>
  <si>
    <t>Existing PP &amp;E</t>
  </si>
  <si>
    <t>2026E CAPEX</t>
  </si>
  <si>
    <t>2027E CAPEX</t>
  </si>
  <si>
    <t>2028E CAPEX</t>
  </si>
  <si>
    <t>Total book depreciation</t>
  </si>
  <si>
    <t>Accelerated Depreciation (%)</t>
  </si>
  <si>
    <t>Total Tax Depreciation</t>
  </si>
  <si>
    <t>Difference in depreciation</t>
  </si>
  <si>
    <t>Tax rate %</t>
  </si>
  <si>
    <t>Deferred taxes</t>
  </si>
  <si>
    <t>Debt Schedule</t>
  </si>
  <si>
    <t>Actuals</t>
  </si>
  <si>
    <t>Cash available to pay down debt</t>
  </si>
  <si>
    <t>Cash at beginning of year</t>
  </si>
  <si>
    <t>Cash flow before debt paydown</t>
  </si>
  <si>
    <t>Minimum cash cushion</t>
  </si>
  <si>
    <t>Total cash available to pay down debt</t>
  </si>
  <si>
    <t>Short term debt (beginning of year)</t>
  </si>
  <si>
    <t>Mandatory issuances/ (retirements)</t>
  </si>
  <si>
    <t>Non-mandatory issuances / (retirements)</t>
  </si>
  <si>
    <t>Short term debt (end of year)</t>
  </si>
  <si>
    <t>Short term interest expense</t>
  </si>
  <si>
    <t>Short term interest rate</t>
  </si>
  <si>
    <t>Total issuances/(retirements)</t>
  </si>
  <si>
    <t>Total interest expense</t>
  </si>
  <si>
    <t>Cash at the end of the year</t>
  </si>
  <si>
    <t>Interest Income</t>
  </si>
  <si>
    <t>Interest rate</t>
  </si>
  <si>
    <t>Total Operating Costs</t>
  </si>
  <si>
    <t>EBITDA</t>
  </si>
  <si>
    <t>FINANCING ACTIVITIES</t>
  </si>
  <si>
    <t>EFFECT OF EXCHANGE RATE CHANGES</t>
  </si>
  <si>
    <t>Long-Term Assets</t>
  </si>
  <si>
    <t>Total Long Term Assets</t>
  </si>
  <si>
    <t>Total Assets</t>
  </si>
  <si>
    <t>Long-Term Liabilities</t>
  </si>
  <si>
    <t>Total Liabilities</t>
  </si>
  <si>
    <t>https://investors.monsterbevcorp.com/financial-information/sec-filings?field_nir_sec_form_group_target_id%5B%5D=471&amp;field_nir_sec_date_filed_value=&amp;filter_type=&amp;relative_date_range_after=&amp;relative_date_range_before=&amp;exact_date_range_after=&amp;exact_date_range_before=#views-exposed-form-widget-sec-filings-table#views-exposed-form-widget-sec-filings-table</t>
  </si>
  <si>
    <t>Short-term investments</t>
  </si>
  <si>
    <t>Accounts receivable, net</t>
  </si>
  <si>
    <t>Inventories</t>
  </si>
  <si>
    <t>Prepaid expenses and other current assets</t>
  </si>
  <si>
    <t>Prepaid income taxes</t>
  </si>
  <si>
    <t>Total current assets</t>
  </si>
  <si>
    <t>INVESTMENTS</t>
  </si>
  <si>
    <t>PROPERTY AND EQUIPMENT, net</t>
  </si>
  <si>
    <t>DEFERRED INCOME TAXES, net</t>
  </si>
  <si>
    <t>GOODWILL</t>
  </si>
  <si>
    <t>OTHER INTANGIBLE ASSETS, net</t>
  </si>
  <si>
    <t>OTHER ASSETS</t>
  </si>
  <si>
    <t>Accounts payable</t>
  </si>
  <si>
    <t>Accrued liabilities</t>
  </si>
  <si>
    <t>Accrued promotional allowances</t>
  </si>
  <si>
    <t>Deferred revenue</t>
  </si>
  <si>
    <t>Accrued compensation</t>
  </si>
  <si>
    <t>Income taxes payable</t>
  </si>
  <si>
    <t>OTHER LIABILITIES</t>
  </si>
  <si>
    <t>Additional paid-in capital</t>
  </si>
  <si>
    <t>Retained earnings</t>
  </si>
  <si>
    <t>Accumulated other comprehensive loss</t>
  </si>
  <si>
    <t>Total stockholders’ equity</t>
  </si>
  <si>
    <t>Total Liabilities and Stockholders’ Equity</t>
  </si>
  <si>
    <t>INTEREST AND OTHER INCOME (EXPENSE), NET</t>
  </si>
  <si>
    <t>INCOME BEFORE PROVISION FOR INCOME TAXES</t>
  </si>
  <si>
    <t>PROVISION FOR INCOME TAXES</t>
  </si>
  <si>
    <t>NET INCOME</t>
  </si>
  <si>
    <t>Basic</t>
  </si>
  <si>
    <t>Diluted</t>
  </si>
  <si>
    <t>Net income</t>
  </si>
  <si>
    <t>Depreciation and amortization</t>
  </si>
  <si>
    <t>Non-cash lease expense</t>
  </si>
  <si>
    <t>Loss (gain) on disposal of property and equipment</t>
  </si>
  <si>
    <t>Gain on Bang Transaction</t>
  </si>
  <si>
    <t>—</t>
  </si>
  <si>
    <t>Loss on impairment of intangibles</t>
  </si>
  <si>
    <t>Loss on impairment of property and equipment</t>
  </si>
  <si>
    <t>Stock-based compensation</t>
  </si>
  <si>
    <t>Deferred income taxes</t>
  </si>
  <si>
    <t>Accounts receivable</t>
  </si>
  <si>
    <t>Prepaid expenses and other assets</t>
  </si>
  <si>
    <t>Acquisition of Bang Energy</t>
  </si>
  <si>
    <t>Proceeds from sale of property and equipment</t>
  </si>
  <si>
    <t>Additions to intangibles</t>
  </si>
  <si>
    <t>Increase in other assets</t>
  </si>
  <si>
    <t>Net cash used in investing activities</t>
  </si>
  <si>
    <t>Purchases of common stock held in treasury</t>
  </si>
  <si>
    <t>Net cash (used in) provided by financing activities</t>
  </si>
  <si>
    <t>SUPPLEMENTAL INFORMATION:</t>
  </si>
  <si>
    <t>Cash paid during the year for:</t>
  </si>
  <si>
    <t>Interest</t>
  </si>
  <si>
    <t>Freight-Out Costs</t>
  </si>
  <si>
    <t>Advertising and Promotional Expenses</t>
  </si>
  <si>
    <t>Other expenses</t>
  </si>
  <si>
    <t>($'000, except for earnings per share)</t>
  </si>
  <si>
    <t>($'000)</t>
  </si>
  <si>
    <t>LONG-TERM DEBT</t>
  </si>
  <si>
    <t>Payments on short-term debt</t>
  </si>
  <si>
    <t>Amortization</t>
  </si>
  <si>
    <t>Changes in operating assets and liabilities:</t>
  </si>
  <si>
    <t>Net working capital</t>
  </si>
  <si>
    <t>Acquisition of CANarchy, net of cash</t>
  </si>
  <si>
    <t>Purchases of property and equipment</t>
  </si>
  <si>
    <t xml:space="preserve">Payments for debt issuance costs </t>
  </si>
  <si>
    <t xml:space="preserve">Issuance of common stock </t>
  </si>
  <si>
    <t>Common Stock</t>
  </si>
  <si>
    <t>Common Stock in Treasury</t>
  </si>
  <si>
    <t>% Growth</t>
  </si>
  <si>
    <t>% of Revenue</t>
  </si>
  <si>
    <t>Tax Rate</t>
  </si>
  <si>
    <t>% of operating expenses</t>
  </si>
  <si>
    <t>% growth</t>
  </si>
  <si>
    <r>
      <t xml:space="preserve">Sales of available-for-sale investments + Purchases of available-for-sale investments </t>
    </r>
    <r>
      <rPr>
        <sz val="11"/>
        <color theme="5" tint="-0.249977111117893"/>
        <rFont val="Calibri"/>
        <family val="2"/>
        <scheme val="minor"/>
      </rPr>
      <t>(combine)</t>
    </r>
  </si>
  <si>
    <t>Prepaid Expenses and Other Assets Processing Period</t>
  </si>
  <si>
    <t>Prepaid Income Taxes Processing Period</t>
  </si>
  <si>
    <r>
      <t>Other liabilities (</t>
    </r>
    <r>
      <rPr>
        <sz val="11"/>
        <color theme="5" tint="-0.249977111117893"/>
        <rFont val="Calibri"/>
        <family val="2"/>
        <scheme val="minor"/>
      </rPr>
      <t>moved from operating assets</t>
    </r>
    <r>
      <rPr>
        <sz val="11"/>
        <color theme="1"/>
        <rFont val="Calibri"/>
        <family val="2"/>
        <scheme val="minor"/>
      </rPr>
      <t>)</t>
    </r>
  </si>
  <si>
    <t>Accrued Liabilities</t>
  </si>
  <si>
    <t>Accrued Liabilities Days</t>
  </si>
  <si>
    <t>Accrued Promotion Alllowances</t>
  </si>
  <si>
    <t>Accrued Promotion Alllowances Days</t>
  </si>
  <si>
    <t>Accrued Compensation</t>
  </si>
  <si>
    <t>Accrued Compensation Days</t>
  </si>
  <si>
    <t>Income Tax Payable</t>
  </si>
  <si>
    <t>Income Tax Payable Days</t>
  </si>
  <si>
    <t xml:space="preserve">Deferred Revenue </t>
  </si>
  <si>
    <t>Deferred Revenue Days</t>
  </si>
  <si>
    <t>2029E CAPEX</t>
  </si>
  <si>
    <t>2030E CAPEX</t>
  </si>
  <si>
    <t xml:space="preserve">Depreciation Schedule </t>
  </si>
  <si>
    <t>DCF (30/09/2026)</t>
  </si>
  <si>
    <t>SUPPLEMENTARY DATA</t>
  </si>
  <si>
    <t>Cash Flow before debt paydown</t>
  </si>
  <si>
    <t>Payments on short term debt</t>
  </si>
  <si>
    <r>
      <t xml:space="preserve">Borrowings + Payments on credit facilities </t>
    </r>
    <r>
      <rPr>
        <sz val="11"/>
        <color theme="5" tint="-0.249977111117893"/>
        <rFont val="Calibri"/>
        <family val="2"/>
        <scheme val="minor"/>
      </rPr>
      <t>(combined)</t>
    </r>
  </si>
  <si>
    <t>Other long term debt</t>
  </si>
  <si>
    <t>Other long term debt (end of year)</t>
  </si>
  <si>
    <t>Other long term debt interest expense</t>
  </si>
  <si>
    <t>Other long term debt interest rate</t>
  </si>
  <si>
    <t>Other long term debt (beginning of year)</t>
  </si>
  <si>
    <t>Net Debt</t>
  </si>
  <si>
    <t>Enterprise Value</t>
  </si>
  <si>
    <t>EBITDA Equity Value</t>
  </si>
  <si>
    <t>Perpetuity Equity Value</t>
  </si>
  <si>
    <t>4yr</t>
  </si>
  <si>
    <t>To view the “Monster DCF” without errors, go to File → Settings → Calculation → Iterative Calculation, turn it On, and set the number of iterations to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</si>
</sst>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3" formatCode="_(* #,##0.00_);_(* \(#,##0.00\);_(* &quot;-&quot;??_);_(@_)"/>
    <numFmt numFmtId="164" formatCode="_-* #,##0.00_-;\-* #,##0.00_-;_-* &quot;-&quot;??_-;_-@_-"/>
    <numFmt numFmtId="165" formatCode="&quot;FY&quot;0&quot;A&quot;"/>
    <numFmt numFmtId="166" formatCode="&quot;FY&quot;0&quot;E&quot;"/>
    <numFmt numFmtId="167" formatCode="_-* #,##0_-;\-* #,##0_-;_-* &quot;-&quot;??_-;_-@_-"/>
    <numFmt numFmtId="168" formatCode="#,##0.0;\-#,##0.0"/>
    <numFmt numFmtId="169" formatCode="0.0%"/>
    <numFmt numFmtId="170" formatCode="#,##0.0"/>
    <numFmt numFmtId="171" formatCode="0.0"/>
    <numFmt numFmtId="172" formatCode="_-* #,##0.0_-;\-* #,##0.0_-;_-* &quot;-&quot;??_-;_-@_-"/>
    <numFmt numFmtId="173" formatCode="_(* #,##0_);_(* \(#,##0\);_(* &quot;-&quot;??_);_(@_)"/>
    <numFmt numFmtId="174" formatCode="#,##0;\-#,##0"/>
    <numFmt numFmtId="175" formatCode="0.0\x"/>
    <numFmt numFmtId="176" formatCode="[$$-409]#,##0.0_ ;\-[$$-409]#,##0.0\ "/>
    <numFmt numFmtId="177" formatCode="0.0&quot;x&quot;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8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dashDot">
        <color indexed="64"/>
      </bottom>
      <diagonal/>
    </border>
    <border>
      <left/>
      <right style="dashDot">
        <color indexed="64"/>
      </right>
      <top/>
      <bottom/>
      <diagonal/>
    </border>
    <border>
      <left/>
      <right/>
      <top style="thin">
        <color indexed="64"/>
      </top>
      <bottom style="dashDot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9">
    <xf numFmtId="0" fontId="0" fillId="0" borderId="0" xfId="0"/>
    <xf numFmtId="0" fontId="1" fillId="0" borderId="0" xfId="1"/>
    <xf numFmtId="165" fontId="5" fillId="2" borderId="0" xfId="0" applyNumberFormat="1" applyFont="1" applyFill="1"/>
    <xf numFmtId="166" fontId="5" fillId="2" borderId="0" xfId="0" applyNumberFormat="1" applyFont="1" applyFill="1"/>
    <xf numFmtId="0" fontId="4" fillId="0" borderId="0" xfId="0" applyFont="1"/>
    <xf numFmtId="0" fontId="0" fillId="0" borderId="0" xfId="0" applyAlignment="1">
      <alignment horizontal="left" indent="2"/>
    </xf>
    <xf numFmtId="0" fontId="0" fillId="0" borderId="1" xfId="0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  <xf numFmtId="0" fontId="4" fillId="3" borderId="2" xfId="0" applyFont="1" applyFill="1" applyBorder="1" applyAlignment="1">
      <alignment horizontal="left" indent="2"/>
    </xf>
    <xf numFmtId="0" fontId="0" fillId="3" borderId="3" xfId="0" applyFill="1" applyBorder="1"/>
    <xf numFmtId="0" fontId="0" fillId="3" borderId="4" xfId="0" applyFill="1" applyBorder="1"/>
    <xf numFmtId="0" fontId="4" fillId="3" borderId="2" xfId="0" applyFont="1" applyFill="1" applyBorder="1"/>
    <xf numFmtId="0" fontId="0" fillId="4" borderId="5" xfId="0" applyFill="1" applyBorder="1" applyAlignment="1">
      <alignment horizontal="left" indent="2"/>
    </xf>
    <xf numFmtId="0" fontId="0" fillId="4" borderId="1" xfId="0" applyFill="1" applyBorder="1"/>
    <xf numFmtId="0" fontId="0" fillId="4" borderId="7" xfId="0" applyFill="1" applyBorder="1"/>
    <xf numFmtId="0" fontId="0" fillId="4" borderId="0" xfId="0" applyFill="1"/>
    <xf numFmtId="0" fontId="4" fillId="4" borderId="0" xfId="0" applyFont="1" applyFill="1"/>
    <xf numFmtId="0" fontId="0" fillId="4" borderId="8" xfId="0" applyFill="1" applyBorder="1"/>
    <xf numFmtId="0" fontId="0" fillId="4" borderId="7" xfId="0" applyFill="1" applyBorder="1" applyAlignment="1">
      <alignment horizontal="left" indent="2"/>
    </xf>
    <xf numFmtId="0" fontId="4" fillId="4" borderId="7" xfId="0" applyFont="1" applyFill="1" applyBorder="1" applyAlignment="1">
      <alignment horizontal="left" indent="2"/>
    </xf>
    <xf numFmtId="0" fontId="0" fillId="4" borderId="11" xfId="0" applyFill="1" applyBorder="1"/>
    <xf numFmtId="0" fontId="0" fillId="4" borderId="9" xfId="0" applyFill="1" applyBorder="1"/>
    <xf numFmtId="0" fontId="4" fillId="4" borderId="11" xfId="0" applyFont="1" applyFill="1" applyBorder="1" applyAlignment="1">
      <alignment horizontal="left" indent="2"/>
    </xf>
    <xf numFmtId="0" fontId="4" fillId="3" borderId="3" xfId="0" applyFont="1" applyFill="1" applyBorder="1"/>
    <xf numFmtId="0" fontId="4" fillId="4" borderId="7" xfId="0" applyFont="1" applyFill="1" applyBorder="1"/>
    <xf numFmtId="0" fontId="4" fillId="4" borderId="1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67" fontId="0" fillId="0" borderId="0" xfId="2" applyNumberFormat="1" applyFont="1" applyBorder="1"/>
    <xf numFmtId="0" fontId="9" fillId="0" borderId="0" xfId="0" applyFont="1" applyAlignment="1">
      <alignment horizontal="center"/>
    </xf>
    <xf numFmtId="168" fontId="10" fillId="0" borderId="0" xfId="0" applyNumberFormat="1" applyFont="1"/>
    <xf numFmtId="168" fontId="8" fillId="0" borderId="0" xfId="0" applyNumberFormat="1" applyFont="1"/>
    <xf numFmtId="2" fontId="7" fillId="0" borderId="0" xfId="3" applyNumberFormat="1" applyFont="1" applyBorder="1"/>
    <xf numFmtId="168" fontId="10" fillId="0" borderId="1" xfId="0" applyNumberFormat="1" applyFont="1" applyBorder="1"/>
    <xf numFmtId="167" fontId="0" fillId="0" borderId="1" xfId="2" applyNumberFormat="1" applyFont="1" applyBorder="1"/>
    <xf numFmtId="0" fontId="9" fillId="0" borderId="0" xfId="0" applyFont="1"/>
    <xf numFmtId="169" fontId="7" fillId="0" borderId="0" xfId="3" applyNumberFormat="1" applyFont="1" applyBorder="1"/>
    <xf numFmtId="0" fontId="8" fillId="0" borderId="0" xfId="0" applyFont="1" applyAlignment="1">
      <alignment horizontal="left"/>
    </xf>
    <xf numFmtId="168" fontId="10" fillId="0" borderId="2" xfId="0" applyNumberFormat="1" applyFont="1" applyBorder="1"/>
    <xf numFmtId="168" fontId="8" fillId="0" borderId="3" xfId="0" applyNumberFormat="1" applyFont="1" applyBorder="1"/>
    <xf numFmtId="167" fontId="0" fillId="0" borderId="12" xfId="2" applyNumberFormat="1" applyFont="1" applyBorder="1"/>
    <xf numFmtId="0" fontId="8" fillId="0" borderId="9" xfId="0" applyFont="1" applyBorder="1"/>
    <xf numFmtId="37" fontId="3" fillId="0" borderId="9" xfId="0" applyNumberFormat="1" applyFont="1" applyBorder="1"/>
    <xf numFmtId="169" fontId="8" fillId="0" borderId="9" xfId="3" applyNumberFormat="1" applyFont="1" applyBorder="1"/>
    <xf numFmtId="0" fontId="0" fillId="0" borderId="0" xfId="0" applyAlignment="1">
      <alignment horizontal="right"/>
    </xf>
    <xf numFmtId="169" fontId="0" fillId="0" borderId="0" xfId="3" applyNumberFormat="1" applyFont="1"/>
    <xf numFmtId="0" fontId="11" fillId="0" borderId="0" xfId="0" applyFont="1" applyAlignment="1">
      <alignment horizontal="right"/>
    </xf>
    <xf numFmtId="0" fontId="12" fillId="2" borderId="0" xfId="0" applyFont="1" applyFill="1"/>
    <xf numFmtId="0" fontId="0" fillId="0" borderId="0" xfId="0" applyAlignment="1">
      <alignment horizontal="left" vertical="top" indent="2"/>
    </xf>
    <xf numFmtId="167" fontId="0" fillId="0" borderId="0" xfId="0" applyNumberFormat="1"/>
    <xf numFmtId="167" fontId="0" fillId="0" borderId="0" xfId="2" applyNumberFormat="1" applyFont="1"/>
    <xf numFmtId="167" fontId="13" fillId="0" borderId="0" xfId="2" applyNumberFormat="1" applyFont="1"/>
    <xf numFmtId="0" fontId="4" fillId="0" borderId="0" xfId="0" applyFont="1" applyAlignment="1">
      <alignment horizontal="left" vertical="top" indent="2"/>
    </xf>
    <xf numFmtId="167" fontId="0" fillId="0" borderId="1" xfId="0" applyNumberFormat="1" applyBorder="1"/>
    <xf numFmtId="0" fontId="4" fillId="0" borderId="0" xfId="0" applyFont="1" applyAlignment="1">
      <alignment horizontal="left" vertical="top"/>
    </xf>
    <xf numFmtId="170" fontId="0" fillId="0" borderId="0" xfId="0" applyNumberFormat="1"/>
    <xf numFmtId="170" fontId="13" fillId="0" borderId="0" xfId="0" applyNumberFormat="1" applyFont="1"/>
    <xf numFmtId="170" fontId="0" fillId="5" borderId="1" xfId="0" applyNumberFormat="1" applyFill="1" applyBorder="1"/>
    <xf numFmtId="170" fontId="0" fillId="0" borderId="1" xfId="0" applyNumberFormat="1" applyBorder="1"/>
    <xf numFmtId="171" fontId="0" fillId="0" borderId="0" xfId="0" applyNumberFormat="1"/>
    <xf numFmtId="0" fontId="11" fillId="0" borderId="0" xfId="0" applyFont="1" applyAlignment="1">
      <alignment horizontal="left" indent="4"/>
    </xf>
    <xf numFmtId="9" fontId="13" fillId="0" borderId="0" xfId="3" applyFont="1"/>
    <xf numFmtId="167" fontId="0" fillId="5" borderId="1" xfId="2" applyNumberFormat="1" applyFont="1" applyFill="1" applyBorder="1"/>
    <xf numFmtId="167" fontId="0" fillId="0" borderId="3" xfId="0" applyNumberFormat="1" applyBorder="1"/>
    <xf numFmtId="167" fontId="2" fillId="0" borderId="1" xfId="2" applyNumberFormat="1" applyFont="1" applyBorder="1"/>
    <xf numFmtId="0" fontId="0" fillId="6" borderId="0" xfId="0" applyFill="1"/>
    <xf numFmtId="167" fontId="0" fillId="0" borderId="12" xfId="0" applyNumberFormat="1" applyBorder="1"/>
    <xf numFmtId="167" fontId="3" fillId="0" borderId="0" xfId="2" applyNumberFormat="1" applyFont="1"/>
    <xf numFmtId="43" fontId="0" fillId="0" borderId="0" xfId="0" applyNumberFormat="1"/>
    <xf numFmtId="0" fontId="11" fillId="0" borderId="0" xfId="0" applyFont="1"/>
    <xf numFmtId="0" fontId="0" fillId="0" borderId="0" xfId="0" applyAlignment="1">
      <alignment wrapText="1"/>
    </xf>
    <xf numFmtId="167" fontId="13" fillId="6" borderId="0" xfId="2" applyNumberFormat="1" applyFont="1" applyFill="1"/>
    <xf numFmtId="169" fontId="13" fillId="0" borderId="0" xfId="3" applyNumberFormat="1" applyFont="1"/>
    <xf numFmtId="9" fontId="0" fillId="0" borderId="0" xfId="3" applyFont="1"/>
    <xf numFmtId="43" fontId="0" fillId="0" borderId="0" xfId="0" applyNumberFormat="1" applyAlignment="1">
      <alignment wrapText="1"/>
    </xf>
    <xf numFmtId="169" fontId="0" fillId="0" borderId="0" xfId="0" applyNumberFormat="1"/>
    <xf numFmtId="169" fontId="0" fillId="0" borderId="0" xfId="3" applyNumberFormat="1" applyFont="1" applyFill="1" applyBorder="1"/>
    <xf numFmtId="10" fontId="13" fillId="0" borderId="0" xfId="3" applyNumberFormat="1" applyFont="1"/>
    <xf numFmtId="173" fontId="0" fillId="0" borderId="0" xfId="0" applyNumberFormat="1"/>
    <xf numFmtId="167" fontId="13" fillId="7" borderId="0" xfId="2" applyNumberFormat="1" applyFont="1" applyFill="1"/>
    <xf numFmtId="167" fontId="8" fillId="0" borderId="0" xfId="2" applyNumberFormat="1" applyFont="1"/>
    <xf numFmtId="0" fontId="9" fillId="0" borderId="0" xfId="0" applyFont="1" applyAlignment="1">
      <alignment horizontal="right" wrapText="1"/>
    </xf>
    <xf numFmtId="168" fontId="8" fillId="0" borderId="4" xfId="0" applyNumberFormat="1" applyFont="1" applyBorder="1"/>
    <xf numFmtId="172" fontId="0" fillId="0" borderId="0" xfId="2" applyNumberFormat="1" applyFont="1" applyBorder="1"/>
    <xf numFmtId="174" fontId="8" fillId="0" borderId="0" xfId="0" applyNumberFormat="1" applyFont="1"/>
    <xf numFmtId="167" fontId="0" fillId="6" borderId="0" xfId="2" applyNumberFormat="1" applyFont="1" applyFill="1"/>
    <xf numFmtId="0" fontId="17" fillId="0" borderId="0" xfId="0" applyFont="1"/>
    <xf numFmtId="169" fontId="3" fillId="8" borderId="13" xfId="3" applyNumberFormat="1" applyFont="1" applyFill="1" applyBorder="1"/>
    <xf numFmtId="0" fontId="0" fillId="0" borderId="9" xfId="0" applyBorder="1" applyAlignment="1">
      <alignment horizontal="left" indent="2"/>
    </xf>
    <xf numFmtId="0" fontId="0" fillId="0" borderId="9" xfId="0" applyBorder="1"/>
    <xf numFmtId="167" fontId="0" fillId="0" borderId="9" xfId="2" applyNumberFormat="1" applyFont="1" applyBorder="1"/>
    <xf numFmtId="167" fontId="0" fillId="6" borderId="0" xfId="0" applyNumberFormat="1" applyFill="1"/>
    <xf numFmtId="167" fontId="0" fillId="9" borderId="0" xfId="2" applyNumberFormat="1" applyFont="1" applyFill="1"/>
    <xf numFmtId="167" fontId="13" fillId="9" borderId="0" xfId="2" applyNumberFormat="1" applyFont="1" applyFill="1"/>
    <xf numFmtId="167" fontId="8" fillId="9" borderId="0" xfId="2" applyNumberFormat="1" applyFont="1" applyFill="1"/>
    <xf numFmtId="167" fontId="3" fillId="0" borderId="0" xfId="0" applyNumberFormat="1" applyFont="1"/>
    <xf numFmtId="167" fontId="0" fillId="9" borderId="0" xfId="0" applyNumberFormat="1" applyFill="1"/>
    <xf numFmtId="173" fontId="0" fillId="9" borderId="0" xfId="0" applyNumberFormat="1" applyFill="1"/>
    <xf numFmtId="167" fontId="0" fillId="9" borderId="12" xfId="2" applyNumberFormat="1" applyFont="1" applyFill="1" applyBorder="1"/>
    <xf numFmtId="10" fontId="0" fillId="4" borderId="6" xfId="0" applyNumberFormat="1" applyFill="1" applyBorder="1"/>
    <xf numFmtId="167" fontId="0" fillId="4" borderId="8" xfId="2" applyNumberFormat="1" applyFont="1" applyFill="1" applyBorder="1" applyAlignment="1">
      <alignment horizontal="right"/>
    </xf>
    <xf numFmtId="167" fontId="0" fillId="4" borderId="8" xfId="0" applyNumberFormat="1" applyFill="1" applyBorder="1"/>
    <xf numFmtId="173" fontId="0" fillId="4" borderId="8" xfId="0" applyNumberFormat="1" applyFill="1" applyBorder="1"/>
    <xf numFmtId="173" fontId="0" fillId="4" borderId="10" xfId="0" applyNumberFormat="1" applyFill="1" applyBorder="1"/>
    <xf numFmtId="10" fontId="0" fillId="4" borderId="8" xfId="3" applyNumberFormat="1" applyFont="1" applyFill="1" applyBorder="1"/>
    <xf numFmtId="167" fontId="0" fillId="4" borderId="0" xfId="0" applyNumberFormat="1" applyFill="1" applyAlignment="1">
      <alignment horizontal="right"/>
    </xf>
    <xf numFmtId="3" fontId="0" fillId="4" borderId="0" xfId="0" applyNumberFormat="1" applyFill="1" applyAlignment="1">
      <alignment horizontal="right"/>
    </xf>
    <xf numFmtId="176" fontId="0" fillId="4" borderId="9" xfId="0" applyNumberFormat="1" applyFill="1" applyBorder="1" applyAlignment="1">
      <alignment horizontal="right"/>
    </xf>
    <xf numFmtId="0" fontId="0" fillId="0" borderId="14" xfId="0" applyBorder="1"/>
    <xf numFmtId="0" fontId="4" fillId="0" borderId="14" xfId="0" applyFont="1" applyBorder="1"/>
    <xf numFmtId="176" fontId="4" fillId="0" borderId="0" xfId="0" applyNumberFormat="1" applyFont="1"/>
    <xf numFmtId="10" fontId="0" fillId="0" borderId="0" xfId="0" applyNumberFormat="1"/>
    <xf numFmtId="10" fontId="0" fillId="10" borderId="0" xfId="0" applyNumberFormat="1" applyFill="1"/>
    <xf numFmtId="177" fontId="0" fillId="0" borderId="0" xfId="0" applyNumberFormat="1"/>
    <xf numFmtId="2" fontId="0" fillId="0" borderId="5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11" borderId="0" xfId="0" applyNumberFormat="1" applyFill="1"/>
    <xf numFmtId="2" fontId="0" fillId="0" borderId="0" xfId="0" applyNumberFormat="1"/>
    <xf numFmtId="10" fontId="0" fillId="4" borderId="15" xfId="0" applyNumberFormat="1" applyFill="1" applyBorder="1"/>
    <xf numFmtId="0" fontId="0" fillId="4" borderId="16" xfId="0" applyFill="1" applyBorder="1"/>
    <xf numFmtId="0" fontId="0" fillId="12" borderId="13" xfId="0" applyFill="1" applyBorder="1"/>
    <xf numFmtId="10" fontId="0" fillId="4" borderId="10" xfId="3" applyNumberFormat="1" applyFont="1" applyFill="1" applyBorder="1"/>
    <xf numFmtId="169" fontId="3" fillId="0" borderId="0" xfId="3" applyNumberFormat="1" applyFont="1"/>
    <xf numFmtId="173" fontId="0" fillId="0" borderId="1" xfId="0" applyNumberFormat="1" applyBorder="1"/>
    <xf numFmtId="167" fontId="0" fillId="0" borderId="17" xfId="0" applyNumberFormat="1" applyBorder="1"/>
    <xf numFmtId="169" fontId="8" fillId="0" borderId="0" xfId="3" applyNumberFormat="1" applyFont="1"/>
    <xf numFmtId="167" fontId="0" fillId="0" borderId="2" xfId="2" applyNumberFormat="1" applyFont="1" applyBorder="1"/>
    <xf numFmtId="167" fontId="0" fillId="0" borderId="3" xfId="2" applyNumberFormat="1" applyFont="1" applyBorder="1"/>
    <xf numFmtId="167" fontId="0" fillId="0" borderId="4" xfId="2" applyNumberFormat="1" applyFont="1" applyBorder="1"/>
    <xf numFmtId="177" fontId="8" fillId="10" borderId="0" xfId="0" applyNumberFormat="1" applyFont="1" applyFill="1"/>
    <xf numFmtId="0" fontId="4" fillId="0" borderId="0" xfId="0" applyFont="1" applyAlignment="1">
      <alignment horizontal="right"/>
    </xf>
    <xf numFmtId="0" fontId="3" fillId="0" borderId="0" xfId="0" applyFont="1" applyAlignment="1">
      <alignment wrapText="1"/>
    </xf>
    <xf numFmtId="169" fontId="0" fillId="12" borderId="8" xfId="3" applyNumberFormat="1" applyFont="1" applyFill="1" applyBorder="1"/>
    <xf numFmtId="2" fontId="5" fillId="2" borderId="0" xfId="0" applyNumberFormat="1" applyFont="1" applyFill="1"/>
    <xf numFmtId="169" fontId="0" fillId="4" borderId="2" xfId="0" applyNumberFormat="1" applyFill="1" applyBorder="1" applyAlignment="1">
      <alignment horizontal="right"/>
    </xf>
    <xf numFmtId="169" fontId="0" fillId="4" borderId="4" xfId="0" applyNumberFormat="1" applyFill="1" applyBorder="1" applyAlignment="1">
      <alignment horizontal="right"/>
    </xf>
    <xf numFmtId="167" fontId="0" fillId="4" borderId="1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75" fontId="0" fillId="4" borderId="2" xfId="0" applyNumberFormat="1" applyFill="1" applyBorder="1" applyAlignment="1">
      <alignment horizontal="right"/>
    </xf>
    <xf numFmtId="175" fontId="0" fillId="4" borderId="4" xfId="0" applyNumberFormat="1" applyFill="1" applyBorder="1" applyAlignment="1">
      <alignment horizontal="right"/>
    </xf>
    <xf numFmtId="173" fontId="0" fillId="4" borderId="0" xfId="0" applyNumberFormat="1" applyFill="1" applyAlignment="1">
      <alignment horizontal="center"/>
    </xf>
    <xf numFmtId="173" fontId="0" fillId="4" borderId="8" xfId="0" applyNumberFormat="1" applyFill="1" applyBorder="1" applyAlignment="1">
      <alignment horizontal="center"/>
    </xf>
    <xf numFmtId="167" fontId="0" fillId="4" borderId="9" xfId="2" applyNumberFormat="1" applyFont="1" applyFill="1" applyBorder="1" applyAlignment="1">
      <alignment horizontal="center"/>
    </xf>
    <xf numFmtId="167" fontId="0" fillId="4" borderId="10" xfId="2" applyNumberFormat="1" applyFont="1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0" fontId="0" fillId="4" borderId="8" xfId="0" applyFill="1" applyBorder="1" applyAlignment="1">
      <alignment horizontal="right"/>
    </xf>
    <xf numFmtId="167" fontId="0" fillId="4" borderId="0" xfId="0" applyNumberFormat="1" applyFill="1" applyAlignment="1">
      <alignment horizontal="right"/>
    </xf>
    <xf numFmtId="176" fontId="0" fillId="4" borderId="9" xfId="0" applyNumberFormat="1" applyFill="1" applyBorder="1" applyAlignment="1">
      <alignment horizontal="right"/>
    </xf>
    <xf numFmtId="176" fontId="0" fillId="4" borderId="10" xfId="0" applyNumberFormat="1" applyFill="1" applyBorder="1" applyAlignment="1">
      <alignment horizontal="right"/>
    </xf>
    <xf numFmtId="173" fontId="0" fillId="4" borderId="9" xfId="0" applyNumberFormat="1" applyFill="1" applyBorder="1" applyAlignment="1">
      <alignment horizontal="center"/>
    </xf>
    <xf numFmtId="173" fontId="0" fillId="4" borderId="10" xfId="0" applyNumberForma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7" fontId="0" fillId="4" borderId="6" xfId="0" applyNumberFormat="1" applyFill="1" applyBorder="1" applyAlignment="1">
      <alignment horizontal="center"/>
    </xf>
    <xf numFmtId="3" fontId="0" fillId="4" borderId="8" xfId="0" applyNumberFormat="1" applyFill="1" applyBorder="1" applyAlignment="1">
      <alignment horizontal="right"/>
    </xf>
    <xf numFmtId="0" fontId="5" fillId="2" borderId="0" xfId="0" applyFont="1" applyFill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1" defaultTableStyle="TableStyleMedium2" defaultPivotStyle="PivotStyleLight16">
    <tableStyle name="Invisible" pivot="0" table="0" count="0" xr9:uid="{435071F5-7F21-4164-84F5-CCB772971D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monsterbevcorp.com/financial-information/sec-filings?field_nir_sec_form_group_target_id%5B%5D=471&amp;field_nir_sec_date_filed_value=&amp;filter_type=&amp;relative_date_range_after=&amp;relative_date_range_before=&amp;exact_date_range_after=&amp;exact_date_range_before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6" sqref="D6"/>
    </sheetView>
  </sheetViews>
  <sheetFormatPr defaultRowHeight="14.4" x14ac:dyDescent="0.3"/>
  <sheetData>
    <row r="1" spans="1:1" x14ac:dyDescent="0.3">
      <c r="A1" s="1" t="s">
        <v>109</v>
      </c>
    </row>
    <row r="2" spans="1:1" x14ac:dyDescent="0.3">
      <c r="A2" t="s">
        <v>215</v>
      </c>
    </row>
  </sheetData>
  <hyperlinks>
    <hyperlink ref="A1" r:id="rId1" location="views-exposed-form-widget-sec-filings-table#views-exposed-form-widget-sec-filings-table" display="https://investors.monsterbevcorp.com/financial-information/sec-filings?field_nir_sec_form_group_target_id%5B%5D=471&amp;field_nir_sec_date_filed_value=&amp;filter_type=&amp;relative_date_range_after=&amp;relative_date_range_before=&amp;exact_date_range_after=&amp;exact_date_range_before=#views-exposed-form-widget-sec-filings-table#views-exposed-form-widget-sec-filings-table" xr:uid="{CAF496D6-3B9D-43DD-AC9E-185A64D4A3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76B6-6F88-43B2-8B7F-206056ADA5CA}">
  <dimension ref="A1:Q4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8" sqref="H38:K38"/>
    </sheetView>
  </sheetViews>
  <sheetFormatPr defaultRowHeight="14.4" outlineLevelRow="1" x14ac:dyDescent="0.3"/>
  <cols>
    <col min="1" max="1" width="30.6640625" customWidth="1"/>
    <col min="2" max="4" width="15.33203125" bestFit="1" customWidth="1"/>
    <col min="5" max="11" width="15.77734375" customWidth="1"/>
    <col min="15" max="15" width="10" bestFit="1" customWidth="1"/>
  </cols>
  <sheetData>
    <row r="1" spans="1:17" x14ac:dyDescent="0.3">
      <c r="A1" t="s">
        <v>165</v>
      </c>
      <c r="B1" s="2">
        <v>2021</v>
      </c>
      <c r="C1" s="2">
        <v>2022</v>
      </c>
      <c r="D1" s="2">
        <v>2023</v>
      </c>
      <c r="E1" s="2">
        <f>D1+1</f>
        <v>2024</v>
      </c>
      <c r="F1" s="2">
        <f t="shared" ref="F1:I1" si="0">E1+1</f>
        <v>2025</v>
      </c>
      <c r="G1" s="3">
        <f t="shared" si="0"/>
        <v>2026</v>
      </c>
      <c r="H1" s="3">
        <f t="shared" si="0"/>
        <v>2027</v>
      </c>
      <c r="I1" s="3">
        <f t="shared" si="0"/>
        <v>2028</v>
      </c>
      <c r="J1" s="3">
        <f t="shared" ref="J1" si="1">I1+1</f>
        <v>2029</v>
      </c>
      <c r="K1" s="3">
        <f t="shared" ref="K1" si="2">J1+1</f>
        <v>2030</v>
      </c>
      <c r="N1" s="133" t="s">
        <v>214</v>
      </c>
    </row>
    <row r="2" spans="1:17" x14ac:dyDescent="0.3">
      <c r="A2" s="4" t="s">
        <v>0</v>
      </c>
      <c r="B2" s="53">
        <v>5541352</v>
      </c>
      <c r="C2" s="53">
        <v>6311050</v>
      </c>
      <c r="D2" s="53">
        <v>7140027</v>
      </c>
      <c r="E2" s="53">
        <v>7492709</v>
      </c>
      <c r="F2" s="53">
        <v>8294343</v>
      </c>
      <c r="G2" s="76">
        <f>F2*(G3+1)</f>
        <v>9264781.1309999991</v>
      </c>
      <c r="H2" s="76">
        <f t="shared" ref="H2:K2" si="3">G2*(H3+1)</f>
        <v>10052287.527135</v>
      </c>
      <c r="I2" s="76">
        <f t="shared" si="3"/>
        <v>10936888.82952288</v>
      </c>
      <c r="J2" s="76">
        <f t="shared" si="3"/>
        <v>11757155.491737096</v>
      </c>
      <c r="K2" s="76">
        <f t="shared" si="3"/>
        <v>12591913.53165043</v>
      </c>
      <c r="M2" s="4"/>
      <c r="N2" s="47">
        <f>IFERROR((F2/B2)^(1/4)-1,"")</f>
        <v>0.1060927943777612</v>
      </c>
      <c r="O2" s="4"/>
      <c r="P2" s="4"/>
      <c r="Q2" s="4"/>
    </row>
    <row r="3" spans="1:17" x14ac:dyDescent="0.3">
      <c r="A3" s="71" t="s">
        <v>178</v>
      </c>
      <c r="B3" s="53"/>
      <c r="C3" s="47">
        <f>C2/B2-1</f>
        <v>0.13890075923709588</v>
      </c>
      <c r="D3" s="47">
        <f t="shared" ref="D3:F3" si="4">D2/C2-1</f>
        <v>0.13135326134319958</v>
      </c>
      <c r="E3" s="47">
        <f t="shared" si="4"/>
        <v>4.9395051307228988E-2</v>
      </c>
      <c r="F3" s="47">
        <f t="shared" si="4"/>
        <v>0.106988540459799</v>
      </c>
      <c r="G3" s="125">
        <v>0.11700000000000001</v>
      </c>
      <c r="H3" s="125">
        <v>8.5000000000000006E-2</v>
      </c>
      <c r="I3" s="125">
        <v>8.7999999999999995E-2</v>
      </c>
      <c r="J3" s="47">
        <v>7.4999999999999997E-2</v>
      </c>
      <c r="K3" s="47">
        <v>7.0999999999999994E-2</v>
      </c>
      <c r="M3" s="4"/>
      <c r="O3" s="4"/>
      <c r="P3" s="4"/>
      <c r="Q3" s="4"/>
    </row>
    <row r="4" spans="1:17" x14ac:dyDescent="0.3">
      <c r="A4" t="s">
        <v>1</v>
      </c>
      <c r="B4" s="53">
        <v>-2432839</v>
      </c>
      <c r="C4" s="53">
        <v>-3136483</v>
      </c>
      <c r="D4" s="53">
        <v>-3345821</v>
      </c>
      <c r="E4" s="53">
        <v>-3443831</v>
      </c>
      <c r="F4" s="53">
        <v>-3662148</v>
      </c>
      <c r="G4" s="52">
        <f>(G2*G5)*-1</f>
        <v>-4323714.0513422778</v>
      </c>
      <c r="H4" s="52">
        <f>(H2*H5)*-1</f>
        <v>-4691229.745706372</v>
      </c>
      <c r="I4" s="52">
        <f>(I2*I5)*-1</f>
        <v>-5104057.9633285329</v>
      </c>
      <c r="J4" s="52">
        <f>(J2*J5)*-1</f>
        <v>-5486862.3105781721</v>
      </c>
      <c r="K4" s="52">
        <f>(K2*K5)*-1</f>
        <v>-5876429.5346292229</v>
      </c>
    </row>
    <row r="5" spans="1:17" x14ac:dyDescent="0.3">
      <c r="A5" s="71" t="s">
        <v>179</v>
      </c>
      <c r="B5" s="47">
        <f>(B4/$C$2)*-1</f>
        <v>0.38548878554281774</v>
      </c>
      <c r="C5" s="47">
        <f>(C4/$C$2)*-1</f>
        <v>0.49698275247383555</v>
      </c>
      <c r="D5" s="47">
        <f>(D4/$D$2)*-1</f>
        <v>0.46860060893327155</v>
      </c>
      <c r="E5" s="47">
        <f>(E4/$E$2)*-1</f>
        <v>0.45962428275274003</v>
      </c>
      <c r="F5" s="47">
        <f>(F4/$F$2)*-1</f>
        <v>0.44152357817852483</v>
      </c>
      <c r="G5" s="47">
        <f>AVERAGE(C5:F5)</f>
        <v>0.46668280558459296</v>
      </c>
      <c r="H5" s="47">
        <v>0.46668280558459296</v>
      </c>
      <c r="I5" s="47">
        <v>0.46668280558459296</v>
      </c>
      <c r="J5" s="47">
        <v>0.46668280558459296</v>
      </c>
      <c r="K5" s="47">
        <v>0.46668280558459296</v>
      </c>
    </row>
    <row r="6" spans="1:17" x14ac:dyDescent="0.3">
      <c r="A6" s="4" t="s">
        <v>2</v>
      </c>
      <c r="B6" s="36">
        <f>B2+B4</f>
        <v>3108513</v>
      </c>
      <c r="C6" s="36">
        <f t="shared" ref="C6:K6" si="5">C2+C4</f>
        <v>3174567</v>
      </c>
      <c r="D6" s="36">
        <f t="shared" si="5"/>
        <v>3794206</v>
      </c>
      <c r="E6" s="36">
        <f t="shared" si="5"/>
        <v>4048878</v>
      </c>
      <c r="F6" s="36">
        <f t="shared" si="5"/>
        <v>4632195</v>
      </c>
      <c r="G6" s="36">
        <f t="shared" si="5"/>
        <v>4941067.0796577213</v>
      </c>
      <c r="H6" s="36">
        <f t="shared" si="5"/>
        <v>5361057.7814286277</v>
      </c>
      <c r="I6" s="36">
        <f t="shared" si="5"/>
        <v>5832830.8661943469</v>
      </c>
      <c r="J6" s="36">
        <f t="shared" si="5"/>
        <v>6270293.1811589235</v>
      </c>
      <c r="K6" s="36">
        <f t="shared" si="5"/>
        <v>6715483.9970212067</v>
      </c>
    </row>
    <row r="7" spans="1:17" x14ac:dyDescent="0.3">
      <c r="A7" s="71" t="s">
        <v>179</v>
      </c>
      <c r="B7" s="52"/>
      <c r="C7" s="47">
        <f>C6/C2</f>
        <v>0.50301724752616439</v>
      </c>
      <c r="D7" s="47">
        <f t="shared" ref="D7:F7" si="6">D6/D2</f>
        <v>0.53139939106672851</v>
      </c>
      <c r="E7" s="47">
        <f t="shared" si="6"/>
        <v>0.54037571724725997</v>
      </c>
      <c r="F7" s="47">
        <f t="shared" si="6"/>
        <v>0.55847642182147517</v>
      </c>
      <c r="G7" s="47">
        <f t="shared" ref="G7" si="7">G6/G2</f>
        <v>0.53331719441540704</v>
      </c>
      <c r="H7" s="47">
        <f t="shared" ref="H7" si="8">H6/H2</f>
        <v>0.53331719441540704</v>
      </c>
      <c r="I7" s="47">
        <f t="shared" ref="I7" si="9">I6/I2</f>
        <v>0.53331719441540704</v>
      </c>
      <c r="J7" s="47">
        <f t="shared" ref="J7" si="10">J6/J2</f>
        <v>0.53331719441540704</v>
      </c>
      <c r="K7" s="47">
        <f t="shared" ref="K7" si="11">K6/K2</f>
        <v>0.53331719441540704</v>
      </c>
    </row>
    <row r="8" spans="1:17" x14ac:dyDescent="0.3">
      <c r="A8" s="71"/>
      <c r="B8" s="52"/>
      <c r="C8" s="52"/>
      <c r="D8" s="52"/>
    </row>
    <row r="9" spans="1:17" x14ac:dyDescent="0.3">
      <c r="A9" t="s">
        <v>162</v>
      </c>
      <c r="B9" s="53">
        <v>-213900</v>
      </c>
      <c r="C9" s="53">
        <v>-249200</v>
      </c>
      <c r="D9" s="53">
        <f>(223600000/1000)*-1</f>
        <v>-223600</v>
      </c>
      <c r="E9" s="53">
        <v>-224200</v>
      </c>
      <c r="F9" s="53">
        <v>-237000</v>
      </c>
      <c r="G9" s="52">
        <f>(G2*G10)*-1</f>
        <v>-277364.45254508324</v>
      </c>
      <c r="H9" s="52">
        <f>(H2*H10)*-1</f>
        <v>-300940.43101141538</v>
      </c>
      <c r="I9" s="52">
        <f>(I2*I10)*-1</f>
        <v>-327423.18894041993</v>
      </c>
      <c r="J9" s="52">
        <f>(J2*J10)*-1</f>
        <v>-351979.92811095144</v>
      </c>
      <c r="K9" s="52">
        <f>(K2*K10)*-1</f>
        <v>-376970.50300682895</v>
      </c>
    </row>
    <row r="10" spans="1:17" x14ac:dyDescent="0.3">
      <c r="A10" s="71" t="s">
        <v>179</v>
      </c>
      <c r="B10" s="53"/>
      <c r="C10" s="47">
        <f>(C9/$C$2)*-1</f>
        <v>3.9486297842672775E-2</v>
      </c>
      <c r="D10" s="47">
        <f>(D9/$D$2)*-1</f>
        <v>3.1316408187251954E-2</v>
      </c>
      <c r="E10" s="47">
        <f>(E9/$E$2)*-1</f>
        <v>2.9922421917093003E-2</v>
      </c>
      <c r="F10" s="47">
        <f>(F9/$F$2)*-1</f>
        <v>2.8573691731822521E-2</v>
      </c>
      <c r="G10" s="47">
        <f>((AVERAGE(D10:F10))*-1)*-1</f>
        <v>2.9937507278722492E-2</v>
      </c>
      <c r="H10" s="47">
        <v>2.9937507278722492E-2</v>
      </c>
      <c r="I10" s="47">
        <v>2.9937507278722492E-2</v>
      </c>
      <c r="J10" s="47">
        <v>2.9937507278722492E-2</v>
      </c>
      <c r="K10" s="47">
        <v>2.9937507278722492E-2</v>
      </c>
      <c r="N10" s="133" t="s">
        <v>214</v>
      </c>
    </row>
    <row r="11" spans="1:17" ht="28.8" x14ac:dyDescent="0.3">
      <c r="A11" s="72" t="s">
        <v>163</v>
      </c>
      <c r="B11" s="53">
        <v>-417600</v>
      </c>
      <c r="C11" s="53">
        <v>-460700</v>
      </c>
      <c r="D11" s="53">
        <v>-528900</v>
      </c>
      <c r="E11" s="53">
        <v>-584100</v>
      </c>
      <c r="F11" s="53">
        <v>-599900</v>
      </c>
      <c r="G11" s="52">
        <f>(G2*G12)*-1</f>
        <v>-692874.49248204392</v>
      </c>
      <c r="H11" s="52">
        <f>(H2*H12)*-1</f>
        <v>-751768.82434301777</v>
      </c>
      <c r="I11" s="52">
        <f>(I2*I12)*-1</f>
        <v>-817924.48088520335</v>
      </c>
      <c r="J11" s="52">
        <f>(J2*J12)*-1</f>
        <v>-879268.8169515935</v>
      </c>
      <c r="K11" s="52">
        <f>(K2*K12)*-1</f>
        <v>-941696.90295515663</v>
      </c>
      <c r="N11" s="47">
        <f>IFERROR((F11/B11)^(1/4)-1,"")</f>
        <v>9.4786902261484007E-2</v>
      </c>
    </row>
    <row r="12" spans="1:17" x14ac:dyDescent="0.3">
      <c r="A12" s="71" t="s">
        <v>179</v>
      </c>
      <c r="B12" s="47">
        <f>(B11/$C$2)*-1</f>
        <v>6.6169654811798359E-2</v>
      </c>
      <c r="C12" s="47">
        <f>(C11/$C$2)*-1</f>
        <v>7.2998946292613748E-2</v>
      </c>
      <c r="D12" s="47">
        <f>(D11/$D$2)*-1</f>
        <v>7.4075350135230575E-2</v>
      </c>
      <c r="E12" s="47">
        <f>(E11/$E$2)*-1</f>
        <v>7.7955783415584401E-2</v>
      </c>
      <c r="F12" s="47">
        <f>(F11/$F$2)*-1</f>
        <v>7.2326403670549919E-2</v>
      </c>
      <c r="G12" s="47">
        <f>((AVERAGE(D12:F12))*-1)*-1</f>
        <v>7.4785845740454979E-2</v>
      </c>
      <c r="H12" s="47">
        <v>7.4785845740454979E-2</v>
      </c>
      <c r="I12" s="47">
        <v>7.4785845740454979E-2</v>
      </c>
      <c r="J12" s="47">
        <v>7.4785845740454979E-2</v>
      </c>
      <c r="K12" s="47">
        <v>7.4785845740454979E-2</v>
      </c>
      <c r="L12" s="75"/>
    </row>
    <row r="13" spans="1:17" x14ac:dyDescent="0.3">
      <c r="A13" t="s">
        <v>164</v>
      </c>
      <c r="B13" s="53">
        <v>-629391</v>
      </c>
      <c r="C13" s="53">
        <v>-818705</v>
      </c>
      <c r="D13" s="53">
        <v>-1019453</v>
      </c>
      <c r="E13" s="53">
        <v>-1229850</v>
      </c>
      <c r="F13" s="53">
        <v>-1261500</v>
      </c>
      <c r="G13" s="52">
        <f>(G2*G14)*-1</f>
        <v>-1417546.0093774672</v>
      </c>
      <c r="H13" s="52">
        <f>(H2*H14)*-1</f>
        <v>-1538037.4201745519</v>
      </c>
      <c r="I13" s="52">
        <f>(I2*I14)*-1</f>
        <v>-1673384.7131499127</v>
      </c>
      <c r="J13" s="52">
        <f>(J2*J14)*-1</f>
        <v>-1798888.5666361561</v>
      </c>
      <c r="K13" s="52">
        <f>(K2*K14)*-1</f>
        <v>-1926609.6548673231</v>
      </c>
    </row>
    <row r="14" spans="1:17" x14ac:dyDescent="0.3">
      <c r="A14" s="71" t="s">
        <v>179</v>
      </c>
      <c r="B14" s="47">
        <f>(B13/$C$2)*-1</f>
        <v>9.9728412863152718E-2</v>
      </c>
      <c r="C14" s="47">
        <f>(C13/$C$2)*-1</f>
        <v>0.12972563994897837</v>
      </c>
      <c r="D14" s="47">
        <f>(D13/$D$2)*-1</f>
        <v>0.14277999228854457</v>
      </c>
      <c r="E14" s="47">
        <f>(E13/$E$2)*-1</f>
        <v>0.16413956554298317</v>
      </c>
      <c r="F14" s="47">
        <f>(F13/$F$2)*-1</f>
        <v>0.15209161231938442</v>
      </c>
      <c r="G14" s="47">
        <f>((AVERAGE(D14:F14))*-1)*-1</f>
        <v>0.15300372338363741</v>
      </c>
      <c r="H14" s="47">
        <v>0.15300372338363741</v>
      </c>
      <c r="I14" s="47">
        <v>0.15300372338363741</v>
      </c>
      <c r="J14" s="47">
        <v>0.15300372338363741</v>
      </c>
      <c r="K14" s="47">
        <v>0.15300372338363741</v>
      </c>
    </row>
    <row r="15" spans="1:17" x14ac:dyDescent="0.3">
      <c r="A15" t="s">
        <v>100</v>
      </c>
      <c r="B15" s="65">
        <f>B9+B11+B13</f>
        <v>-1260891</v>
      </c>
      <c r="C15" s="65">
        <f t="shared" ref="C15:K15" si="12">C9+C11+C13</f>
        <v>-1528605</v>
      </c>
      <c r="D15" s="65">
        <f t="shared" si="12"/>
        <v>-1771953</v>
      </c>
      <c r="E15" s="65">
        <f t="shared" si="12"/>
        <v>-2038150</v>
      </c>
      <c r="F15" s="65">
        <f t="shared" si="12"/>
        <v>-2098400</v>
      </c>
      <c r="G15" s="65">
        <f t="shared" si="12"/>
        <v>-2387784.9544045944</v>
      </c>
      <c r="H15" s="65">
        <f t="shared" si="12"/>
        <v>-2590746.675528985</v>
      </c>
      <c r="I15" s="65">
        <f t="shared" si="12"/>
        <v>-2818732.3829755359</v>
      </c>
      <c r="J15" s="65">
        <f t="shared" si="12"/>
        <v>-3030137.3116987012</v>
      </c>
      <c r="K15" s="65">
        <f t="shared" si="12"/>
        <v>-3245277.0608293088</v>
      </c>
    </row>
    <row r="16" spans="1:17" x14ac:dyDescent="0.3">
      <c r="A16" s="4" t="s">
        <v>101</v>
      </c>
      <c r="B16" s="36">
        <f>SUM(B15,B6)</f>
        <v>1847622</v>
      </c>
      <c r="C16" s="36">
        <f>SUM(C15,C6)</f>
        <v>1645962</v>
      </c>
      <c r="D16" s="36">
        <f>SUM(D15,D6)</f>
        <v>2022253</v>
      </c>
      <c r="E16" s="36">
        <f t="shared" ref="E16:F16" si="13">SUM(E15,E6)</f>
        <v>2010728</v>
      </c>
      <c r="F16" s="36">
        <f t="shared" si="13"/>
        <v>2533795</v>
      </c>
      <c r="G16" s="36">
        <f t="shared" ref="G16:K16" si="14">SUM(G15,G6)</f>
        <v>2553282.125253127</v>
      </c>
      <c r="H16" s="36">
        <f t="shared" si="14"/>
        <v>2770311.1058996427</v>
      </c>
      <c r="I16" s="36">
        <f t="shared" si="14"/>
        <v>3014098.483218811</v>
      </c>
      <c r="J16" s="36">
        <f t="shared" si="14"/>
        <v>3240155.8694602223</v>
      </c>
      <c r="K16" s="36">
        <f t="shared" si="14"/>
        <v>3470206.9361918978</v>
      </c>
    </row>
    <row r="17" spans="1:15" x14ac:dyDescent="0.3">
      <c r="A17" s="71" t="s">
        <v>179</v>
      </c>
      <c r="B17" s="47">
        <f>((B16/$C$2)*-1)*-1</f>
        <v>0.29275984186466597</v>
      </c>
      <c r="C17" s="47">
        <f>C16/C2</f>
        <v>0.2608063634418995</v>
      </c>
      <c r="D17" s="47">
        <f t="shared" ref="D17:K17" si="15">D16/D2</f>
        <v>0.28322764045570137</v>
      </c>
      <c r="E17" s="47">
        <f t="shared" si="15"/>
        <v>0.26835794637159938</v>
      </c>
      <c r="F17" s="47">
        <f t="shared" si="15"/>
        <v>0.30548471409971834</v>
      </c>
      <c r="G17" s="47">
        <f t="shared" si="15"/>
        <v>0.2755901180125922</v>
      </c>
      <c r="H17" s="47">
        <f t="shared" si="15"/>
        <v>0.27559011801259214</v>
      </c>
      <c r="I17" s="47">
        <f t="shared" si="15"/>
        <v>0.27559011801259214</v>
      </c>
      <c r="J17" s="47">
        <f t="shared" si="15"/>
        <v>0.27559011801259214</v>
      </c>
      <c r="K17" s="47">
        <f t="shared" si="15"/>
        <v>0.27559011801259214</v>
      </c>
    </row>
    <row r="18" spans="1:15" x14ac:dyDescent="0.3">
      <c r="A18" s="71"/>
      <c r="B18" s="52"/>
      <c r="C18" s="52"/>
      <c r="D18" s="52"/>
    </row>
    <row r="19" spans="1:15" x14ac:dyDescent="0.3">
      <c r="A19" t="s">
        <v>71</v>
      </c>
      <c r="B19" s="53">
        <f>(50155)*-1</f>
        <v>-50155</v>
      </c>
      <c r="C19" s="53">
        <f>(61241)*-1</f>
        <v>-61241</v>
      </c>
      <c r="D19" s="53">
        <f>(68898)*-1</f>
        <v>-68898</v>
      </c>
      <c r="E19" s="53">
        <v>-80434</v>
      </c>
      <c r="F19" s="53">
        <v>-114441</v>
      </c>
      <c r="G19" s="87">
        <f>-'Depreciation Schedule'!I19</f>
        <v>-124400.39219924812</v>
      </c>
      <c r="H19" s="87">
        <f>-'Depreciation Schedule'!J19</f>
        <v>-135851.10826174813</v>
      </c>
      <c r="I19" s="87">
        <f>-'Depreciation Schedule'!K19</f>
        <v>-148309.48733774814</v>
      </c>
      <c r="J19" s="87">
        <f>-'Depreciation Schedule'!L19</f>
        <v>-161702.24484444814</v>
      </c>
      <c r="K19" s="87">
        <f>-'Depreciation Schedule'!M19</f>
        <v>-176045.88813412384</v>
      </c>
    </row>
    <row r="20" spans="1:15" hidden="1" outlineLevel="1" x14ac:dyDescent="0.3">
      <c r="A20" t="s">
        <v>169</v>
      </c>
      <c r="B20" s="53">
        <v>-4400</v>
      </c>
      <c r="C20" s="53">
        <v>-7600</v>
      </c>
      <c r="D20" s="53">
        <v>-5900</v>
      </c>
      <c r="E20" s="53">
        <v>-7500</v>
      </c>
      <c r="F20" s="53">
        <v>-19300</v>
      </c>
      <c r="G20" s="67"/>
      <c r="H20" s="67"/>
      <c r="I20" s="67"/>
      <c r="J20" s="67"/>
      <c r="K20" s="67"/>
    </row>
    <row r="21" spans="1:15" outlineLevel="1" x14ac:dyDescent="0.3">
      <c r="A21" s="71" t="s">
        <v>179</v>
      </c>
      <c r="B21" s="47">
        <f t="shared" ref="B21:G21" si="16">-B19/B2</f>
        <v>9.0510402515487191E-3</v>
      </c>
      <c r="C21" s="47">
        <f t="shared" si="16"/>
        <v>9.7037735400606877E-3</v>
      </c>
      <c r="D21" s="47">
        <f t="shared" si="16"/>
        <v>9.6495433420629925E-3</v>
      </c>
      <c r="E21" s="47">
        <f t="shared" si="16"/>
        <v>1.0734969154680904E-2</v>
      </c>
      <c r="F21" s="47">
        <f t="shared" si="16"/>
        <v>1.3797476183466249E-2</v>
      </c>
      <c r="G21" s="47">
        <f t="shared" si="16"/>
        <v>1.3427234862894263E-2</v>
      </c>
      <c r="H21" s="47">
        <f t="shared" ref="H21:K21" si="17">-H19/H2</f>
        <v>1.3514447124103206E-2</v>
      </c>
      <c r="I21" s="47">
        <f t="shared" si="17"/>
        <v>1.3560482295239543E-2</v>
      </c>
      <c r="J21" s="47">
        <f t="shared" si="17"/>
        <v>1.3753517588339471E-2</v>
      </c>
      <c r="K21" s="47">
        <f t="shared" si="17"/>
        <v>1.3980868570263236E-2</v>
      </c>
    </row>
    <row r="22" spans="1:15" x14ac:dyDescent="0.3">
      <c r="A22" s="4" t="s">
        <v>17</v>
      </c>
      <c r="B22" s="36">
        <f>SUM(B16,B19)</f>
        <v>1797467</v>
      </c>
      <c r="C22" s="36">
        <f t="shared" ref="C22:K22" si="18">SUM(C16,C19)</f>
        <v>1584721</v>
      </c>
      <c r="D22" s="36">
        <f t="shared" si="18"/>
        <v>1953355</v>
      </c>
      <c r="E22" s="36">
        <f t="shared" si="18"/>
        <v>1930294</v>
      </c>
      <c r="F22" s="36">
        <f t="shared" si="18"/>
        <v>2419354</v>
      </c>
      <c r="G22" s="36">
        <f t="shared" si="18"/>
        <v>2428881.7330538789</v>
      </c>
      <c r="H22" s="36">
        <f t="shared" si="18"/>
        <v>2634459.9976378945</v>
      </c>
      <c r="I22" s="36">
        <f t="shared" si="18"/>
        <v>2865788.9958810629</v>
      </c>
      <c r="J22" s="36">
        <f t="shared" si="18"/>
        <v>3078453.624615774</v>
      </c>
      <c r="K22" s="36">
        <f t="shared" si="18"/>
        <v>3294161.0480577741</v>
      </c>
    </row>
    <row r="23" spans="1:15" x14ac:dyDescent="0.3">
      <c r="A23" s="71" t="s">
        <v>179</v>
      </c>
      <c r="B23" s="47">
        <f>B22/B2</f>
        <v>0.32437336592225147</v>
      </c>
      <c r="C23" s="47">
        <f t="shared" ref="C23:K23" si="19">C22/C2</f>
        <v>0.25110258990183881</v>
      </c>
      <c r="D23" s="47">
        <f t="shared" si="19"/>
        <v>0.27357809711363834</v>
      </c>
      <c r="E23" s="47">
        <f t="shared" si="19"/>
        <v>0.25762297721691846</v>
      </c>
      <c r="F23" s="47">
        <f t="shared" si="19"/>
        <v>0.29168723791625206</v>
      </c>
      <c r="G23" s="47">
        <f t="shared" si="19"/>
        <v>0.26216288314969793</v>
      </c>
      <c r="H23" s="47">
        <f t="shared" si="19"/>
        <v>0.26207567088848893</v>
      </c>
      <c r="I23" s="47">
        <f t="shared" si="19"/>
        <v>0.2620296357173526</v>
      </c>
      <c r="J23" s="47">
        <f t="shared" si="19"/>
        <v>0.26183660042425266</v>
      </c>
      <c r="K23" s="47">
        <f t="shared" si="19"/>
        <v>0.26160924944232894</v>
      </c>
    </row>
    <row r="24" spans="1:15" x14ac:dyDescent="0.3">
      <c r="A24" s="71"/>
      <c r="B24" s="52"/>
      <c r="C24" s="52"/>
      <c r="D24" s="52"/>
    </row>
    <row r="25" spans="1:15" ht="28.8" x14ac:dyDescent="0.3">
      <c r="A25" s="134" t="s">
        <v>134</v>
      </c>
      <c r="B25" s="69">
        <v>3952</v>
      </c>
      <c r="C25" s="69">
        <v>-12757</v>
      </c>
      <c r="D25" s="69">
        <v>115127</v>
      </c>
      <c r="E25" s="69">
        <v>59165</v>
      </c>
      <c r="F25" s="69">
        <v>63175</v>
      </c>
      <c r="G25" s="87">
        <f ca="1">'Debt Schedule'!G30-'Debt Schedule'!G28</f>
        <v>58532.604601909996</v>
      </c>
      <c r="H25" s="87">
        <f ca="1">'Debt Schedule'!H30-'Debt Schedule'!H28</f>
        <v>95172.475456584725</v>
      </c>
      <c r="I25" s="87">
        <f ca="1">'Debt Schedule'!I30-'Debt Schedule'!I28</f>
        <v>134991.45543776976</v>
      </c>
      <c r="J25" s="87">
        <f ca="1">'Debt Schedule'!J30-'Debt Schedule'!J28</f>
        <v>178596.03869270874</v>
      </c>
      <c r="K25" s="87">
        <f ca="1">'Debt Schedule'!K30-'Debt Schedule'!K28</f>
        <v>226054.21334711582</v>
      </c>
    </row>
    <row r="26" spans="1:15" ht="28.8" x14ac:dyDescent="0.3">
      <c r="A26" s="72" t="s">
        <v>135</v>
      </c>
      <c r="B26" s="66">
        <f>B22+B25</f>
        <v>1801419</v>
      </c>
      <c r="C26" s="66">
        <f>C22+C25</f>
        <v>1571964</v>
      </c>
      <c r="D26" s="66">
        <f>D22+D25</f>
        <v>2068482</v>
      </c>
      <c r="E26" s="66">
        <f>E22+E25</f>
        <v>1989459</v>
      </c>
      <c r="F26" s="66">
        <f>F22+F25</f>
        <v>2482529</v>
      </c>
      <c r="G26" s="66">
        <f ca="1">G25+G22</f>
        <v>2487414.3376557888</v>
      </c>
      <c r="H26" s="66">
        <f t="shared" ref="H26:K26" ca="1" si="20">H25+H22</f>
        <v>2729632.4730944792</v>
      </c>
      <c r="I26" s="66">
        <f t="shared" ca="1" si="20"/>
        <v>3000780.4513188326</v>
      </c>
      <c r="J26" s="66">
        <f t="shared" ca="1" si="20"/>
        <v>3257049.6633084826</v>
      </c>
      <c r="K26" s="66">
        <f t="shared" ca="1" si="20"/>
        <v>3520215.2614048901</v>
      </c>
    </row>
    <row r="27" spans="1:15" x14ac:dyDescent="0.3">
      <c r="A27" s="71" t="s">
        <v>179</v>
      </c>
      <c r="B27" s="47">
        <f>(B26/$C$2)</f>
        <v>0.28543887308767957</v>
      </c>
      <c r="C27" s="47">
        <f>C26/$C$2</f>
        <v>0.24908121469486061</v>
      </c>
      <c r="D27" s="47">
        <f>D26/$D$2</f>
        <v>0.28970226583176784</v>
      </c>
      <c r="E27" s="47">
        <f>E26/$E$2</f>
        <v>0.26551932018179275</v>
      </c>
      <c r="F27" s="47">
        <f>F26/$F$2</f>
        <v>0.2993038749422347</v>
      </c>
      <c r="G27" s="47">
        <f ca="1">G26/G2</f>
        <v>0.26848063677758011</v>
      </c>
      <c r="H27" s="47">
        <f t="shared" ref="H27:K27" ca="1" si="21">H26/H2</f>
        <v>0.27154341394693982</v>
      </c>
      <c r="I27" s="47">
        <f t="shared" ca="1" si="21"/>
        <v>0.27437240133762436</v>
      </c>
      <c r="J27" s="47">
        <f t="shared" ca="1" si="21"/>
        <v>0.27702701266454544</v>
      </c>
      <c r="K27" s="47">
        <f t="shared" ca="1" si="21"/>
        <v>0.27956158153061056</v>
      </c>
    </row>
    <row r="29" spans="1:15" x14ac:dyDescent="0.3">
      <c r="A29" t="s">
        <v>136</v>
      </c>
      <c r="B29" s="53">
        <v>-423944</v>
      </c>
      <c r="C29" s="53">
        <v>-380340</v>
      </c>
      <c r="D29" s="53">
        <v>-437494</v>
      </c>
      <c r="E29" s="53">
        <v>-480411</v>
      </c>
      <c r="F29" s="53">
        <v>-577097</v>
      </c>
      <c r="G29" s="52">
        <f ca="1">(G30*G26)*-1</f>
        <v>-522357.01090771559</v>
      </c>
      <c r="H29" s="52">
        <f ca="1">(H30*H26)*-1</f>
        <v>-573222.81934984063</v>
      </c>
      <c r="I29" s="52">
        <f ca="1">(I30*I26)*-1</f>
        <v>-630163.89477695478</v>
      </c>
      <c r="J29" s="52">
        <f ca="1">(J30*J26)*-1</f>
        <v>-683980.42929478129</v>
      </c>
      <c r="K29" s="52">
        <f ca="1">(K30*K26)*-1</f>
        <v>-739245.20489502687</v>
      </c>
      <c r="O29" s="77"/>
    </row>
    <row r="30" spans="1:15" x14ac:dyDescent="0.3">
      <c r="A30" s="71" t="s">
        <v>180</v>
      </c>
      <c r="B30" s="47">
        <f>(B29/$C$2)*-1</f>
        <v>6.7174875813058046E-2</v>
      </c>
      <c r="C30" s="47">
        <f>(C29/C26)*-1</f>
        <v>0.24195210577341467</v>
      </c>
      <c r="D30" s="47">
        <f>(D29/D26)*-1</f>
        <v>0.21150486201958732</v>
      </c>
      <c r="E30" s="47">
        <f>(E29/E26)*-1</f>
        <v>0.24147821091060434</v>
      </c>
      <c r="F30" s="47">
        <f>(F29/F26)*-1</f>
        <v>0.23246334685314854</v>
      </c>
      <c r="G30" s="125">
        <v>0.21</v>
      </c>
      <c r="H30" s="125">
        <v>0.21</v>
      </c>
      <c r="I30" s="125">
        <v>0.21</v>
      </c>
      <c r="J30" s="125">
        <v>0.21</v>
      </c>
      <c r="K30" s="125">
        <v>0.21</v>
      </c>
    </row>
    <row r="31" spans="1:15" ht="15" thickBot="1" x14ac:dyDescent="0.35">
      <c r="A31" t="s">
        <v>137</v>
      </c>
      <c r="B31" s="42">
        <f>SUM(B29,B26)</f>
        <v>1377475</v>
      </c>
      <c r="C31" s="42">
        <f t="shared" ref="C31:K31" si="22">SUM(C29,C26)</f>
        <v>1191624</v>
      </c>
      <c r="D31" s="42">
        <f t="shared" si="22"/>
        <v>1630988</v>
      </c>
      <c r="E31" s="42">
        <f t="shared" si="22"/>
        <v>1509048</v>
      </c>
      <c r="F31" s="42">
        <f t="shared" si="22"/>
        <v>1905432</v>
      </c>
      <c r="G31" s="42">
        <f t="shared" ca="1" si="22"/>
        <v>1965057.3267480731</v>
      </c>
      <c r="H31" s="42">
        <f t="shared" ca="1" si="22"/>
        <v>2156409.6537446384</v>
      </c>
      <c r="I31" s="42">
        <f t="shared" ca="1" si="22"/>
        <v>2370616.5565418778</v>
      </c>
      <c r="J31" s="42">
        <f t="shared" ca="1" si="22"/>
        <v>2573069.2340137013</v>
      </c>
      <c r="K31" s="42">
        <f t="shared" ca="1" si="22"/>
        <v>2780970.0565098631</v>
      </c>
      <c r="M31" s="78"/>
    </row>
    <row r="32" spans="1:15" ht="15" thickTop="1" x14ac:dyDescent="0.3">
      <c r="A32" s="71" t="s">
        <v>179</v>
      </c>
      <c r="B32" s="47">
        <f>B31/B2</f>
        <v>0.24858103221018987</v>
      </c>
      <c r="C32" s="47">
        <f t="shared" ref="C32:K32" si="23">C31/C2</f>
        <v>0.18881549029083908</v>
      </c>
      <c r="D32" s="47">
        <f t="shared" si="23"/>
        <v>0.22842882807025799</v>
      </c>
      <c r="E32" s="47">
        <f t="shared" si="23"/>
        <v>0.20140218978209351</v>
      </c>
      <c r="F32" s="47">
        <f t="shared" si="23"/>
        <v>0.22972669444704663</v>
      </c>
      <c r="G32" s="47">
        <f t="shared" ca="1" si="23"/>
        <v>0.2120997030542883</v>
      </c>
      <c r="H32" s="47">
        <f t="shared" ca="1" si="23"/>
        <v>0.21451929701808245</v>
      </c>
      <c r="I32" s="47">
        <f t="shared" ca="1" si="23"/>
        <v>0.21675419705672327</v>
      </c>
      <c r="J32" s="47">
        <f t="shared" ca="1" si="23"/>
        <v>0.21885134000499093</v>
      </c>
      <c r="K32" s="47">
        <f t="shared" ca="1" si="23"/>
        <v>0.22085364940918234</v>
      </c>
    </row>
    <row r="34" spans="1:11" x14ac:dyDescent="0.3">
      <c r="A34" t="s">
        <v>138</v>
      </c>
      <c r="B34" s="70">
        <f>B31/B37</f>
        <v>1.3025448074089905</v>
      </c>
      <c r="C34" s="70">
        <f>C31/C37</f>
        <v>1.1310473652138753</v>
      </c>
      <c r="D34" s="70">
        <f>D31/D37</f>
        <v>1.5609228557729209</v>
      </c>
      <c r="E34" s="70">
        <f t="shared" ref="E34:F34" si="24">E31/E37</f>
        <v>1.5021890050031557</v>
      </c>
      <c r="F34" s="70">
        <f t="shared" si="24"/>
        <v>0.97625647231697932</v>
      </c>
      <c r="G34" s="70">
        <f t="shared" ref="G34:K34" ca="1" si="25">G31/G37</f>
        <v>1.6074585592487629</v>
      </c>
      <c r="H34" s="70">
        <f t="shared" ca="1" si="25"/>
        <v>1.7639888200589258</v>
      </c>
      <c r="I34" s="70">
        <f t="shared" ca="1" si="25"/>
        <v>1.9392146084695936</v>
      </c>
      <c r="J34" s="70">
        <f t="shared" ca="1" si="25"/>
        <v>2.1048251913340974</v>
      </c>
      <c r="K34" s="70">
        <f t="shared" ca="1" si="25"/>
        <v>2.2748924723479083</v>
      </c>
    </row>
    <row r="35" spans="1:11" x14ac:dyDescent="0.3">
      <c r="A35" t="s">
        <v>139</v>
      </c>
      <c r="B35" s="70">
        <f>B31/B38</f>
        <v>1.2858240344709777</v>
      </c>
      <c r="C35" s="70">
        <f>C31/C38</f>
        <v>1.1173828487625206</v>
      </c>
      <c r="D35" s="70">
        <f>D31/D38</f>
        <v>1.5416042443106257</v>
      </c>
      <c r="E35" s="70">
        <f t="shared" ref="E35:F35" si="26">E31/E38</f>
        <v>1.4895247984664997</v>
      </c>
      <c r="F35" s="70">
        <f t="shared" si="26"/>
        <v>0.96776375868377396</v>
      </c>
      <c r="G35" s="70">
        <f t="shared" ref="G35:K35" ca="1" si="27">G31/G38</f>
        <v>1.5904415444785147</v>
      </c>
      <c r="H35" s="70">
        <f t="shared" ca="1" si="27"/>
        <v>1.7453147313038637</v>
      </c>
      <c r="I35" s="70">
        <f t="shared" ca="1" si="27"/>
        <v>1.9186855295424015</v>
      </c>
      <c r="J35" s="70">
        <f t="shared" ca="1" si="27"/>
        <v>2.0825429115430323</v>
      </c>
      <c r="K35" s="70">
        <f t="shared" ca="1" si="27"/>
        <v>2.2508098118152708</v>
      </c>
    </row>
    <row r="37" spans="1:11" x14ac:dyDescent="0.3">
      <c r="A37" t="s">
        <v>138</v>
      </c>
      <c r="B37" s="52">
        <v>1057526</v>
      </c>
      <c r="C37" s="52">
        <v>1053558</v>
      </c>
      <c r="D37" s="52">
        <v>1044887</v>
      </c>
      <c r="E37" s="52">
        <v>1004566</v>
      </c>
      <c r="F37" s="52">
        <f>975887*2</f>
        <v>1951774</v>
      </c>
      <c r="G37" s="51">
        <f>AVERAGE(B37:F37)</f>
        <v>1222462.2</v>
      </c>
      <c r="H37" s="51">
        <v>1222462.2</v>
      </c>
      <c r="I37" s="51">
        <v>1222462.2</v>
      </c>
      <c r="J37" s="51">
        <v>1222462.2</v>
      </c>
      <c r="K37" s="51">
        <v>1222462.2</v>
      </c>
    </row>
    <row r="38" spans="1:11" x14ac:dyDescent="0.3">
      <c r="A38" t="s">
        <v>139</v>
      </c>
      <c r="B38" s="52">
        <v>1071278</v>
      </c>
      <c r="C38" s="52">
        <v>1066442</v>
      </c>
      <c r="D38" s="52">
        <v>1057981</v>
      </c>
      <c r="E38" s="52">
        <v>1013107</v>
      </c>
      <c r="F38" s="52">
        <f>984451*2</f>
        <v>1968902</v>
      </c>
      <c r="G38" s="51">
        <f>AVERAGE(B38:F38)</f>
        <v>1235542</v>
      </c>
      <c r="H38" s="51">
        <v>1235542</v>
      </c>
      <c r="I38" s="51">
        <v>1235542</v>
      </c>
      <c r="J38" s="51">
        <v>1235542</v>
      </c>
      <c r="K38" s="51">
        <v>1235542</v>
      </c>
    </row>
    <row r="39" spans="1:11" x14ac:dyDescent="0.3">
      <c r="A39" s="4"/>
      <c r="B39" s="52"/>
      <c r="C39" s="52"/>
      <c r="D39" s="52"/>
    </row>
    <row r="41" spans="1:11" x14ac:dyDescent="0.3">
      <c r="A41" s="4"/>
    </row>
    <row r="42" spans="1:11" x14ac:dyDescent="0.3">
      <c r="A42" s="4"/>
      <c r="B42" s="52"/>
      <c r="C42" s="52"/>
      <c r="D42" s="52"/>
    </row>
    <row r="44" spans="1:11" x14ac:dyDescent="0.3">
      <c r="B44" s="53"/>
      <c r="C44" s="53"/>
      <c r="D44" s="53"/>
    </row>
    <row r="45" spans="1:11" x14ac:dyDescent="0.3">
      <c r="B45" s="53"/>
      <c r="C45" s="53"/>
      <c r="D45" s="5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C309-4CDB-4871-8D85-3CD5EFB906D7}">
  <dimension ref="A1:L60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8" sqref="E38"/>
    </sheetView>
  </sheetViews>
  <sheetFormatPr defaultRowHeight="14.4" x14ac:dyDescent="0.3"/>
  <cols>
    <col min="1" max="1" width="70.88671875" customWidth="1"/>
    <col min="2" max="11" width="15.77734375" customWidth="1"/>
  </cols>
  <sheetData>
    <row r="1" spans="1:12" x14ac:dyDescent="0.3">
      <c r="A1" t="s">
        <v>166</v>
      </c>
      <c r="B1" s="2">
        <v>2021</v>
      </c>
      <c r="C1" s="2">
        <v>2022</v>
      </c>
      <c r="D1" s="2">
        <v>2023</v>
      </c>
      <c r="E1" s="2">
        <f>D1+1</f>
        <v>2024</v>
      </c>
      <c r="F1" s="2">
        <f t="shared" ref="F1:K1" si="0">E1+1</f>
        <v>2025</v>
      </c>
      <c r="G1" s="3">
        <f t="shared" si="0"/>
        <v>2026</v>
      </c>
      <c r="H1" s="3">
        <f t="shared" si="0"/>
        <v>2027</v>
      </c>
      <c r="I1" s="3">
        <f t="shared" si="0"/>
        <v>2028</v>
      </c>
      <c r="J1" s="3">
        <f t="shared" si="0"/>
        <v>2029</v>
      </c>
      <c r="K1" s="3">
        <f t="shared" si="0"/>
        <v>2030</v>
      </c>
    </row>
    <row r="2" spans="1:12" x14ac:dyDescent="0.3">
      <c r="A2" s="4" t="s">
        <v>9</v>
      </c>
    </row>
    <row r="3" spans="1:12" x14ac:dyDescent="0.3">
      <c r="A3" t="s">
        <v>140</v>
      </c>
      <c r="B3" s="53">
        <f>I.S!B31</f>
        <v>1377475</v>
      </c>
      <c r="C3" s="53">
        <f>I.S!C31</f>
        <v>1191624</v>
      </c>
      <c r="D3" s="53">
        <f>I.S!D31</f>
        <v>1630988</v>
      </c>
      <c r="E3" s="53">
        <f>I.S!E31</f>
        <v>1509048</v>
      </c>
      <c r="F3" s="53">
        <f>I.S!F31</f>
        <v>1905432</v>
      </c>
      <c r="G3" s="95">
        <f ca="1">I.S!G31</f>
        <v>1965057.3267480731</v>
      </c>
      <c r="H3" s="53">
        <f ca="1">I.S!H31</f>
        <v>2156409.6537446384</v>
      </c>
      <c r="I3" s="53">
        <f ca="1">I.S!I31</f>
        <v>2370616.5565418778</v>
      </c>
      <c r="J3" s="53">
        <f ca="1">I.S!J31</f>
        <v>2573069.2340137013</v>
      </c>
      <c r="K3" s="53">
        <f ca="1">I.S!K31</f>
        <v>2780970.0565098631</v>
      </c>
    </row>
    <row r="4" spans="1:12" x14ac:dyDescent="0.3">
      <c r="A4" t="s">
        <v>141</v>
      </c>
      <c r="B4" s="53">
        <v>50155</v>
      </c>
      <c r="C4" s="53">
        <v>61241</v>
      </c>
      <c r="D4" s="53">
        <v>68898</v>
      </c>
      <c r="E4" s="53">
        <v>80434</v>
      </c>
      <c r="F4" s="53">
        <v>114441</v>
      </c>
      <c r="G4" s="94">
        <f>I.S!G19</f>
        <v>-124400.39219924812</v>
      </c>
      <c r="H4" s="87">
        <f>I.S!H19</f>
        <v>-135851.10826174813</v>
      </c>
      <c r="I4" s="87">
        <f>I.S!I19</f>
        <v>-148309.48733774814</v>
      </c>
      <c r="J4" s="87">
        <f>I.S!J19</f>
        <v>-161702.24484444814</v>
      </c>
      <c r="K4" s="87">
        <f>I.S!K19</f>
        <v>-176045.88813412384</v>
      </c>
    </row>
    <row r="5" spans="1:12" x14ac:dyDescent="0.3">
      <c r="A5" t="s">
        <v>142</v>
      </c>
      <c r="B5" s="53">
        <v>4107</v>
      </c>
      <c r="C5" s="53">
        <v>7337</v>
      </c>
      <c r="D5" s="53">
        <v>9043</v>
      </c>
      <c r="E5" s="53">
        <v>13521</v>
      </c>
      <c r="F5" s="53">
        <v>15398</v>
      </c>
      <c r="G5" s="99">
        <f>F5*(G6+1)</f>
        <v>17535.567191775757</v>
      </c>
      <c r="H5" s="80">
        <f t="shared" ref="H5:K5" si="1">G5*(H6+1)</f>
        <v>19969.873797719334</v>
      </c>
      <c r="I5" s="80">
        <f t="shared" si="1"/>
        <v>22742.11350767564</v>
      </c>
      <c r="J5" s="80">
        <f t="shared" si="1"/>
        <v>25899.198564543269</v>
      </c>
      <c r="K5" s="80">
        <f t="shared" si="1"/>
        <v>29494.553620060444</v>
      </c>
    </row>
    <row r="6" spans="1:12" x14ac:dyDescent="0.3">
      <c r="A6" s="71" t="s">
        <v>182</v>
      </c>
      <c r="B6" s="79"/>
      <c r="C6" s="79">
        <f>C5/B5-1</f>
        <v>0.78646213781348906</v>
      </c>
      <c r="D6" s="79">
        <f t="shared" ref="D6:F6" si="2">D5/C5-1</f>
        <v>0.23252010358457142</v>
      </c>
      <c r="E6" s="79">
        <f t="shared" si="2"/>
        <v>0.49518964945261534</v>
      </c>
      <c r="F6" s="79">
        <f t="shared" si="2"/>
        <v>0.13882109311441471</v>
      </c>
      <c r="G6" s="47">
        <f>F6</f>
        <v>0.13882109311441471</v>
      </c>
      <c r="H6" s="47">
        <f t="shared" ref="H6:K6" si="3">G6</f>
        <v>0.13882109311441471</v>
      </c>
      <c r="I6" s="47">
        <f t="shared" si="3"/>
        <v>0.13882109311441471</v>
      </c>
      <c r="J6" s="47">
        <f t="shared" si="3"/>
        <v>0.13882109311441471</v>
      </c>
      <c r="K6" s="47">
        <f t="shared" si="3"/>
        <v>0.13882109311441471</v>
      </c>
    </row>
    <row r="7" spans="1:12" x14ac:dyDescent="0.3">
      <c r="A7" t="s">
        <v>143</v>
      </c>
      <c r="B7" s="53">
        <v>-1013</v>
      </c>
      <c r="C7" s="53">
        <v>-185</v>
      </c>
      <c r="D7" s="53">
        <v>166</v>
      </c>
      <c r="E7" s="53">
        <v>3328</v>
      </c>
      <c r="F7" s="53">
        <v>2781</v>
      </c>
      <c r="G7" s="95">
        <v>3328</v>
      </c>
      <c r="H7" s="53">
        <v>2781</v>
      </c>
      <c r="I7" s="53">
        <v>3328</v>
      </c>
      <c r="J7" s="53">
        <v>2781</v>
      </c>
      <c r="K7" s="53">
        <v>3328</v>
      </c>
      <c r="L7" s="53"/>
    </row>
    <row r="8" spans="1:12" x14ac:dyDescent="0.3">
      <c r="A8" t="s">
        <v>144</v>
      </c>
      <c r="B8" s="53">
        <v>0</v>
      </c>
      <c r="C8" s="53">
        <v>0</v>
      </c>
      <c r="D8" s="53">
        <v>-45382</v>
      </c>
      <c r="E8" s="53" t="s">
        <v>145</v>
      </c>
      <c r="F8" s="53" t="s">
        <v>145</v>
      </c>
      <c r="G8" s="95">
        <v>0</v>
      </c>
      <c r="H8" s="53">
        <v>0</v>
      </c>
      <c r="I8" s="53">
        <v>0</v>
      </c>
      <c r="J8" s="53">
        <v>0</v>
      </c>
      <c r="K8" s="53">
        <v>0</v>
      </c>
    </row>
    <row r="9" spans="1:12" x14ac:dyDescent="0.3">
      <c r="A9" t="s">
        <v>146</v>
      </c>
      <c r="B9" s="53">
        <v>0</v>
      </c>
      <c r="C9" s="53">
        <v>2200</v>
      </c>
      <c r="D9" s="53">
        <v>38700</v>
      </c>
      <c r="E9" s="53">
        <v>127098</v>
      </c>
      <c r="F9" s="53">
        <v>38411</v>
      </c>
      <c r="G9" s="98">
        <f>F9</f>
        <v>38411</v>
      </c>
      <c r="H9" s="51">
        <f t="shared" ref="H9:K9" si="4">G9</f>
        <v>38411</v>
      </c>
      <c r="I9" s="51">
        <f t="shared" si="4"/>
        <v>38411</v>
      </c>
      <c r="J9" s="51">
        <f t="shared" si="4"/>
        <v>38411</v>
      </c>
      <c r="K9" s="51">
        <f t="shared" si="4"/>
        <v>38411</v>
      </c>
    </row>
    <row r="10" spans="1:12" x14ac:dyDescent="0.3">
      <c r="A10" t="s">
        <v>147</v>
      </c>
      <c r="B10" s="53">
        <v>0</v>
      </c>
      <c r="C10" s="53">
        <v>0</v>
      </c>
      <c r="D10" s="53">
        <v>4336</v>
      </c>
      <c r="E10" s="53">
        <v>8184</v>
      </c>
      <c r="F10" s="53">
        <v>12029</v>
      </c>
      <c r="G10" s="98">
        <f>F10</f>
        <v>12029</v>
      </c>
      <c r="H10" s="51">
        <f t="shared" ref="H10:K10" si="5">G10</f>
        <v>12029</v>
      </c>
      <c r="I10" s="51">
        <f t="shared" si="5"/>
        <v>12029</v>
      </c>
      <c r="J10" s="51">
        <f t="shared" si="5"/>
        <v>12029</v>
      </c>
      <c r="K10" s="51">
        <f t="shared" si="5"/>
        <v>12029</v>
      </c>
    </row>
    <row r="11" spans="1:12" x14ac:dyDescent="0.3">
      <c r="A11" t="s">
        <v>148</v>
      </c>
      <c r="B11" s="53">
        <v>70483</v>
      </c>
      <c r="C11" s="53">
        <v>64108</v>
      </c>
      <c r="D11" s="53">
        <v>68836</v>
      </c>
      <c r="E11" s="53">
        <v>90985</v>
      </c>
      <c r="F11" s="53">
        <v>125687</v>
      </c>
      <c r="G11" s="94">
        <f>(G12*I.S!G15)*-1</f>
        <v>115197.89470600754</v>
      </c>
      <c r="H11" s="52">
        <f>(H12*I.S!H15)*-1</f>
        <v>124989.72278893074</v>
      </c>
      <c r="I11" s="52">
        <f>(I12*I.S!I15)*-1</f>
        <v>135988.81839435667</v>
      </c>
      <c r="J11" s="52">
        <f>(J12*I.S!J15)*-1</f>
        <v>146187.97977393342</v>
      </c>
      <c r="K11" s="52">
        <f>(K12*I.S!K15)*-1</f>
        <v>156567.32633788267</v>
      </c>
    </row>
    <row r="12" spans="1:12" x14ac:dyDescent="0.3">
      <c r="A12" s="71" t="s">
        <v>181</v>
      </c>
      <c r="B12" s="74">
        <f>B11/-I.S!B15</f>
        <v>5.5899360055706636E-2</v>
      </c>
      <c r="C12" s="74">
        <f>C11/-I.S!C15</f>
        <v>4.193889199629728E-2</v>
      </c>
      <c r="D12" s="74">
        <f>D11/-I.S!D15</f>
        <v>3.8847531509018582E-2</v>
      </c>
      <c r="E12" s="74">
        <f>E11/-I.S!E15</f>
        <v>4.4640973431788633E-2</v>
      </c>
      <c r="F12" s="74">
        <f>F11/-I.S!F15</f>
        <v>5.9896587876477315E-2</v>
      </c>
      <c r="G12" s="77">
        <f>AVERAGE(B12:F12)</f>
        <v>4.8244668973857693E-2</v>
      </c>
      <c r="H12" s="77">
        <v>4.8244671688485341E-2</v>
      </c>
      <c r="I12" s="77">
        <v>4.8244671688485341E-2</v>
      </c>
      <c r="J12" s="77">
        <v>4.8244671688485341E-2</v>
      </c>
      <c r="K12" s="77">
        <v>4.8244671688485341E-2</v>
      </c>
    </row>
    <row r="13" spans="1:12" x14ac:dyDescent="0.3">
      <c r="A13" t="s">
        <v>149</v>
      </c>
      <c r="B13" s="53">
        <v>16429</v>
      </c>
      <c r="C13" s="53">
        <v>48182</v>
      </c>
      <c r="D13" s="53">
        <v>2040</v>
      </c>
      <c r="E13" s="53">
        <v>-11705</v>
      </c>
      <c r="F13" s="53">
        <v>4210</v>
      </c>
      <c r="G13" s="95">
        <f>'Depreciation Schedule'!I40</f>
        <v>8174.8902513078929</v>
      </c>
      <c r="H13" s="93">
        <f>'Depreciation Schedule'!J40</f>
        <v>8553.4574084456399</v>
      </c>
      <c r="I13" s="93">
        <f>'Depreciation Schedule'!K40</f>
        <v>4278.1050380706874</v>
      </c>
      <c r="J13" s="93">
        <f>'Depreciation Schedule'!L40</f>
        <v>530.22079549470891</v>
      </c>
      <c r="K13" s="93">
        <f>'Depreciation Schedule'!M40</f>
        <v>-483.59693996038897</v>
      </c>
      <c r="L13" s="53"/>
    </row>
    <row r="14" spans="1:12" x14ac:dyDescent="0.3">
      <c r="A14" s="72" t="s">
        <v>186</v>
      </c>
      <c r="B14" s="53">
        <v>492</v>
      </c>
      <c r="C14" s="53">
        <v>-4540</v>
      </c>
      <c r="D14" s="53">
        <v>22951</v>
      </c>
      <c r="E14" s="53">
        <v>13390</v>
      </c>
      <c r="F14" s="53">
        <v>-4935</v>
      </c>
      <c r="G14" s="95">
        <v>13390</v>
      </c>
      <c r="H14" s="53">
        <v>-4935</v>
      </c>
      <c r="I14" s="53">
        <v>13390</v>
      </c>
      <c r="J14" s="53">
        <v>-4935</v>
      </c>
      <c r="K14" s="53">
        <v>13390</v>
      </c>
      <c r="L14" s="53"/>
    </row>
    <row r="15" spans="1:12" x14ac:dyDescent="0.3">
      <c r="A15" s="4" t="s">
        <v>170</v>
      </c>
      <c r="B15" s="53"/>
      <c r="C15" s="53"/>
      <c r="D15" s="53"/>
      <c r="E15" s="53"/>
      <c r="F15" s="53"/>
    </row>
    <row r="16" spans="1:12" x14ac:dyDescent="0.3">
      <c r="A16" t="s">
        <v>150</v>
      </c>
      <c r="B16" s="53">
        <v>-254228</v>
      </c>
      <c r="C16" s="53">
        <v>-128981</v>
      </c>
      <c r="D16" s="53">
        <v>-163158</v>
      </c>
      <c r="E16" s="53">
        <v>-93915</v>
      </c>
      <c r="F16" s="53">
        <v>-300600</v>
      </c>
      <c r="G16" s="94">
        <f>('Working Capital Schedule'!G4-'Working Capital Schedule'!F4)*-1</f>
        <v>113612.34175583092</v>
      </c>
      <c r="H16" s="87">
        <f>('Working Capital Schedule'!H4-'Working Capital Schedule'!G4)*-1</f>
        <v>-127879.07095075445</v>
      </c>
      <c r="I16" s="87">
        <f>('Working Capital Schedule'!I4-'Working Capital Schedule'!H4)*-1</f>
        <v>-143645.80816915305</v>
      </c>
      <c r="J16" s="87">
        <f>('Working Capital Schedule'!J4-'Working Capital Schedule'!I4)*-1</f>
        <v>-133198.84030230576</v>
      </c>
      <c r="K16" s="87">
        <f>('Working Capital Schedule'!K4-'Working Capital Schedule'!J4)*-1</f>
        <v>-135552.01981431339</v>
      </c>
    </row>
    <row r="17" spans="1:12" x14ac:dyDescent="0.3">
      <c r="A17" t="s">
        <v>112</v>
      </c>
      <c r="B17" s="53">
        <v>-277793</v>
      </c>
      <c r="C17" s="53">
        <v>-347712</v>
      </c>
      <c r="D17" s="53">
        <v>7898</v>
      </c>
      <c r="E17" s="53">
        <v>211503</v>
      </c>
      <c r="F17" s="53">
        <v>-34918</v>
      </c>
      <c r="G17" s="94">
        <f>('Working Capital Schedule'!G6-'Working Capital Schedule'!F6)*-1</f>
        <v>-107546.93061438517</v>
      </c>
      <c r="H17" s="87">
        <f>('Working Capital Schedule'!H6-'Working Capital Schedule'!G6)*-1</f>
        <v>-77109.444102222915</v>
      </c>
      <c r="I17" s="87">
        <f>('Working Capital Schedule'!I6-'Working Capital Schedule'!H6)*-1</f>
        <v>-86616.584975061473</v>
      </c>
      <c r="J17" s="87">
        <f>('Working Capital Schedule'!J6-'Working Capital Schedule'!I6)*-1</f>
        <v>-80317.196976875188</v>
      </c>
      <c r="K17" s="87">
        <f>('Working Capital Schedule'!K6-'Working Capital Schedule'!J6)*-1</f>
        <v>-81736.134123466676</v>
      </c>
    </row>
    <row r="18" spans="1:12" x14ac:dyDescent="0.3">
      <c r="A18" t="s">
        <v>151</v>
      </c>
      <c r="B18" s="53">
        <v>-29341</v>
      </c>
      <c r="C18" s="53">
        <v>-38268</v>
      </c>
      <c r="D18" s="53">
        <v>-10215</v>
      </c>
      <c r="E18" s="53">
        <v>8959</v>
      </c>
      <c r="F18" s="53">
        <v>-39307</v>
      </c>
      <c r="G18" s="94">
        <f>('Working Capital Schedule'!G8-'Working Capital Schedule'!F8)*-1</f>
        <v>-16391.839685688086</v>
      </c>
      <c r="H18" s="87">
        <f>('Working Capital Schedule'!H8-'Working Capital Schedule'!G8)*-1</f>
        <v>-10195.147630877545</v>
      </c>
      <c r="I18" s="87">
        <f>('Working Capital Schedule'!I8-'Working Capital Schedule'!H8)*-1</f>
        <v>-11452.142883857785</v>
      </c>
      <c r="J18" s="87">
        <f>('Working Capital Schedule'!J8-'Working Capital Schedule'!I8)*-1</f>
        <v>-10619.259765031748</v>
      </c>
      <c r="K18" s="87">
        <f>('Working Capital Schedule'!K8-'Working Capital Schedule'!J8)*-1</f>
        <v>-10806.866687547328</v>
      </c>
    </row>
    <row r="19" spans="1:12" x14ac:dyDescent="0.3">
      <c r="A19" t="s">
        <v>114</v>
      </c>
      <c r="B19" s="53">
        <v>-10919</v>
      </c>
      <c r="C19" s="53">
        <v>-4439</v>
      </c>
      <c r="D19" s="53">
        <v>-18833</v>
      </c>
      <c r="E19" s="53">
        <v>3062</v>
      </c>
      <c r="F19" s="53">
        <v>-21094</v>
      </c>
      <c r="G19" s="94">
        <f ca="1">('Working Capital Schedule'!G10-'Working Capital Schedule'!F10)*-1</f>
        <v>22051.066331714217</v>
      </c>
      <c r="H19" s="87">
        <f ca="1">('Working Capital Schedule'!H10-'Working Capital Schedule'!G10)*-1</f>
        <v>-5120.6856093942188</v>
      </c>
      <c r="I19" s="87">
        <f ca="1">('Working Capital Schedule'!I10-'Working Capital Schedule'!H10)*-1</f>
        <v>-5732.2856837085346</v>
      </c>
      <c r="J19" s="87">
        <f ca="1">('Working Capital Schedule'!J10-'Working Capital Schedule'!I10)*-1</f>
        <v>-5417.736634746565</v>
      </c>
      <c r="K19" s="87">
        <f ca="1">('Working Capital Schedule'!K10-'Working Capital Schedule'!J10)*-1</f>
        <v>-5563.5317670133372</v>
      </c>
    </row>
    <row r="20" spans="1:12" x14ac:dyDescent="0.3">
      <c r="A20" t="s">
        <v>122</v>
      </c>
      <c r="B20" s="53">
        <v>114297</v>
      </c>
      <c r="C20" s="53">
        <v>49765</v>
      </c>
      <c r="D20" s="53">
        <v>112786</v>
      </c>
      <c r="E20" s="53">
        <v>-61491</v>
      </c>
      <c r="F20" s="53">
        <v>78460</v>
      </c>
      <c r="G20" s="94">
        <f>'Working Capital Schedule'!G14-'Working Capital Schedule'!F14</f>
        <v>43683.414556932985</v>
      </c>
      <c r="H20" s="87">
        <f>'Working Capital Schedule'!H14-'Working Capital Schedule'!G14</f>
        <v>51820.880237339297</v>
      </c>
      <c r="I20" s="87">
        <f>'Working Capital Schedule'!I14-'Working Capital Schedule'!H14</f>
        <v>58210.089941896033</v>
      </c>
      <c r="J20" s="87">
        <f>'Working Capital Schedule'!J14-'Working Capital Schedule'!I14</f>
        <v>53976.628855212475</v>
      </c>
      <c r="K20" s="87">
        <f>'Working Capital Schedule'!K14-'Working Capital Schedule'!J14</f>
        <v>54930.215964988107</v>
      </c>
    </row>
    <row r="21" spans="1:12" x14ac:dyDescent="0.3">
      <c r="A21" t="s">
        <v>123</v>
      </c>
      <c r="B21" s="53">
        <v>71586</v>
      </c>
      <c r="C21" s="53">
        <v>-30419</v>
      </c>
      <c r="D21" s="53">
        <v>-10393</v>
      </c>
      <c r="E21" s="53">
        <v>18371</v>
      </c>
      <c r="F21" s="53">
        <v>81341</v>
      </c>
      <c r="G21" s="94">
        <f>'Working Capital Schedule'!G16-'Working Capital Schedule'!F16</f>
        <v>-46962.391616475303</v>
      </c>
      <c r="H21" s="87">
        <f>'Working Capital Schedule'!H16-'Working Capital Schedule'!G16</f>
        <v>22025.436637976498</v>
      </c>
      <c r="I21" s="87">
        <f>'Working Capital Schedule'!I16-'Working Capital Schedule'!H16</f>
        <v>24741.027961892134</v>
      </c>
      <c r="J21" s="87">
        <f>'Working Capital Schedule'!J16-'Working Capital Schedule'!I16</f>
        <v>22941.680473754532</v>
      </c>
      <c r="K21" s="87">
        <f>'Working Capital Schedule'!K16-'Working Capital Schedule'!J16</f>
        <v>23346.983495457447</v>
      </c>
    </row>
    <row r="22" spans="1:12" x14ac:dyDescent="0.3">
      <c r="A22" t="s">
        <v>124</v>
      </c>
      <c r="B22" s="53">
        <v>31498</v>
      </c>
      <c r="C22" s="53">
        <v>50821</v>
      </c>
      <c r="D22" s="53">
        <v>8418</v>
      </c>
      <c r="E22" s="53">
        <v>9736</v>
      </c>
      <c r="F22" s="53">
        <v>98266</v>
      </c>
      <c r="G22" s="94">
        <f>'Working Capital Schedule'!G18-'Working Capital Schedule'!F18</f>
        <v>-37809.202849920606</v>
      </c>
      <c r="H22" s="87">
        <f>'Working Capital Schedule'!H18-'Working Capital Schedule'!G18</f>
        <v>29432.187830407987</v>
      </c>
      <c r="I22" s="87">
        <f>'Working Capital Schedule'!I18-'Working Capital Schedule'!H18</f>
        <v>33060.982678282948</v>
      </c>
      <c r="J22" s="87">
        <f>'Working Capital Schedule'!J18-'Working Capital Schedule'!I18</f>
        <v>30656.54757440777</v>
      </c>
      <c r="K22" s="87">
        <f>'Working Capital Schedule'!K18-'Working Capital Schedule'!J18</f>
        <v>31198.146581555658</v>
      </c>
    </row>
    <row r="23" spans="1:12" x14ac:dyDescent="0.3">
      <c r="A23" t="s">
        <v>126</v>
      </c>
      <c r="B23" s="53">
        <v>7950</v>
      </c>
      <c r="C23" s="53">
        <v>3729</v>
      </c>
      <c r="D23" s="53">
        <v>13398</v>
      </c>
      <c r="E23" s="53">
        <v>5947</v>
      </c>
      <c r="F23" s="53">
        <v>17801</v>
      </c>
      <c r="G23" s="94">
        <f>'Working Capital Schedule'!G20-'Working Capital Schedule'!F20</f>
        <v>8229.6161652287046</v>
      </c>
      <c r="H23" s="87">
        <f>'Working Capital Schedule'!H20-'Working Capital Schedule'!G20</f>
        <v>4551.9754946238172</v>
      </c>
      <c r="I23" s="87">
        <f>'Working Capital Schedule'!I20-'Working Capital Schedule'!H20</f>
        <v>5113.2040660670245</v>
      </c>
      <c r="J23" s="87">
        <f>'Working Capital Schedule'!J20-'Working Capital Schedule'!I20</f>
        <v>4741.334679443964</v>
      </c>
      <c r="K23" s="87">
        <f>'Working Capital Schedule'!K20-'Working Capital Schedule'!J20</f>
        <v>4825.0982587808103</v>
      </c>
    </row>
    <row r="24" spans="1:12" x14ac:dyDescent="0.3">
      <c r="A24" t="s">
        <v>127</v>
      </c>
      <c r="B24" s="53">
        <v>7221</v>
      </c>
      <c r="C24" s="53">
        <v>-16860</v>
      </c>
      <c r="D24" s="53">
        <v>1748</v>
      </c>
      <c r="E24" s="53">
        <v>9438</v>
      </c>
      <c r="F24" s="53">
        <v>27779</v>
      </c>
      <c r="G24" s="94">
        <f ca="1">'Working Capital Schedule'!G22-'Working Capital Schedule'!F22</f>
        <v>-18472.402449013854</v>
      </c>
      <c r="H24" s="87">
        <f ca="1">'Working Capital Schedule'!H22-'Working Capital Schedule'!G22</f>
        <v>9304.4762299892027</v>
      </c>
      <c r="I24" s="87">
        <f ca="1">'Working Capital Schedule'!I22-'Working Capital Schedule'!H22</f>
        <v>10415.776315133524</v>
      </c>
      <c r="J24" s="87">
        <f ca="1">'Working Capital Schedule'!J22-'Working Capital Schedule'!I22</f>
        <v>9844.2289926688827</v>
      </c>
      <c r="K24" s="87">
        <f ca="1">'Working Capital Schedule'!K22-'Working Capital Schedule'!J22</f>
        <v>10109.144171241045</v>
      </c>
    </row>
    <row r="25" spans="1:12" x14ac:dyDescent="0.3">
      <c r="A25" t="s">
        <v>125</v>
      </c>
      <c r="B25" s="53">
        <v>-22658</v>
      </c>
      <c r="C25" s="53">
        <v>-19905</v>
      </c>
      <c r="D25" s="53">
        <v>-24472</v>
      </c>
      <c r="E25" s="53">
        <v>-17360</v>
      </c>
      <c r="F25" s="53">
        <v>-23005</v>
      </c>
      <c r="G25" s="94">
        <f>'Working Capital Schedule'!G24-'Working Capital Schedule'!F24</f>
        <v>-15523.323101140777</v>
      </c>
      <c r="H25" s="87">
        <f>'Working Capital Schedule'!H24-'Working Capital Schedule'!G24</f>
        <v>1426.4425364030394</v>
      </c>
      <c r="I25" s="87">
        <f>'Working Capital Schedule'!I24-'Working Capital Schedule'!H24</f>
        <v>1602.3145103030765</v>
      </c>
      <c r="J25" s="87">
        <f>'Working Capital Schedule'!J24-'Working Capital Schedule'!I24</f>
        <v>1485.7825459173982</v>
      </c>
      <c r="K25" s="87">
        <f>'Working Capital Schedule'!K24-'Working Capital Schedule'!J24</f>
        <v>1512.0313708952781</v>
      </c>
    </row>
    <row r="26" spans="1:12" x14ac:dyDescent="0.3">
      <c r="A26" s="4" t="s">
        <v>171</v>
      </c>
      <c r="B26" s="53">
        <f t="shared" ref="B26:K26" si="6">SUM(B16:B25)</f>
        <v>-362387</v>
      </c>
      <c r="C26" s="53">
        <f t="shared" si="6"/>
        <v>-482269</v>
      </c>
      <c r="D26" s="53">
        <f t="shared" si="6"/>
        <v>-82823</v>
      </c>
      <c r="E26" s="53">
        <f t="shared" si="6"/>
        <v>94250</v>
      </c>
      <c r="F26" s="53">
        <f t="shared" si="6"/>
        <v>-115277</v>
      </c>
      <c r="G26" s="53">
        <f t="shared" ca="1" si="6"/>
        <v>-55129.651506916976</v>
      </c>
      <c r="H26" s="53">
        <f t="shared" ca="1" si="6"/>
        <v>-101742.94932650929</v>
      </c>
      <c r="I26" s="53">
        <f t="shared" ca="1" si="6"/>
        <v>-114303.42623820607</v>
      </c>
      <c r="J26" s="53">
        <f t="shared" ca="1" si="6"/>
        <v>-105906.83055755423</v>
      </c>
      <c r="K26" s="53">
        <f t="shared" ca="1" si="6"/>
        <v>-107736.93254942239</v>
      </c>
    </row>
    <row r="27" spans="1:12" x14ac:dyDescent="0.3">
      <c r="A27" s="4" t="s">
        <v>10</v>
      </c>
      <c r="B27" s="36">
        <f t="shared" ref="B27:F27" si="7">SUM(B3:B25)</f>
        <v>1155741.05589936</v>
      </c>
      <c r="C27" s="36">
        <f t="shared" si="7"/>
        <v>887698.82840102981</v>
      </c>
      <c r="D27" s="36">
        <f t="shared" si="7"/>
        <v>1717753.2713676351</v>
      </c>
      <c r="E27" s="36">
        <f t="shared" si="7"/>
        <v>1928533.539830623</v>
      </c>
      <c r="F27" s="36">
        <f t="shared" si="7"/>
        <v>2098177.1987176812</v>
      </c>
      <c r="G27" s="36">
        <f ca="1">G3+G4+G5+G7+G8+G9+G10+G11+G13+G14+G16+G17+G18+G19+G20+G21+G22+G23+G24+G25</f>
        <v>1993593.6351909994</v>
      </c>
      <c r="H27" s="36">
        <f t="shared" ref="H27:K27" ca="1" si="8">H3+H4+H5+H7+H8+H9+H10+H11+H13+H14+H16+H17+H18+H19+H20+H21+H22+H23+H24+H25</f>
        <v>2120614.6501514758</v>
      </c>
      <c r="I27" s="36">
        <f t="shared" ca="1" si="8"/>
        <v>2338170.6799060265</v>
      </c>
      <c r="J27" s="36">
        <f t="shared" ca="1" si="8"/>
        <v>2526363.5577456704</v>
      </c>
      <c r="K27" s="36">
        <f t="shared" ca="1" si="8"/>
        <v>2749923.5188442999</v>
      </c>
    </row>
    <row r="29" spans="1:12" x14ac:dyDescent="0.3">
      <c r="D29" s="52"/>
    </row>
    <row r="30" spans="1:12" x14ac:dyDescent="0.3">
      <c r="A30" s="4" t="s">
        <v>12</v>
      </c>
      <c r="D30" s="52"/>
    </row>
    <row r="31" spans="1:12" ht="28.8" x14ac:dyDescent="0.3">
      <c r="A31" s="72" t="s">
        <v>183</v>
      </c>
      <c r="B31" s="53">
        <v>-924544</v>
      </c>
      <c r="C31" s="53">
        <v>-358468</v>
      </c>
      <c r="D31" s="53">
        <v>-132119</v>
      </c>
      <c r="E31" s="53">
        <v>1146478</v>
      </c>
      <c r="F31" s="53">
        <v>219655</v>
      </c>
      <c r="G31" s="95">
        <f>D31</f>
        <v>-132119</v>
      </c>
      <c r="H31" s="53">
        <v>-132119</v>
      </c>
      <c r="I31" s="53">
        <v>-132119</v>
      </c>
      <c r="J31" s="53">
        <v>-132119</v>
      </c>
      <c r="K31" s="53">
        <v>-132119</v>
      </c>
      <c r="L31" s="53"/>
    </row>
    <row r="32" spans="1:12" x14ac:dyDescent="0.3">
      <c r="A32" t="s">
        <v>152</v>
      </c>
      <c r="B32" s="53">
        <v>0</v>
      </c>
      <c r="C32" s="53">
        <v>0</v>
      </c>
      <c r="D32" s="53">
        <v>-363385</v>
      </c>
      <c r="E32" s="53">
        <v>0</v>
      </c>
      <c r="F32" s="53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53"/>
    </row>
    <row r="33" spans="1:12" x14ac:dyDescent="0.3">
      <c r="A33" t="s">
        <v>172</v>
      </c>
      <c r="B33" s="53">
        <v>0</v>
      </c>
      <c r="C33" s="53">
        <v>-329472</v>
      </c>
      <c r="D33" s="53">
        <v>0</v>
      </c>
      <c r="E33" s="53"/>
      <c r="F33" s="53"/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53"/>
    </row>
    <row r="34" spans="1:12" x14ac:dyDescent="0.3">
      <c r="A34" t="s">
        <v>173</v>
      </c>
      <c r="B34" s="53">
        <v>-43868</v>
      </c>
      <c r="C34" s="53">
        <v>-188726</v>
      </c>
      <c r="D34" s="53">
        <v>-221428</v>
      </c>
      <c r="E34" s="53">
        <v>-264074</v>
      </c>
      <c r="F34" s="53">
        <v>-132275</v>
      </c>
      <c r="G34" s="96">
        <f>-G35*I.S!G2</f>
        <v>-147751.17499999999</v>
      </c>
      <c r="H34" s="82">
        <f>-H35*I.S!H2</f>
        <v>-160310.02487499997</v>
      </c>
      <c r="I34" s="82">
        <f>-I35*I.S!I2</f>
        <v>-174417.30706399999</v>
      </c>
      <c r="J34" s="82">
        <f>-J35*I.S!J2</f>
        <v>-187498.6050938</v>
      </c>
      <c r="K34" s="82">
        <f>-K35*I.S!K2</f>
        <v>-200811.00605545979</v>
      </c>
      <c r="L34" s="53"/>
    </row>
    <row r="35" spans="1:12" x14ac:dyDescent="0.3">
      <c r="A35" s="71" t="s">
        <v>179</v>
      </c>
      <c r="B35" s="74">
        <f>B34/-I.S!B2</f>
        <v>7.9164795883748234E-3</v>
      </c>
      <c r="C35" s="74">
        <f>C34/-I.S!C2</f>
        <v>2.9904057169567663E-2</v>
      </c>
      <c r="D35" s="74">
        <f>D34/-I.S!D2</f>
        <v>3.1012207656917826E-2</v>
      </c>
      <c r="E35" s="74">
        <f>E34/-I.S!E2</f>
        <v>3.5244128658940312E-2</v>
      </c>
      <c r="F35" s="74">
        <f>F34/-I.S!F2</f>
        <v>1.5947616345260859E-2</v>
      </c>
      <c r="G35" s="77">
        <f>F35</f>
        <v>1.5947616345260859E-2</v>
      </c>
      <c r="H35" s="47">
        <v>1.5947616345260859E-2</v>
      </c>
      <c r="I35" s="47">
        <v>1.5947616345260859E-2</v>
      </c>
      <c r="J35" s="47">
        <v>1.5947616345260859E-2</v>
      </c>
      <c r="K35" s="47">
        <v>1.5947616345260859E-2</v>
      </c>
      <c r="L35" s="53"/>
    </row>
    <row r="36" spans="1:12" x14ac:dyDescent="0.3">
      <c r="A36" t="s">
        <v>153</v>
      </c>
      <c r="B36" s="53">
        <v>1328</v>
      </c>
      <c r="C36" s="53">
        <v>1313</v>
      </c>
      <c r="D36" s="53">
        <v>2520</v>
      </c>
      <c r="E36" s="53">
        <v>2732</v>
      </c>
      <c r="F36" s="53">
        <v>4299</v>
      </c>
      <c r="G36" s="95">
        <v>0</v>
      </c>
      <c r="H36" s="81">
        <v>0</v>
      </c>
      <c r="I36" s="81">
        <v>0</v>
      </c>
      <c r="J36" s="81">
        <v>0</v>
      </c>
      <c r="K36" s="81">
        <v>0</v>
      </c>
    </row>
    <row r="37" spans="1:12" x14ac:dyDescent="0.3">
      <c r="A37" t="s">
        <v>154</v>
      </c>
      <c r="B37" s="53">
        <v>-13585</v>
      </c>
      <c r="C37" s="53">
        <v>-23427</v>
      </c>
      <c r="D37" s="53">
        <v>-13296</v>
      </c>
      <c r="E37" s="53">
        <v>-42360</v>
      </c>
      <c r="F37" s="53">
        <v>-25254</v>
      </c>
      <c r="G37" s="95">
        <v>0</v>
      </c>
      <c r="H37" s="81">
        <v>0</v>
      </c>
      <c r="I37" s="81">
        <v>0</v>
      </c>
      <c r="J37" s="81">
        <v>0</v>
      </c>
      <c r="K37" s="81">
        <v>0</v>
      </c>
    </row>
    <row r="38" spans="1:12" x14ac:dyDescent="0.3">
      <c r="A38" t="s">
        <v>155</v>
      </c>
      <c r="B38" s="53">
        <v>-11353</v>
      </c>
      <c r="C38" s="53">
        <v>-26343</v>
      </c>
      <c r="D38" s="53">
        <v>-6825</v>
      </c>
      <c r="E38" s="53">
        <v>1635</v>
      </c>
      <c r="F38" s="53">
        <v>-398</v>
      </c>
      <c r="G38" s="95">
        <v>0</v>
      </c>
      <c r="H38" s="81">
        <v>0</v>
      </c>
      <c r="I38" s="81">
        <v>0</v>
      </c>
      <c r="J38" s="81">
        <v>0</v>
      </c>
      <c r="K38" s="81">
        <v>0</v>
      </c>
    </row>
    <row r="39" spans="1:12" x14ac:dyDescent="0.3">
      <c r="A39" s="4" t="s">
        <v>156</v>
      </c>
      <c r="B39" s="66">
        <f t="shared" ref="B39:F39" si="9">SUM(B31:B38)</f>
        <v>-992021.9920835204</v>
      </c>
      <c r="C39" s="66">
        <f t="shared" si="9"/>
        <v>-925122.97009594284</v>
      </c>
      <c r="D39" s="66">
        <f t="shared" si="9"/>
        <v>-734532.96898779238</v>
      </c>
      <c r="E39" s="66">
        <f t="shared" si="9"/>
        <v>844411.03524412867</v>
      </c>
      <c r="F39" s="66">
        <f t="shared" si="9"/>
        <v>66027.015947616339</v>
      </c>
      <c r="G39" s="66">
        <f>G31+G32+G33+G34+G36+G37+G38</f>
        <v>-279870.17499999999</v>
      </c>
      <c r="H39" s="66">
        <f t="shared" ref="H39:K39" si="10">H31+H32+H33+H34+H36+H37+H38</f>
        <v>-292429.024875</v>
      </c>
      <c r="I39" s="66">
        <f t="shared" si="10"/>
        <v>-306536.30706399999</v>
      </c>
      <c r="J39" s="66">
        <f t="shared" si="10"/>
        <v>-319617.6050938</v>
      </c>
      <c r="K39" s="66">
        <f t="shared" si="10"/>
        <v>-332930.00605545979</v>
      </c>
    </row>
    <row r="41" spans="1:12" x14ac:dyDescent="0.3">
      <c r="A41" s="4" t="s">
        <v>102</v>
      </c>
      <c r="B41" s="52"/>
      <c r="C41" s="52"/>
      <c r="D41" s="52"/>
    </row>
    <row r="42" spans="1:12" x14ac:dyDescent="0.3">
      <c r="A42" t="s">
        <v>168</v>
      </c>
      <c r="B42" s="53">
        <v>2928</v>
      </c>
      <c r="C42" s="53">
        <v>75</v>
      </c>
      <c r="D42" s="53">
        <v>-13914</v>
      </c>
      <c r="E42" s="53">
        <v>-8223</v>
      </c>
      <c r="F42" s="53">
        <v>-10344</v>
      </c>
      <c r="G42" s="95">
        <f>'Debt Schedule'!G13+'Debt Schedule'!G14</f>
        <v>0</v>
      </c>
      <c r="H42" s="73">
        <f>'Debt Schedule'!H13+'Debt Schedule'!H14</f>
        <v>0</v>
      </c>
      <c r="I42" s="73">
        <f>'Debt Schedule'!I13+'Debt Schedule'!I14</f>
        <v>0</v>
      </c>
      <c r="J42" s="73">
        <f>'Debt Schedule'!J13+'Debt Schedule'!J14</f>
        <v>0</v>
      </c>
      <c r="K42" s="73">
        <f>'Debt Schedule'!K13+'Debt Schedule'!K14</f>
        <v>0</v>
      </c>
    </row>
    <row r="43" spans="1:12" x14ac:dyDescent="0.3">
      <c r="A43" s="72" t="s">
        <v>204</v>
      </c>
      <c r="B43" s="53">
        <v>45723</v>
      </c>
      <c r="C43" s="53">
        <v>45723</v>
      </c>
      <c r="D43" s="53">
        <v>45723</v>
      </c>
      <c r="E43" s="53">
        <v>-329277</v>
      </c>
      <c r="F43" s="53">
        <v>-329277</v>
      </c>
      <c r="G43" s="95">
        <f>'Debt Schedule'!G21+'Debt Schedule'!G22</f>
        <v>0</v>
      </c>
      <c r="H43" s="73">
        <f>'Debt Schedule'!H21+'Debt Schedule'!H22</f>
        <v>0</v>
      </c>
      <c r="I43" s="73">
        <f>'Debt Schedule'!I21+'Debt Schedule'!I22</f>
        <v>0</v>
      </c>
      <c r="J43" s="73">
        <f>'Debt Schedule'!J21+'Debt Schedule'!J22</f>
        <v>0</v>
      </c>
      <c r="K43" s="73">
        <f>'Debt Schedule'!K21+'Debt Schedule'!K22</f>
        <v>0</v>
      </c>
    </row>
    <row r="44" spans="1:12" x14ac:dyDescent="0.3">
      <c r="A44" t="s">
        <v>174</v>
      </c>
      <c r="B44" s="53">
        <v>0</v>
      </c>
      <c r="C44" s="53">
        <v>0</v>
      </c>
      <c r="D44" s="53">
        <v>0</v>
      </c>
      <c r="E44" s="53">
        <v>-2904</v>
      </c>
      <c r="F44" s="53">
        <v>0</v>
      </c>
      <c r="G44" s="95">
        <f>'Debt Schedule'!G21+'Debt Schedule'!G22</f>
        <v>0</v>
      </c>
      <c r="H44" s="73">
        <f>'Debt Schedule'!H21+'Debt Schedule'!H22</f>
        <v>0</v>
      </c>
      <c r="I44" s="73">
        <f>'Debt Schedule'!I21+'Debt Schedule'!I22</f>
        <v>0</v>
      </c>
      <c r="J44" s="73">
        <f>'Debt Schedule'!J21+'Debt Schedule'!J22</f>
        <v>0</v>
      </c>
      <c r="K44" s="73">
        <f>'Debt Schedule'!K21+'Debt Schedule'!K22</f>
        <v>0</v>
      </c>
    </row>
    <row r="45" spans="1:12" x14ac:dyDescent="0.3">
      <c r="A45" t="s">
        <v>175</v>
      </c>
      <c r="B45" s="53">
        <v>0</v>
      </c>
      <c r="C45" s="53">
        <v>0</v>
      </c>
      <c r="D45" s="53">
        <v>0</v>
      </c>
      <c r="E45" s="53">
        <v>78973</v>
      </c>
      <c r="F45" s="53">
        <v>164568</v>
      </c>
      <c r="G45" s="98">
        <f>F45</f>
        <v>164568</v>
      </c>
      <c r="H45" s="51">
        <v>164568</v>
      </c>
      <c r="I45" s="51">
        <v>164568</v>
      </c>
      <c r="J45" s="51">
        <v>164568</v>
      </c>
      <c r="K45" s="51">
        <v>164568</v>
      </c>
    </row>
    <row r="46" spans="1:12" x14ac:dyDescent="0.3">
      <c r="A46" t="s">
        <v>157</v>
      </c>
      <c r="B46" s="53">
        <v>-13830</v>
      </c>
      <c r="C46" s="53">
        <v>-771028</v>
      </c>
      <c r="D46" s="53">
        <v>-658952</v>
      </c>
      <c r="E46" s="53">
        <v>-3771875</v>
      </c>
      <c r="F46" s="53">
        <v>-103646</v>
      </c>
      <c r="G46" s="94">
        <f>F46</f>
        <v>-103646</v>
      </c>
      <c r="H46" s="52">
        <f t="shared" ref="H46:K46" si="11">G46</f>
        <v>-103646</v>
      </c>
      <c r="I46" s="52">
        <f t="shared" si="11"/>
        <v>-103646</v>
      </c>
      <c r="J46" s="52">
        <f t="shared" si="11"/>
        <v>-103646</v>
      </c>
      <c r="K46" s="52">
        <f t="shared" si="11"/>
        <v>-103646</v>
      </c>
    </row>
    <row r="47" spans="1:12" x14ac:dyDescent="0.3">
      <c r="A47" s="4" t="s">
        <v>158</v>
      </c>
      <c r="B47" s="36">
        <f t="shared" ref="B47:F47" si="12">SUM(B42:B46)</f>
        <v>34821</v>
      </c>
      <c r="C47" s="36">
        <f t="shared" si="12"/>
        <v>-725230</v>
      </c>
      <c r="D47" s="36">
        <f t="shared" si="12"/>
        <v>-627143</v>
      </c>
      <c r="E47" s="36">
        <f t="shared" si="12"/>
        <v>-4033306</v>
      </c>
      <c r="F47" s="36">
        <f t="shared" si="12"/>
        <v>-278699</v>
      </c>
      <c r="G47" s="36">
        <f>G42+G43+G44+G45+G46</f>
        <v>60922</v>
      </c>
      <c r="H47" s="36">
        <f t="shared" ref="H47:K47" si="13">H42+H43+H44+H45+H46</f>
        <v>60922</v>
      </c>
      <c r="I47" s="36">
        <f t="shared" si="13"/>
        <v>60922</v>
      </c>
      <c r="J47" s="36">
        <f t="shared" si="13"/>
        <v>60922</v>
      </c>
      <c r="K47" s="36">
        <f t="shared" si="13"/>
        <v>60922</v>
      </c>
    </row>
    <row r="48" spans="1:12" x14ac:dyDescent="0.3">
      <c r="B48" s="52"/>
      <c r="C48" s="52"/>
      <c r="D48" s="52"/>
    </row>
    <row r="49" spans="1:12" x14ac:dyDescent="0.3">
      <c r="A49" t="s">
        <v>103</v>
      </c>
      <c r="B49" s="53">
        <v>-52491</v>
      </c>
      <c r="C49" s="53">
        <v>-38715</v>
      </c>
      <c r="D49" s="53">
        <v>8775</v>
      </c>
      <c r="E49" s="53">
        <v>-97619</v>
      </c>
      <c r="F49" s="53">
        <v>97853</v>
      </c>
      <c r="G49" s="95">
        <v>-97619</v>
      </c>
      <c r="H49" s="53">
        <v>97853</v>
      </c>
      <c r="I49" s="53">
        <v>-97619</v>
      </c>
      <c r="J49" s="53">
        <v>97853</v>
      </c>
      <c r="K49" s="53">
        <v>-97619</v>
      </c>
      <c r="L49" s="53"/>
    </row>
    <row r="50" spans="1:12" ht="30" customHeight="1" thickBot="1" x14ac:dyDescent="0.35">
      <c r="A50" s="72" t="s">
        <v>13</v>
      </c>
      <c r="B50" s="42">
        <f t="shared" ref="B50:K50" si="14">B47+B39+B27+B49</f>
        <v>146049.06381583959</v>
      </c>
      <c r="C50" s="42">
        <f t="shared" si="14"/>
        <v>-801369.14169491292</v>
      </c>
      <c r="D50" s="42">
        <f t="shared" si="14"/>
        <v>364852.30237984285</v>
      </c>
      <c r="E50" s="42">
        <f t="shared" si="14"/>
        <v>-1357980.4249252484</v>
      </c>
      <c r="F50" s="42">
        <f t="shared" si="14"/>
        <v>1983358.2146652977</v>
      </c>
      <c r="G50" s="100">
        <f ca="1">G47+G39+G27+G49</f>
        <v>1677026.4601909993</v>
      </c>
      <c r="H50" s="42">
        <f t="shared" ca="1" si="14"/>
        <v>1986960.6252764757</v>
      </c>
      <c r="I50" s="42">
        <f t="shared" ca="1" si="14"/>
        <v>1994937.3728420264</v>
      </c>
      <c r="J50" s="42">
        <f t="shared" ca="1" si="14"/>
        <v>2365520.9526518704</v>
      </c>
      <c r="K50" s="42">
        <f t="shared" ca="1" si="14"/>
        <v>2380296.5127888401</v>
      </c>
    </row>
    <row r="51" spans="1:12" ht="15" thickTop="1" x14ac:dyDescent="0.3">
      <c r="B51" s="52"/>
      <c r="C51" s="52"/>
      <c r="D51" s="52"/>
    </row>
    <row r="52" spans="1:12" x14ac:dyDescent="0.3">
      <c r="A52" s="4" t="s">
        <v>14</v>
      </c>
      <c r="B52" s="53">
        <v>1180413</v>
      </c>
      <c r="C52" s="52">
        <f>B53</f>
        <v>1326462.0638158396</v>
      </c>
      <c r="D52" s="52">
        <f>C53</f>
        <v>525092.92212092667</v>
      </c>
      <c r="E52" s="52">
        <f t="shared" ref="E52:F52" si="15">D53</f>
        <v>889945.22450076952</v>
      </c>
      <c r="F52" s="52">
        <f t="shared" si="15"/>
        <v>-468035.20042447885</v>
      </c>
      <c r="G52" s="52">
        <f t="shared" ref="G52" si="16">F53</f>
        <v>1515323.0142408188</v>
      </c>
      <c r="H52" s="52">
        <f t="shared" ref="H52" ca="1" si="17">G53</f>
        <v>3192349.4744318184</v>
      </c>
      <c r="I52" s="52">
        <f t="shared" ref="I52" ca="1" si="18">H53</f>
        <v>5179310.0997082945</v>
      </c>
      <c r="J52" s="52">
        <f t="shared" ref="J52" ca="1" si="19">I53</f>
        <v>7174247.4725503214</v>
      </c>
      <c r="K52" s="52">
        <f t="shared" ref="K52" ca="1" si="20">J53</f>
        <v>9539768.4252021909</v>
      </c>
    </row>
    <row r="53" spans="1:12" x14ac:dyDescent="0.3">
      <c r="A53" s="4" t="s">
        <v>15</v>
      </c>
      <c r="B53" s="36">
        <f>B52+B50</f>
        <v>1326462.0638158396</v>
      </c>
      <c r="C53" s="36">
        <f>C52+C50</f>
        <v>525092.92212092667</v>
      </c>
      <c r="D53" s="36">
        <f>D52+D50</f>
        <v>889945.22450076952</v>
      </c>
      <c r="E53" s="36">
        <f t="shared" ref="E53:F53" si="21">E52+E50</f>
        <v>-468035.20042447885</v>
      </c>
      <c r="F53" s="36">
        <f t="shared" si="21"/>
        <v>1515323.0142408188</v>
      </c>
      <c r="G53" s="36">
        <f ca="1">G52+G50</f>
        <v>3192349.4744318184</v>
      </c>
      <c r="H53" s="36">
        <f ca="1">H52+H50</f>
        <v>5179310.0997082945</v>
      </c>
      <c r="I53" s="36">
        <f t="shared" ref="I53:J53" ca="1" si="22">I52+I50</f>
        <v>7174247.4725503214</v>
      </c>
      <c r="J53" s="36">
        <f t="shared" ca="1" si="22"/>
        <v>9539768.4252021909</v>
      </c>
      <c r="K53" s="36">
        <f ca="1">K52+K50</f>
        <v>11920064.937991031</v>
      </c>
    </row>
    <row r="54" spans="1:12" x14ac:dyDescent="0.3">
      <c r="B54" s="52"/>
      <c r="C54" s="52"/>
      <c r="D54" s="52"/>
    </row>
    <row r="55" spans="1:12" x14ac:dyDescent="0.3">
      <c r="A55" t="s">
        <v>159</v>
      </c>
      <c r="B55" s="52"/>
      <c r="C55" s="52"/>
      <c r="D55" s="52"/>
    </row>
    <row r="56" spans="1:12" x14ac:dyDescent="0.3">
      <c r="A56" t="s">
        <v>160</v>
      </c>
      <c r="B56" s="52"/>
      <c r="C56" s="52"/>
      <c r="D56" s="52"/>
    </row>
    <row r="57" spans="1:12" x14ac:dyDescent="0.3">
      <c r="A57" t="s">
        <v>161</v>
      </c>
      <c r="B57" s="53">
        <v>134</v>
      </c>
      <c r="C57" s="53">
        <v>431</v>
      </c>
      <c r="D57" s="53">
        <v>363</v>
      </c>
      <c r="E57" s="53">
        <v>25270</v>
      </c>
      <c r="F57" s="53">
        <v>5337</v>
      </c>
      <c r="G57" s="51">
        <f>F57</f>
        <v>5337</v>
      </c>
      <c r="H57" s="51">
        <f t="shared" ref="H57:K57" si="23">G57</f>
        <v>5337</v>
      </c>
      <c r="I57" s="51">
        <f t="shared" si="23"/>
        <v>5337</v>
      </c>
      <c r="J57" s="51">
        <f t="shared" si="23"/>
        <v>5337</v>
      </c>
      <c r="K57" s="51">
        <f t="shared" si="23"/>
        <v>5337</v>
      </c>
    </row>
    <row r="58" spans="1:12" x14ac:dyDescent="0.3">
      <c r="B58" s="52"/>
      <c r="C58" s="52"/>
      <c r="D58" s="52"/>
    </row>
    <row r="59" spans="1:12" x14ac:dyDescent="0.3">
      <c r="A59" s="4" t="s">
        <v>201</v>
      </c>
    </row>
    <row r="60" spans="1:12" x14ac:dyDescent="0.3">
      <c r="A60" s="90" t="s">
        <v>202</v>
      </c>
      <c r="B60" s="91"/>
      <c r="C60" s="91"/>
      <c r="D60" s="91"/>
      <c r="E60" s="92"/>
      <c r="F60" s="92"/>
      <c r="G60" s="92">
        <f ca="1">G27+G39+G45+G46+G49</f>
        <v>1677026.4601909993</v>
      </c>
      <c r="H60" s="92">
        <f ca="1">H27+H39+H45+H46+H49</f>
        <v>1986960.6252764757</v>
      </c>
      <c r="I60" s="92">
        <f ca="1">I27+I39+I45+I46+I49</f>
        <v>1994937.3728420264</v>
      </c>
      <c r="J60" s="92">
        <f ca="1">J27+J39+J45+J46+J49</f>
        <v>2365520.9526518704</v>
      </c>
      <c r="K60" s="92">
        <f ca="1">K27+K39+K45+K46+K49</f>
        <v>2380296.5127888401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A3EC-5249-400B-B2B9-FB459245B4C4}">
  <dimension ref="A1:K58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4.4" x14ac:dyDescent="0.3"/>
  <cols>
    <col min="1" max="1" width="30.6640625" customWidth="1"/>
    <col min="2" max="4" width="11.5546875" bestFit="1" customWidth="1"/>
    <col min="5" max="5" width="11.5546875" customWidth="1"/>
    <col min="6" max="10" width="15.77734375" customWidth="1"/>
  </cols>
  <sheetData>
    <row r="1" spans="1:10" x14ac:dyDescent="0.3">
      <c r="A1" t="s">
        <v>166</v>
      </c>
      <c r="B1" s="2">
        <v>2022</v>
      </c>
      <c r="C1" s="2">
        <v>2023</v>
      </c>
      <c r="D1" s="2">
        <f>C1+1</f>
        <v>2024</v>
      </c>
      <c r="E1" s="2">
        <f t="shared" ref="E1:J1" si="0">D1+1</f>
        <v>2025</v>
      </c>
      <c r="F1" s="3">
        <f t="shared" si="0"/>
        <v>2026</v>
      </c>
      <c r="G1" s="3">
        <f t="shared" si="0"/>
        <v>2027</v>
      </c>
      <c r="H1" s="3">
        <f t="shared" si="0"/>
        <v>2028</v>
      </c>
      <c r="I1" s="3">
        <f t="shared" si="0"/>
        <v>2029</v>
      </c>
      <c r="J1" s="3">
        <f t="shared" si="0"/>
        <v>2030</v>
      </c>
    </row>
    <row r="2" spans="1:10" x14ac:dyDescent="0.3">
      <c r="A2" s="4" t="s">
        <v>3</v>
      </c>
    </row>
    <row r="3" spans="1:10" x14ac:dyDescent="0.3">
      <c r="A3" t="s">
        <v>5</v>
      </c>
      <c r="B3" s="53">
        <v>1307141</v>
      </c>
      <c r="C3" s="53">
        <v>2297675</v>
      </c>
      <c r="D3" s="53">
        <v>1533287</v>
      </c>
      <c r="E3" s="53">
        <v>2088117</v>
      </c>
      <c r="F3" s="93">
        <f ca="1">E3+'C.S'!G50</f>
        <v>3765143.4601909993</v>
      </c>
      <c r="G3" s="93">
        <f ca="1">F3+'C.S'!H50</f>
        <v>5752104.0854674745</v>
      </c>
      <c r="H3" s="93">
        <f ca="1">G3+'C.S'!I50</f>
        <v>7747041.4583095014</v>
      </c>
      <c r="I3" s="93">
        <f ca="1">H3+'C.S'!J50</f>
        <v>10112562.410961371</v>
      </c>
      <c r="J3" s="93">
        <f ca="1">I3+'C.S'!K50</f>
        <v>12492858.923750211</v>
      </c>
    </row>
    <row r="4" spans="1:10" x14ac:dyDescent="0.3">
      <c r="A4" t="s">
        <v>110</v>
      </c>
      <c r="B4" s="53">
        <v>1362314</v>
      </c>
      <c r="C4" s="53">
        <v>955605</v>
      </c>
      <c r="D4" s="53">
        <v>0</v>
      </c>
      <c r="E4" s="53">
        <v>677084</v>
      </c>
      <c r="F4" s="97">
        <f>E4-'C.S'!G31</f>
        <v>809203</v>
      </c>
      <c r="G4" s="97">
        <f>F4-'C.S'!H31</f>
        <v>941322</v>
      </c>
      <c r="H4" s="97">
        <f>G4-'C.S'!I31</f>
        <v>1073441</v>
      </c>
      <c r="I4" s="97">
        <f>H4-'C.S'!J31</f>
        <v>1205560</v>
      </c>
      <c r="J4" s="97">
        <f>I4-'C.S'!K31</f>
        <v>1337679</v>
      </c>
    </row>
    <row r="5" spans="1:10" x14ac:dyDescent="0.3">
      <c r="A5" t="s">
        <v>111</v>
      </c>
      <c r="B5" s="53">
        <v>1016203</v>
      </c>
      <c r="C5" s="53">
        <v>1193964</v>
      </c>
      <c r="D5" s="53">
        <v>1221646</v>
      </c>
      <c r="E5" s="53">
        <v>1618072</v>
      </c>
      <c r="F5" s="93">
        <f>E5-'C.S'!G16</f>
        <v>1504459.6582441691</v>
      </c>
      <c r="G5" s="93">
        <f>F5-'C.S'!H16</f>
        <v>1632338.7291949235</v>
      </c>
      <c r="H5" s="93">
        <f>G5-'C.S'!I16</f>
        <v>1775984.5373640766</v>
      </c>
      <c r="I5" s="93">
        <f>H5-'C.S'!J16</f>
        <v>1909183.3776663824</v>
      </c>
      <c r="J5" s="93">
        <f>I5-'C.S'!K16</f>
        <v>2044735.3974806957</v>
      </c>
    </row>
    <row r="6" spans="1:10" x14ac:dyDescent="0.3">
      <c r="A6" t="s">
        <v>112</v>
      </c>
      <c r="B6" s="53">
        <v>935631</v>
      </c>
      <c r="C6" s="53">
        <v>971406</v>
      </c>
      <c r="D6" s="53">
        <v>737107</v>
      </c>
      <c r="E6" s="53">
        <v>799623</v>
      </c>
      <c r="F6" s="93">
        <f>E6-'C.S'!G17</f>
        <v>907169.93061438517</v>
      </c>
      <c r="G6" s="93">
        <f>F6-'C.S'!H17</f>
        <v>984279.37471660809</v>
      </c>
      <c r="H6" s="93">
        <f>G6-'C.S'!I17</f>
        <v>1070895.9596916696</v>
      </c>
      <c r="I6" s="93">
        <f>H6-'C.S'!J17</f>
        <v>1151213.1566685447</v>
      </c>
      <c r="J6" s="93">
        <f>I6-'C.S'!K17</f>
        <v>1232949.2907920114</v>
      </c>
    </row>
    <row r="7" spans="1:10" x14ac:dyDescent="0.3">
      <c r="A7" t="s">
        <v>113</v>
      </c>
      <c r="B7" s="53">
        <v>109823</v>
      </c>
      <c r="C7" s="53">
        <v>116195</v>
      </c>
      <c r="D7" s="53">
        <v>107262</v>
      </c>
      <c r="E7" s="53">
        <v>103551</v>
      </c>
      <c r="F7" s="93">
        <f>E7-'C.S'!G18</f>
        <v>119942.83968568809</v>
      </c>
      <c r="G7" s="93">
        <f>F7-'C.S'!H18</f>
        <v>130137.98731656563</v>
      </c>
      <c r="H7" s="93">
        <f>G7-'C.S'!I18</f>
        <v>141590.13020042342</v>
      </c>
      <c r="I7" s="93">
        <f>H7-'C.S'!J18</f>
        <v>152209.38996545516</v>
      </c>
      <c r="J7" s="93">
        <f>I7-'C.S'!K18</f>
        <v>163016.25665300249</v>
      </c>
    </row>
    <row r="8" spans="1:10" x14ac:dyDescent="0.3">
      <c r="A8" t="s">
        <v>114</v>
      </c>
      <c r="B8" s="53">
        <v>33785</v>
      </c>
      <c r="C8" s="53">
        <v>54151</v>
      </c>
      <c r="D8" s="53">
        <v>42202</v>
      </c>
      <c r="E8" s="53">
        <v>74637</v>
      </c>
      <c r="F8" s="93">
        <f ca="1">E8-'C.S'!G19</f>
        <v>52585.933668285783</v>
      </c>
      <c r="G8" s="93">
        <f ca="1">F8-'C.S'!H19</f>
        <v>57706.619277680002</v>
      </c>
      <c r="H8" s="93">
        <f ca="1">G8-'C.S'!I19</f>
        <v>63438.904961388536</v>
      </c>
      <c r="I8" s="93">
        <f ca="1">H8-'C.S'!J19</f>
        <v>68856.641596135101</v>
      </c>
      <c r="J8" s="93">
        <f ca="1">I8-'C.S'!K19</f>
        <v>74420.173363148439</v>
      </c>
    </row>
    <row r="9" spans="1:10" x14ac:dyDescent="0.3">
      <c r="A9" s="4" t="s">
        <v>115</v>
      </c>
      <c r="B9" s="36">
        <f>SUM(B3:B8)</f>
        <v>4764897</v>
      </c>
      <c r="C9" s="36">
        <f>SUM(C3:C8)</f>
        <v>5588996</v>
      </c>
      <c r="D9" s="36">
        <f t="shared" ref="D9:J9" si="1">SUM(D3:D8)</f>
        <v>3641504</v>
      </c>
      <c r="E9" s="36">
        <f t="shared" si="1"/>
        <v>5361084</v>
      </c>
      <c r="F9" s="36">
        <f t="shared" ca="1" si="1"/>
        <v>7158504.8224035269</v>
      </c>
      <c r="G9" s="36">
        <f t="shared" ca="1" si="1"/>
        <v>9497888.7959732525</v>
      </c>
      <c r="H9" s="36">
        <f t="shared" ca="1" si="1"/>
        <v>11872391.99052706</v>
      </c>
      <c r="I9" s="36">
        <f t="shared" ca="1" si="1"/>
        <v>14599584.976857889</v>
      </c>
      <c r="J9" s="36">
        <f t="shared" ca="1" si="1"/>
        <v>17345659.04203907</v>
      </c>
    </row>
    <row r="10" spans="1:10" x14ac:dyDescent="0.3">
      <c r="B10" s="52"/>
      <c r="C10" s="52"/>
      <c r="D10" s="52"/>
      <c r="E10" s="52"/>
      <c r="F10" s="52"/>
      <c r="G10" s="52"/>
      <c r="H10" s="52"/>
      <c r="I10" s="52"/>
      <c r="J10" s="52"/>
    </row>
    <row r="11" spans="1:10" x14ac:dyDescent="0.3">
      <c r="A11" s="4" t="s">
        <v>104</v>
      </c>
    </row>
    <row r="12" spans="1:10" x14ac:dyDescent="0.3">
      <c r="A12" t="s">
        <v>116</v>
      </c>
      <c r="B12" s="53">
        <v>61443</v>
      </c>
      <c r="C12" s="53">
        <v>76431</v>
      </c>
      <c r="D12" s="53">
        <v>0</v>
      </c>
      <c r="E12" s="53">
        <v>487329</v>
      </c>
      <c r="F12" s="53">
        <f>E12</f>
        <v>487329</v>
      </c>
      <c r="G12" s="53">
        <f t="shared" ref="G12:J12" si="2">F12</f>
        <v>487329</v>
      </c>
      <c r="H12" s="53">
        <f t="shared" si="2"/>
        <v>487329</v>
      </c>
      <c r="I12" s="53">
        <f t="shared" si="2"/>
        <v>487329</v>
      </c>
      <c r="J12" s="53">
        <f t="shared" si="2"/>
        <v>487329</v>
      </c>
    </row>
    <row r="13" spans="1:10" x14ac:dyDescent="0.3">
      <c r="A13" t="s">
        <v>117</v>
      </c>
      <c r="B13" s="53">
        <v>516897</v>
      </c>
      <c r="C13" s="53">
        <v>890796</v>
      </c>
      <c r="D13" s="53">
        <v>1047024</v>
      </c>
      <c r="E13" s="53">
        <v>1081544</v>
      </c>
      <c r="F13" s="93">
        <f>E13-'C.S'!G34-'C.S'!G4-'C.S'!G7-'C.S'!G10-'C.S'!G32-'C.S'!G33-'C.S'!G36-'C.S'!G8</f>
        <v>1338338.5671992481</v>
      </c>
      <c r="G13" s="93">
        <f>F13-'C.S'!H34-'C.S'!H4-'C.S'!H7-'C.S'!H10-'C.S'!H32-'C.S'!H33-'C.S'!H36-'C.S'!H8</f>
        <v>1619689.7003359962</v>
      </c>
      <c r="H13" s="93">
        <f>G13-'C.S'!I34-'C.S'!I4-'C.S'!I7-'C.S'!I10-'C.S'!I32-'C.S'!I33-'C.S'!I36-'C.S'!I8</f>
        <v>1927059.4947377443</v>
      </c>
      <c r="I13" s="93">
        <f>H13-'C.S'!J34-'C.S'!J4-'C.S'!J7-'C.S'!J10-'C.S'!J32-'C.S'!J33-'C.S'!J36-'C.S'!J8</f>
        <v>2261450.3446759926</v>
      </c>
      <c r="J13" s="93">
        <f>I13-'C.S'!K34-'C.S'!K4-'C.S'!K7-'C.S'!K10-'C.S'!K32-'C.S'!K33-'C.S'!K36-'C.S'!K8</f>
        <v>2622950.2388655762</v>
      </c>
    </row>
    <row r="14" spans="1:10" x14ac:dyDescent="0.3">
      <c r="A14" t="s">
        <v>118</v>
      </c>
      <c r="B14" s="53">
        <v>177039</v>
      </c>
      <c r="C14" s="53">
        <v>175003</v>
      </c>
      <c r="D14" s="53">
        <v>184260</v>
      </c>
      <c r="E14" s="53">
        <v>188646</v>
      </c>
      <c r="F14" s="51">
        <f>E14-'C.S'!G13</f>
        <v>180471.10974869211</v>
      </c>
      <c r="G14" s="51">
        <f>F14-'C.S'!H13</f>
        <v>171917.65234024648</v>
      </c>
      <c r="H14" s="51">
        <f>G14-'C.S'!I13</f>
        <v>167639.54730217578</v>
      </c>
      <c r="I14" s="51">
        <f>H14-'C.S'!J13</f>
        <v>167109.32650668107</v>
      </c>
      <c r="J14" s="51">
        <f>I14-'C.S'!K13</f>
        <v>167592.92344664145</v>
      </c>
    </row>
    <row r="15" spans="1:10" x14ac:dyDescent="0.3">
      <c r="A15" t="s">
        <v>119</v>
      </c>
      <c r="B15" s="53">
        <v>1417941</v>
      </c>
      <c r="C15" s="53">
        <v>1417941</v>
      </c>
      <c r="D15" s="53">
        <v>1331643</v>
      </c>
      <c r="E15" s="53">
        <v>1331643</v>
      </c>
      <c r="F15" s="51">
        <f>E15</f>
        <v>1331643</v>
      </c>
      <c r="G15" s="51">
        <f t="shared" ref="G15:J15" si="3">F15</f>
        <v>1331643</v>
      </c>
      <c r="H15" s="51">
        <f t="shared" si="3"/>
        <v>1331643</v>
      </c>
      <c r="I15" s="51">
        <f t="shared" si="3"/>
        <v>1331643</v>
      </c>
      <c r="J15" s="51">
        <f t="shared" si="3"/>
        <v>1331643</v>
      </c>
    </row>
    <row r="16" spans="1:10" x14ac:dyDescent="0.3">
      <c r="A16" t="s">
        <v>120</v>
      </c>
      <c r="B16" s="53">
        <v>1220410</v>
      </c>
      <c r="C16" s="53">
        <v>1427139</v>
      </c>
      <c r="D16" s="53">
        <v>1414252</v>
      </c>
      <c r="E16" s="53">
        <v>1379268</v>
      </c>
      <c r="F16" s="51">
        <f>E16-'C.S'!G37-'C.S'!G9</f>
        <v>1340857</v>
      </c>
      <c r="G16" s="51">
        <f>F16-'C.S'!H37-'C.S'!H9</f>
        <v>1302446</v>
      </c>
      <c r="H16" s="51">
        <f>G16-'C.S'!I37-'C.S'!I9</f>
        <v>1264035</v>
      </c>
      <c r="I16" s="51">
        <f>H16-'C.S'!J37-'C.S'!J9</f>
        <v>1225624</v>
      </c>
      <c r="J16" s="51">
        <f>I16-'C.S'!K37-'C.S'!K9</f>
        <v>1187213</v>
      </c>
    </row>
    <row r="17" spans="1:10" x14ac:dyDescent="0.3">
      <c r="A17" t="s">
        <v>121</v>
      </c>
      <c r="B17" s="53">
        <v>134478</v>
      </c>
      <c r="C17" s="53">
        <v>110216</v>
      </c>
      <c r="D17" s="53">
        <v>100406</v>
      </c>
      <c r="E17" s="53">
        <v>159431</v>
      </c>
      <c r="F17" s="51">
        <f>E17</f>
        <v>159431</v>
      </c>
      <c r="G17" s="51">
        <f t="shared" ref="G17:J17" si="4">F17</f>
        <v>159431</v>
      </c>
      <c r="H17" s="51">
        <f t="shared" si="4"/>
        <v>159431</v>
      </c>
      <c r="I17" s="51">
        <f t="shared" si="4"/>
        <v>159431</v>
      </c>
      <c r="J17" s="51">
        <f t="shared" si="4"/>
        <v>159431</v>
      </c>
    </row>
    <row r="18" spans="1:10" x14ac:dyDescent="0.3">
      <c r="A18" s="4" t="s">
        <v>105</v>
      </c>
      <c r="B18" s="36">
        <f>SUM(B12:B17)</f>
        <v>3528208</v>
      </c>
      <c r="C18" s="36">
        <f>SUM(C12:C17)</f>
        <v>4097526</v>
      </c>
      <c r="D18" s="36">
        <f t="shared" ref="D18:E18" si="5">SUM(D12:D17)</f>
        <v>4077585</v>
      </c>
      <c r="E18" s="36">
        <f t="shared" si="5"/>
        <v>4627861</v>
      </c>
      <c r="F18" s="36">
        <f t="shared" ref="F18:J18" si="6">SUM(F12:F17)</f>
        <v>4838069.6769479401</v>
      </c>
      <c r="G18" s="36">
        <f t="shared" si="6"/>
        <v>5072456.3526762426</v>
      </c>
      <c r="H18" s="36">
        <f t="shared" si="6"/>
        <v>5337137.0420399196</v>
      </c>
      <c r="I18" s="36">
        <f t="shared" si="6"/>
        <v>5632586.6711826734</v>
      </c>
      <c r="J18" s="36">
        <f t="shared" si="6"/>
        <v>5956159.1623122171</v>
      </c>
    </row>
    <row r="19" spans="1:10" ht="15" thickBot="1" x14ac:dyDescent="0.35">
      <c r="A19" s="4" t="s">
        <v>106</v>
      </c>
      <c r="B19" s="68">
        <f>B18+B9</f>
        <v>8293105</v>
      </c>
      <c r="C19" s="68">
        <f t="shared" ref="C19" si="7">C18+C9</f>
        <v>9686522</v>
      </c>
      <c r="D19" s="68">
        <f t="shared" ref="D19" si="8">D18+D9</f>
        <v>7719089</v>
      </c>
      <c r="E19" s="68">
        <f t="shared" ref="E19:J19" si="9">E18+E9</f>
        <v>9988945</v>
      </c>
      <c r="F19" s="68">
        <f t="shared" ca="1" si="9"/>
        <v>11996574.499351468</v>
      </c>
      <c r="G19" s="68">
        <f t="shared" ca="1" si="9"/>
        <v>14570345.148649495</v>
      </c>
      <c r="H19" s="68">
        <f t="shared" ca="1" si="9"/>
        <v>17209529.03256698</v>
      </c>
      <c r="I19" s="68">
        <f t="shared" ca="1" si="9"/>
        <v>20232171.648040563</v>
      </c>
      <c r="J19" s="68">
        <f t="shared" ca="1" si="9"/>
        <v>23301818.204351287</v>
      </c>
    </row>
    <row r="20" spans="1:10" ht="15" thickTop="1" x14ac:dyDescent="0.3">
      <c r="F20" s="51"/>
    </row>
    <row r="21" spans="1:10" x14ac:dyDescent="0.3">
      <c r="F21" s="51"/>
      <c r="G21" s="51"/>
      <c r="H21" s="51"/>
    </row>
    <row r="22" spans="1:10" x14ac:dyDescent="0.3">
      <c r="B22" s="51"/>
      <c r="C22" s="51"/>
      <c r="D22" s="51"/>
      <c r="E22" s="51"/>
      <c r="F22" s="51"/>
      <c r="G22" s="51"/>
      <c r="H22" s="51"/>
      <c r="I22" s="51"/>
      <c r="J22" s="51"/>
    </row>
    <row r="23" spans="1:10" x14ac:dyDescent="0.3">
      <c r="A23" s="4" t="s">
        <v>61</v>
      </c>
    </row>
    <row r="24" spans="1:10" x14ac:dyDescent="0.3">
      <c r="A24" t="s">
        <v>122</v>
      </c>
      <c r="B24" s="53">
        <v>444265</v>
      </c>
      <c r="C24" s="53">
        <v>564379</v>
      </c>
      <c r="D24" s="53">
        <v>466775</v>
      </c>
      <c r="E24" s="53">
        <v>565974</v>
      </c>
      <c r="F24" s="93">
        <f>E24+'C.S'!G20</f>
        <v>609657.41455693298</v>
      </c>
      <c r="G24" s="93">
        <f>F24+'C.S'!H20</f>
        <v>661478.29479427228</v>
      </c>
      <c r="H24" s="93">
        <f>G24+'C.S'!I20</f>
        <v>719688.38473616831</v>
      </c>
      <c r="I24" s="93">
        <f>H24+'C.S'!J20</f>
        <v>773665.01359138079</v>
      </c>
      <c r="J24" s="93">
        <f>I24+'C.S'!K20</f>
        <v>828595.2295563689</v>
      </c>
    </row>
    <row r="25" spans="1:10" x14ac:dyDescent="0.3">
      <c r="A25" t="s">
        <v>123</v>
      </c>
      <c r="B25" s="53">
        <v>172991</v>
      </c>
      <c r="C25" s="53">
        <v>183988</v>
      </c>
      <c r="D25" s="53">
        <v>220764</v>
      </c>
      <c r="E25" s="53">
        <v>306085</v>
      </c>
      <c r="F25" s="93">
        <f>E25+'C.S'!G21</f>
        <v>259122.6083835247</v>
      </c>
      <c r="G25" s="93">
        <f>F25+'C.S'!H21</f>
        <v>281148.0450215012</v>
      </c>
      <c r="H25" s="93">
        <f>G25+'C.S'!I21</f>
        <v>305889.07298339333</v>
      </c>
      <c r="I25" s="93">
        <f>H25+'C.S'!J21</f>
        <v>328830.75345714786</v>
      </c>
      <c r="J25" s="93">
        <f>I25+'C.S'!K21</f>
        <v>352177.73695260531</v>
      </c>
    </row>
    <row r="26" spans="1:10" x14ac:dyDescent="0.3">
      <c r="A26" t="s">
        <v>124</v>
      </c>
      <c r="B26" s="53">
        <v>255631</v>
      </c>
      <c r="C26" s="53">
        <v>269061</v>
      </c>
      <c r="D26" s="53">
        <v>267711</v>
      </c>
      <c r="E26" s="53">
        <v>384070</v>
      </c>
      <c r="F26" s="93">
        <f>E26+'C.S'!G22</f>
        <v>346260.79715007939</v>
      </c>
      <c r="G26" s="93">
        <f>F26+'C.S'!H22</f>
        <v>375692.98498048738</v>
      </c>
      <c r="H26" s="93">
        <f>G26+'C.S'!I22</f>
        <v>408753.96765877033</v>
      </c>
      <c r="I26" s="93">
        <f>H26+'C.S'!J22</f>
        <v>439410.5152331781</v>
      </c>
      <c r="J26" s="93">
        <f>I26+'C.S'!K22</f>
        <v>470608.66181473376</v>
      </c>
    </row>
    <row r="27" spans="1:10" x14ac:dyDescent="0.3">
      <c r="A27" t="s">
        <v>125</v>
      </c>
      <c r="B27" s="53">
        <v>43311</v>
      </c>
      <c r="C27" s="53">
        <v>41914</v>
      </c>
      <c r="D27" s="53">
        <v>45809</v>
      </c>
      <c r="E27" s="53">
        <v>45323</v>
      </c>
      <c r="F27" s="93">
        <f>E27+'C.S'!G25</f>
        <v>29799.676898859223</v>
      </c>
      <c r="G27" s="93">
        <f>F27+'C.S'!H25</f>
        <v>31226.119435262262</v>
      </c>
      <c r="H27" s="93">
        <f>G27+'C.S'!I25</f>
        <v>32828.433945565339</v>
      </c>
      <c r="I27" s="93">
        <f>H27+'C.S'!J25</f>
        <v>34314.216491482737</v>
      </c>
      <c r="J27" s="93">
        <f>I27+'C.S'!K25</f>
        <v>35826.247862378019</v>
      </c>
    </row>
    <row r="28" spans="1:10" x14ac:dyDescent="0.3">
      <c r="A28" t="s">
        <v>126</v>
      </c>
      <c r="B28" s="53">
        <v>72463</v>
      </c>
      <c r="C28" s="53">
        <v>87392</v>
      </c>
      <c r="D28" s="53">
        <v>92454</v>
      </c>
      <c r="E28" s="53">
        <v>114023</v>
      </c>
      <c r="F28" s="93">
        <f>E28+'C.S'!G23</f>
        <v>122252.61616522871</v>
      </c>
      <c r="G28" s="93">
        <f>F28+'C.S'!H23</f>
        <v>126804.59165985254</v>
      </c>
      <c r="H28" s="93">
        <f>G28+'C.S'!I23</f>
        <v>131917.79572591957</v>
      </c>
      <c r="I28" s="93">
        <f>H28+'C.S'!J23</f>
        <v>136659.13040536354</v>
      </c>
      <c r="J28" s="93">
        <f>I28+'C.S'!K23</f>
        <v>141484.22866414435</v>
      </c>
    </row>
    <row r="29" spans="1:10" x14ac:dyDescent="0.3">
      <c r="A29" t="s">
        <v>127</v>
      </c>
      <c r="B29" s="53">
        <v>13317</v>
      </c>
      <c r="C29" s="53">
        <v>14955</v>
      </c>
      <c r="D29" s="53">
        <v>4006</v>
      </c>
      <c r="E29" s="53">
        <v>32305</v>
      </c>
      <c r="F29" s="93">
        <f ca="1">E29+'C.S'!G24</f>
        <v>13832.597550986146</v>
      </c>
      <c r="G29" s="93">
        <f ca="1">F29+'C.S'!H24</f>
        <v>23137.073780975348</v>
      </c>
      <c r="H29" s="93">
        <f ca="1">G29+'C.S'!I24</f>
        <v>33552.850096108872</v>
      </c>
      <c r="I29" s="93">
        <f ca="1">H29+'C.S'!J24</f>
        <v>43397.079088777755</v>
      </c>
      <c r="J29" s="93">
        <f ca="1">I29+'C.S'!K24</f>
        <v>53506.2232600188</v>
      </c>
    </row>
    <row r="30" spans="1:10" x14ac:dyDescent="0.3">
      <c r="A30" t="s">
        <v>203</v>
      </c>
      <c r="B30" s="53">
        <v>0</v>
      </c>
      <c r="C30" s="53">
        <v>0</v>
      </c>
      <c r="D30" s="53">
        <v>0</v>
      </c>
      <c r="E30" s="53">
        <v>0</v>
      </c>
      <c r="F30" s="93">
        <f>E30+'C.S'!G42</f>
        <v>0</v>
      </c>
      <c r="G30" s="93">
        <f>F30+'C.S'!H42</f>
        <v>0</v>
      </c>
      <c r="H30" s="93">
        <f>G30+'C.S'!I42</f>
        <v>0</v>
      </c>
      <c r="I30" s="93">
        <f>H30+'C.S'!J42</f>
        <v>0</v>
      </c>
      <c r="J30" s="93">
        <f>I30+'C.S'!K42</f>
        <v>0</v>
      </c>
    </row>
    <row r="31" spans="1:10" x14ac:dyDescent="0.3">
      <c r="A31" s="4" t="s">
        <v>8</v>
      </c>
      <c r="B31" s="36">
        <f>SUM(B24:B29)</f>
        <v>1001978</v>
      </c>
      <c r="C31" s="36">
        <f>SUM(C24:C29)</f>
        <v>1161689</v>
      </c>
      <c r="D31" s="36">
        <f t="shared" ref="D31:J31" si="10">SUM(D24:D29)</f>
        <v>1097519</v>
      </c>
      <c r="E31" s="36">
        <f t="shared" si="10"/>
        <v>1447780</v>
      </c>
      <c r="F31" s="36">
        <f t="shared" ca="1" si="10"/>
        <v>1380925.7107056109</v>
      </c>
      <c r="G31" s="36">
        <f t="shared" ca="1" si="10"/>
        <v>1499487.1096723508</v>
      </c>
      <c r="H31" s="36">
        <f t="shared" ca="1" si="10"/>
        <v>1632630.5051459256</v>
      </c>
      <c r="I31" s="36">
        <f t="shared" ca="1" si="10"/>
        <v>1756276.7082673309</v>
      </c>
      <c r="J31" s="36">
        <f t="shared" ca="1" si="10"/>
        <v>1882198.3281102495</v>
      </c>
    </row>
    <row r="33" spans="1:10" x14ac:dyDescent="0.3">
      <c r="B33" s="52"/>
      <c r="C33" s="52"/>
      <c r="D33" s="52"/>
      <c r="E33" s="52"/>
      <c r="F33" s="52"/>
      <c r="G33" s="52"/>
      <c r="H33" s="52"/>
      <c r="I33" s="52"/>
      <c r="J33" s="52"/>
    </row>
    <row r="34" spans="1:10" x14ac:dyDescent="0.3">
      <c r="A34" s="4" t="s">
        <v>107</v>
      </c>
    </row>
    <row r="35" spans="1:10" x14ac:dyDescent="0.3">
      <c r="A35" t="s">
        <v>125</v>
      </c>
      <c r="B35" s="53">
        <v>223800</v>
      </c>
      <c r="C35" s="53">
        <v>204251</v>
      </c>
      <c r="D35" s="53">
        <v>179008</v>
      </c>
      <c r="E35" s="53">
        <v>159991</v>
      </c>
      <c r="F35" s="53">
        <f>E35</f>
        <v>159991</v>
      </c>
      <c r="G35" s="53">
        <f t="shared" ref="G35:J35" si="11">F35</f>
        <v>159991</v>
      </c>
      <c r="H35" s="53">
        <f t="shared" si="11"/>
        <v>159991</v>
      </c>
      <c r="I35" s="53">
        <f t="shared" si="11"/>
        <v>159991</v>
      </c>
      <c r="J35" s="53">
        <f t="shared" si="11"/>
        <v>159991</v>
      </c>
    </row>
    <row r="36" spans="1:10" x14ac:dyDescent="0.3">
      <c r="A36" t="s">
        <v>128</v>
      </c>
      <c r="B36" s="53">
        <v>42286</v>
      </c>
      <c r="C36" s="53">
        <v>91838</v>
      </c>
      <c r="D36" s="53">
        <v>110893</v>
      </c>
      <c r="E36" s="53">
        <v>127066</v>
      </c>
      <c r="F36" s="73">
        <f>E36+'C.S'!G5+'C.S'!G14</f>
        <v>157991.56719177577</v>
      </c>
      <c r="G36" s="73">
        <f>F36+'C.S'!H43+'C.S'!H5+'C.S'!H14</f>
        <v>173026.44098949511</v>
      </c>
      <c r="H36" s="73">
        <f>G36+'C.S'!I43+'C.S'!I5+'C.S'!I14</f>
        <v>209158.55449717076</v>
      </c>
      <c r="I36" s="73">
        <f>H36+'C.S'!J43+'C.S'!J5+'C.S'!J14</f>
        <v>230122.75306171403</v>
      </c>
      <c r="J36" s="73">
        <f>I36+'C.S'!K43+'C.S'!K5+'C.S'!K14</f>
        <v>273007.30668177444</v>
      </c>
    </row>
    <row r="37" spans="1:10" x14ac:dyDescent="0.3">
      <c r="A37" t="s">
        <v>167</v>
      </c>
      <c r="B37" s="53"/>
      <c r="C37" s="53"/>
      <c r="D37" s="53">
        <v>373951</v>
      </c>
      <c r="E37" s="53">
        <v>0</v>
      </c>
      <c r="F37" s="73">
        <f>E37+'C.S'!G43+'C.S'!G44</f>
        <v>0</v>
      </c>
      <c r="G37" s="73">
        <f>F37+'C.S'!H44</f>
        <v>0</v>
      </c>
      <c r="H37" s="73">
        <f>G37+'C.S'!I44</f>
        <v>0</v>
      </c>
      <c r="I37" s="73">
        <f>H37+'C.S'!J44</f>
        <v>0</v>
      </c>
      <c r="J37" s="73">
        <f>I37+'C.S'!K44</f>
        <v>0</v>
      </c>
    </row>
    <row r="38" spans="1:10" x14ac:dyDescent="0.3">
      <c r="A38" s="4" t="s">
        <v>7</v>
      </c>
      <c r="B38" s="36">
        <f>SUM(B35:B36)</f>
        <v>266086</v>
      </c>
      <c r="C38" s="36">
        <f>SUM(C35:C36)</f>
        <v>296089</v>
      </c>
      <c r="D38" s="36">
        <f t="shared" ref="D38:E38" si="12">SUM(D35:D36)</f>
        <v>289901</v>
      </c>
      <c r="E38" s="36">
        <f t="shared" si="12"/>
        <v>287057</v>
      </c>
      <c r="F38" s="36">
        <f t="shared" ref="F38:J38" si="13">SUM(F35:F36)</f>
        <v>317982.56719177577</v>
      </c>
      <c r="G38" s="36">
        <f t="shared" si="13"/>
        <v>333017.44098949514</v>
      </c>
      <c r="H38" s="36">
        <f t="shared" si="13"/>
        <v>369149.55449717073</v>
      </c>
      <c r="I38" s="36">
        <f t="shared" si="13"/>
        <v>390113.753061714</v>
      </c>
      <c r="J38" s="36">
        <f t="shared" si="13"/>
        <v>432998.30668177444</v>
      </c>
    </row>
    <row r="39" spans="1:10" x14ac:dyDescent="0.3">
      <c r="A39" s="4" t="s">
        <v>108</v>
      </c>
      <c r="B39" s="36">
        <f>B38+B31</f>
        <v>1268064</v>
      </c>
      <c r="C39" s="36">
        <f t="shared" ref="C39" si="14">C38+C31</f>
        <v>1457778</v>
      </c>
      <c r="D39" s="36">
        <f t="shared" ref="D39" si="15">D38+D31</f>
        <v>1387420</v>
      </c>
      <c r="E39" s="36">
        <f t="shared" ref="E39:J39" si="16">E38+E31</f>
        <v>1734837</v>
      </c>
      <c r="F39" s="36">
        <f t="shared" ca="1" si="16"/>
        <v>1698908.2778973868</v>
      </c>
      <c r="G39" s="36">
        <f t="shared" ca="1" si="16"/>
        <v>1832504.5506618461</v>
      </c>
      <c r="H39" s="36">
        <f t="shared" ca="1" si="16"/>
        <v>2001780.0596430963</v>
      </c>
      <c r="I39" s="36">
        <f t="shared" ca="1" si="16"/>
        <v>2146390.4613290448</v>
      </c>
      <c r="J39" s="36">
        <f t="shared" ca="1" si="16"/>
        <v>2315196.6347920238</v>
      </c>
    </row>
    <row r="41" spans="1:10" x14ac:dyDescent="0.3">
      <c r="A41" s="4" t="s">
        <v>6</v>
      </c>
      <c r="B41" s="52"/>
      <c r="C41" s="52"/>
      <c r="D41" s="52"/>
      <c r="E41" s="52"/>
      <c r="F41" s="52"/>
      <c r="G41" s="52"/>
      <c r="H41" s="52"/>
      <c r="I41" s="52"/>
      <c r="J41" s="52"/>
    </row>
    <row r="42" spans="1:10" x14ac:dyDescent="0.3">
      <c r="A42" t="s">
        <v>176</v>
      </c>
      <c r="B42" s="53">
        <v>6418</v>
      </c>
      <c r="C42" s="53">
        <v>5613</v>
      </c>
      <c r="D42" s="53">
        <v>5632</v>
      </c>
      <c r="E42" s="53">
        <v>5665</v>
      </c>
      <c r="F42" s="52">
        <f>E42+'C.S'!G45+'C.S'!G11</f>
        <v>285430.89470600756</v>
      </c>
      <c r="G42" s="52">
        <f>F42+'C.S'!H45+'C.S'!H11</f>
        <v>574988.61749493831</v>
      </c>
      <c r="H42" s="52">
        <f>G42+'C.S'!I45+'C.S'!I11</f>
        <v>875545.43588929495</v>
      </c>
      <c r="I42" s="52">
        <f>H42+'C.S'!J45+'C.S'!J11</f>
        <v>1186301.4156632284</v>
      </c>
      <c r="J42" s="52">
        <f>I42+'C.S'!K45+'C.S'!K11</f>
        <v>1507436.7420011112</v>
      </c>
    </row>
    <row r="43" spans="1:10" x14ac:dyDescent="0.3">
      <c r="A43" t="s">
        <v>129</v>
      </c>
      <c r="B43" s="53">
        <v>4776804</v>
      </c>
      <c r="C43" s="53">
        <v>4975115</v>
      </c>
      <c r="D43" s="53">
        <v>5144922</v>
      </c>
      <c r="E43" s="53">
        <v>5430847</v>
      </c>
      <c r="F43" s="52">
        <f>E43+'C.S'!G46</f>
        <v>5327201</v>
      </c>
      <c r="G43" s="52">
        <f>F43+'C.S'!H46</f>
        <v>5223555</v>
      </c>
      <c r="H43" s="52">
        <f>G43+'C.S'!I46</f>
        <v>5119909</v>
      </c>
      <c r="I43" s="52">
        <f>H43+'C.S'!J46</f>
        <v>5016263</v>
      </c>
      <c r="J43" s="52">
        <f>I43+'C.S'!K46</f>
        <v>4912617</v>
      </c>
    </row>
    <row r="44" spans="1:10" x14ac:dyDescent="0.3">
      <c r="A44" t="s">
        <v>130</v>
      </c>
      <c r="B44" s="53">
        <v>9001173</v>
      </c>
      <c r="C44" s="53">
        <v>5939736</v>
      </c>
      <c r="D44" s="53">
        <v>7448784</v>
      </c>
      <c r="E44" s="53">
        <v>9354216</v>
      </c>
      <c r="F44" s="52">
        <f ca="1">E44+'C.S'!G3</f>
        <v>11319273.326748073</v>
      </c>
      <c r="G44" s="52">
        <f ca="1">F44+'C.S'!H3</f>
        <v>13475682.980492711</v>
      </c>
      <c r="H44" s="52">
        <f ca="1">G44+'C.S'!I3</f>
        <v>15846299.53703459</v>
      </c>
      <c r="I44" s="52">
        <f ca="1">H44+'C.S'!J3</f>
        <v>18419368.771048293</v>
      </c>
      <c r="J44" s="52">
        <f ca="1">I44+'C.S'!K3</f>
        <v>21200338.827558156</v>
      </c>
    </row>
    <row r="45" spans="1:10" x14ac:dyDescent="0.3">
      <c r="A45" t="s">
        <v>131</v>
      </c>
      <c r="B45" s="53">
        <v>-159073</v>
      </c>
      <c r="C45" s="53">
        <v>-125337</v>
      </c>
      <c r="D45" s="53">
        <v>-269487</v>
      </c>
      <c r="E45" s="53">
        <v>-60841</v>
      </c>
      <c r="F45" s="52">
        <f>E45+'C.S'!G49</f>
        <v>-158460</v>
      </c>
      <c r="G45" s="52">
        <f>F45+'C.S'!H49</f>
        <v>-60607</v>
      </c>
      <c r="H45" s="52">
        <f>G45+'C.S'!I49</f>
        <v>-158226</v>
      </c>
      <c r="I45" s="52">
        <f>H45+'C.S'!J49</f>
        <v>-60373</v>
      </c>
      <c r="J45" s="52">
        <f>I45+'C.S'!K49</f>
        <v>-157992</v>
      </c>
    </row>
    <row r="46" spans="1:10" x14ac:dyDescent="0.3">
      <c r="D46" s="52"/>
      <c r="E46" s="52"/>
      <c r="F46" s="52"/>
      <c r="G46" s="52"/>
      <c r="H46" s="52"/>
      <c r="I46" s="52"/>
      <c r="J46" s="52"/>
    </row>
    <row r="47" spans="1:10" x14ac:dyDescent="0.3">
      <c r="A47" t="s">
        <v>177</v>
      </c>
      <c r="B47" s="53">
        <v>-6600281</v>
      </c>
      <c r="C47" s="53">
        <v>-2566383</v>
      </c>
      <c r="D47" s="53">
        <v>-6372133</v>
      </c>
      <c r="E47" s="53">
        <v>-6475779</v>
      </c>
      <c r="F47" s="53">
        <f>E47</f>
        <v>-6475779</v>
      </c>
      <c r="G47" s="53">
        <f t="shared" ref="G47:J47" si="17">F47</f>
        <v>-6475779</v>
      </c>
      <c r="H47" s="53">
        <f t="shared" si="17"/>
        <v>-6475779</v>
      </c>
      <c r="I47" s="53">
        <f t="shared" si="17"/>
        <v>-6475779</v>
      </c>
      <c r="J47" s="53">
        <f t="shared" si="17"/>
        <v>-6475779</v>
      </c>
    </row>
    <row r="48" spans="1:10" x14ac:dyDescent="0.3">
      <c r="A48" s="4" t="s">
        <v>132</v>
      </c>
      <c r="B48" s="65">
        <f>SUM(B42:B47)</f>
        <v>7025041</v>
      </c>
      <c r="C48" s="65">
        <f t="shared" ref="C48" si="18">SUM(C42:C47)</f>
        <v>8228744</v>
      </c>
      <c r="D48" s="65">
        <f t="shared" ref="D48" si="19">SUM(D42:D47)</f>
        <v>5957718</v>
      </c>
      <c r="E48" s="65">
        <f t="shared" ref="E48:J48" si="20">SUM(E42:E47)</f>
        <v>8254108</v>
      </c>
      <c r="F48" s="65">
        <f t="shared" ca="1" si="20"/>
        <v>10297666.22145408</v>
      </c>
      <c r="G48" s="65">
        <f t="shared" ca="1" si="20"/>
        <v>12737840.597987648</v>
      </c>
      <c r="H48" s="65">
        <f t="shared" ca="1" si="20"/>
        <v>15207748.972923886</v>
      </c>
      <c r="I48" s="65">
        <f t="shared" ca="1" si="20"/>
        <v>18085781.18671152</v>
      </c>
      <c r="J48" s="65">
        <f t="shared" ca="1" si="20"/>
        <v>20986621.569559269</v>
      </c>
    </row>
    <row r="49" spans="1:11" ht="15" thickBot="1" x14ac:dyDescent="0.35">
      <c r="A49" s="4" t="s">
        <v>133</v>
      </c>
      <c r="B49" s="68">
        <f>B48+B39</f>
        <v>8293105</v>
      </c>
      <c r="C49" s="68">
        <f>C48+C39</f>
        <v>9686522</v>
      </c>
      <c r="D49" s="68">
        <f t="shared" ref="D49:E49" si="21">D48+D39</f>
        <v>7345138</v>
      </c>
      <c r="E49" s="68">
        <f t="shared" si="21"/>
        <v>9988945</v>
      </c>
      <c r="F49" s="68">
        <f t="shared" ref="F49:J49" ca="1" si="22">F48+F39</f>
        <v>11996574.499351468</v>
      </c>
      <c r="G49" s="68">
        <f t="shared" ca="1" si="22"/>
        <v>14570345.148649495</v>
      </c>
      <c r="H49" s="68">
        <f t="shared" ca="1" si="22"/>
        <v>17209529.032566983</v>
      </c>
      <c r="I49" s="68">
        <f t="shared" ca="1" si="22"/>
        <v>20232171.648040563</v>
      </c>
      <c r="J49" s="68">
        <f t="shared" ca="1" si="22"/>
        <v>23301818.204351291</v>
      </c>
    </row>
    <row r="50" spans="1:11" ht="15" thickTop="1" x14ac:dyDescent="0.3"/>
    <row r="53" spans="1:11" x14ac:dyDescent="0.3">
      <c r="A53" s="4"/>
      <c r="B53" s="53"/>
      <c r="C53" s="53"/>
      <c r="D53" s="53"/>
      <c r="E53" s="53"/>
      <c r="F53" s="53"/>
      <c r="G53" s="53"/>
      <c r="H53" s="53"/>
      <c r="I53" s="53"/>
      <c r="J53" s="53"/>
      <c r="K53" s="53"/>
    </row>
    <row r="54" spans="1:11" x14ac:dyDescent="0.3">
      <c r="B54" s="53"/>
      <c r="C54" s="53"/>
      <c r="D54" s="53"/>
      <c r="E54" s="53"/>
      <c r="F54" s="53"/>
      <c r="G54" s="53"/>
      <c r="H54" s="53"/>
      <c r="I54" s="53"/>
      <c r="J54" s="53"/>
      <c r="K54" s="53"/>
    </row>
    <row r="58" spans="1:11" x14ac:dyDescent="0.3">
      <c r="B58" s="52"/>
      <c r="C58" s="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AD95-2AB0-44E8-84BB-AD19910CFBE5}">
  <sheetPr>
    <tabColor theme="4" tint="0.59999389629810485"/>
  </sheetPr>
  <dimension ref="A2:M54"/>
  <sheetViews>
    <sheetView zoomScale="60" zoomScaleNormal="6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B40" sqref="B40"/>
    </sheetView>
  </sheetViews>
  <sheetFormatPr defaultRowHeight="14.4" x14ac:dyDescent="0.3"/>
  <cols>
    <col min="1" max="1" width="40.6640625" customWidth="1"/>
    <col min="2" max="2" width="15" bestFit="1" customWidth="1"/>
    <col min="3" max="3" width="9.88671875" bestFit="1" customWidth="1"/>
    <col min="4" max="4" width="11.5546875" bestFit="1" customWidth="1"/>
    <col min="5" max="9" width="12.88671875" bestFit="1" customWidth="1"/>
    <col min="10" max="10" width="12.5546875" customWidth="1"/>
    <col min="13" max="13" width="13.88671875" bestFit="1" customWidth="1"/>
  </cols>
  <sheetData>
    <row r="2" spans="1:9" x14ac:dyDescent="0.3">
      <c r="A2" t="s">
        <v>166</v>
      </c>
      <c r="B2" s="2">
        <v>2021</v>
      </c>
      <c r="C2" s="2">
        <v>2022</v>
      </c>
      <c r="D2" s="2">
        <v>2023</v>
      </c>
      <c r="E2" s="3">
        <f>D2+1</f>
        <v>2024</v>
      </c>
      <c r="F2" s="3">
        <f t="shared" ref="F2:I2" si="0">E2+1</f>
        <v>2025</v>
      </c>
      <c r="G2" s="3">
        <f t="shared" si="0"/>
        <v>2026</v>
      </c>
      <c r="H2" s="3">
        <f t="shared" si="0"/>
        <v>2027</v>
      </c>
      <c r="I2" s="3">
        <f t="shared" si="0"/>
        <v>2028</v>
      </c>
    </row>
    <row r="4" spans="1:9" x14ac:dyDescent="0.3">
      <c r="A4" s="4" t="s">
        <v>16</v>
      </c>
    </row>
    <row r="5" spans="1:9" x14ac:dyDescent="0.3">
      <c r="A5" s="5" t="s">
        <v>17</v>
      </c>
      <c r="E5" s="52">
        <f>I.S!G22</f>
        <v>2428881.7330538789</v>
      </c>
      <c r="F5" s="52">
        <f>I.S!H22</f>
        <v>2634459.9976378945</v>
      </c>
      <c r="G5" s="52">
        <f>I.S!I22</f>
        <v>2865788.9958810629</v>
      </c>
      <c r="H5" s="52">
        <f>I.S!J22</f>
        <v>3078453.624615774</v>
      </c>
      <c r="I5" s="52">
        <f>I.S!K22</f>
        <v>3294161.0480577741</v>
      </c>
    </row>
    <row r="6" spans="1:9" x14ac:dyDescent="0.3">
      <c r="A6" s="5" t="s">
        <v>18</v>
      </c>
      <c r="E6" s="52">
        <f>'C.S'!G4</f>
        <v>-124400.39219924812</v>
      </c>
      <c r="F6" s="52">
        <f>'C.S'!H4</f>
        <v>-135851.10826174813</v>
      </c>
      <c r="G6" s="52">
        <f>'C.S'!I4</f>
        <v>-148309.48733774814</v>
      </c>
      <c r="H6" s="52">
        <f>'C.S'!J4</f>
        <v>-161702.24484444814</v>
      </c>
      <c r="I6" s="52">
        <f>'C.S'!K4</f>
        <v>-176045.88813412384</v>
      </c>
    </row>
    <row r="7" spans="1:9" x14ac:dyDescent="0.3">
      <c r="A7" s="5" t="s">
        <v>19</v>
      </c>
      <c r="E7" s="52">
        <f ca="1">'C.S'!G26</f>
        <v>-55129.651506916976</v>
      </c>
      <c r="F7" s="52">
        <f ca="1">'C.S'!H26</f>
        <v>-101742.94932650929</v>
      </c>
      <c r="G7" s="52">
        <f ca="1">'C.S'!I26</f>
        <v>-114303.42623820607</v>
      </c>
      <c r="H7" s="52">
        <f ca="1">'C.S'!J26</f>
        <v>-105906.83055755423</v>
      </c>
      <c r="I7" s="52">
        <f ca="1">'C.S'!K26</f>
        <v>-107736.93254942239</v>
      </c>
    </row>
    <row r="8" spans="1:9" x14ac:dyDescent="0.3">
      <c r="A8" s="5" t="s">
        <v>20</v>
      </c>
      <c r="E8" s="52">
        <f>'C.S'!G34</f>
        <v>-147751.17499999999</v>
      </c>
      <c r="F8" s="52">
        <f>'C.S'!H34</f>
        <v>-160310.02487499997</v>
      </c>
      <c r="G8" s="52">
        <f>'C.S'!I34</f>
        <v>-174417.30706399999</v>
      </c>
      <c r="H8" s="52">
        <f>'C.S'!J34</f>
        <v>-187498.6050938</v>
      </c>
      <c r="I8" s="52">
        <f>'C.S'!K34</f>
        <v>-200811.00605545979</v>
      </c>
    </row>
    <row r="9" spans="1:9" x14ac:dyDescent="0.3">
      <c r="A9" s="5" t="s">
        <v>21</v>
      </c>
      <c r="E9" s="52">
        <f>-(I.S!G30*'&gt;&gt;Valuation'!E5)</f>
        <v>-510065.16394131456</v>
      </c>
      <c r="F9" s="52">
        <f>-(I.S!H30*'&gt;&gt;Valuation'!F5)</f>
        <v>-553236.59950395778</v>
      </c>
      <c r="G9" s="52">
        <f>-(I.S!I30*'&gt;&gt;Valuation'!G5)</f>
        <v>-601815.68913502316</v>
      </c>
      <c r="H9" s="52">
        <f>-(I.S!J30*'&gt;&gt;Valuation'!H5)</f>
        <v>-646475.26116931252</v>
      </c>
      <c r="I9" s="52">
        <f>-(I.S!K30*'&gt;&gt;Valuation'!I5)</f>
        <v>-691773.82009213255</v>
      </c>
    </row>
    <row r="10" spans="1:9" x14ac:dyDescent="0.3">
      <c r="A10" s="4" t="s">
        <v>22</v>
      </c>
      <c r="B10" s="6"/>
      <c r="C10" s="6"/>
      <c r="D10" s="6"/>
      <c r="E10" s="55">
        <f ca="1">SUM(E5:E9)</f>
        <v>1591535.3504063995</v>
      </c>
      <c r="F10" s="55">
        <f t="shared" ref="F10:I10" ca="1" si="1">SUM(F5:F9)</f>
        <v>1683319.3156706793</v>
      </c>
      <c r="G10" s="55">
        <f t="shared" ca="1" si="1"/>
        <v>1826943.0861060855</v>
      </c>
      <c r="H10" s="55">
        <f t="shared" ca="1" si="1"/>
        <v>1976870.6829506592</v>
      </c>
      <c r="I10" s="55">
        <f t="shared" ca="1" si="1"/>
        <v>2117793.4012266351</v>
      </c>
    </row>
    <row r="12" spans="1:9" x14ac:dyDescent="0.3">
      <c r="A12" s="7" t="s">
        <v>23</v>
      </c>
    </row>
    <row r="13" spans="1:9" x14ac:dyDescent="0.3">
      <c r="A13" s="5" t="s">
        <v>24</v>
      </c>
      <c r="E13" s="61">
        <v>1</v>
      </c>
      <c r="F13" s="61">
        <v>2</v>
      </c>
      <c r="G13" s="61">
        <v>3</v>
      </c>
      <c r="H13" s="61">
        <v>4</v>
      </c>
      <c r="I13" s="61">
        <v>5</v>
      </c>
    </row>
    <row r="14" spans="1:9" x14ac:dyDescent="0.3">
      <c r="A14" s="5" t="s">
        <v>25</v>
      </c>
      <c r="D14" s="113">
        <f>J25</f>
        <v>7.1483739587461848E-2</v>
      </c>
      <c r="E14" s="52">
        <f ca="1">E10/(1+$D$14)^E13</f>
        <v>1485356.5122874992</v>
      </c>
      <c r="F14" s="52">
        <f t="shared" ref="F14:I14" ca="1" si="2">F10/(1+$D$14)^F13</f>
        <v>1466207.1647017202</v>
      </c>
      <c r="G14" s="52">
        <f t="shared" ca="1" si="2"/>
        <v>1485142.9704609031</v>
      </c>
      <c r="H14" s="52">
        <f t="shared" ca="1" si="2"/>
        <v>1499808.8843070779</v>
      </c>
      <c r="I14" s="52">
        <f t="shared" ca="1" si="2"/>
        <v>1499531.7548354138</v>
      </c>
    </row>
    <row r="15" spans="1:9" x14ac:dyDescent="0.3">
      <c r="A15" s="8" t="s">
        <v>26</v>
      </c>
      <c r="D15" s="51">
        <f ca="1">SUM(E14:I14)</f>
        <v>7436047.2865926139</v>
      </c>
    </row>
    <row r="17" spans="1:13" x14ac:dyDescent="0.3">
      <c r="A17" s="8" t="s">
        <v>27</v>
      </c>
    </row>
    <row r="18" spans="1:13" x14ac:dyDescent="0.3">
      <c r="A18" s="9" t="s">
        <v>28</v>
      </c>
      <c r="B18" s="10"/>
      <c r="C18" s="10"/>
      <c r="D18" s="11"/>
      <c r="H18" s="12" t="s">
        <v>29</v>
      </c>
      <c r="I18" s="10"/>
      <c r="J18" s="10"/>
      <c r="K18" s="10"/>
      <c r="L18" s="10"/>
      <c r="M18" s="11"/>
    </row>
    <row r="19" spans="1:13" x14ac:dyDescent="0.3">
      <c r="A19" s="13" t="s">
        <v>30</v>
      </c>
      <c r="B19" s="14"/>
      <c r="C19" s="139">
        <f>I5+I6</f>
        <v>3118115.1599236503</v>
      </c>
      <c r="D19" s="140"/>
      <c r="H19" s="15" t="s">
        <v>31</v>
      </c>
      <c r="I19" s="16"/>
      <c r="J19" s="101">
        <v>4.7899999999999998E-2</v>
      </c>
      <c r="K19" s="17" t="s">
        <v>32</v>
      </c>
      <c r="L19" s="16"/>
      <c r="M19" s="102">
        <f>B.S!E30+B.S!E36+B.S!E37</f>
        <v>127066</v>
      </c>
    </row>
    <row r="20" spans="1:13" x14ac:dyDescent="0.3">
      <c r="A20" s="19" t="s">
        <v>33</v>
      </c>
      <c r="B20" s="16"/>
      <c r="C20" s="141">
        <f>(M22+M23)/I.S!K16</f>
        <v>25.919864726772026</v>
      </c>
      <c r="D20" s="142"/>
      <c r="H20" s="15" t="s">
        <v>34</v>
      </c>
      <c r="I20" s="16"/>
      <c r="J20" s="121">
        <v>4.4600000000000001E-2</v>
      </c>
      <c r="K20" s="16" t="s">
        <v>35</v>
      </c>
      <c r="L20" s="16"/>
      <c r="M20" s="18">
        <v>46.68</v>
      </c>
    </row>
    <row r="21" spans="1:13" x14ac:dyDescent="0.3">
      <c r="A21" s="19" t="s">
        <v>27</v>
      </c>
      <c r="B21" s="16"/>
      <c r="C21" s="143">
        <f>C20*C19</f>
        <v>80821123.147718146</v>
      </c>
      <c r="D21" s="144"/>
      <c r="H21" s="15" t="s">
        <v>36</v>
      </c>
      <c r="I21" s="122"/>
      <c r="J21" s="123">
        <v>0.53</v>
      </c>
      <c r="K21" s="16" t="s">
        <v>37</v>
      </c>
      <c r="L21" s="16"/>
      <c r="M21" s="102">
        <f>I.S!F38</f>
        <v>1968902</v>
      </c>
    </row>
    <row r="22" spans="1:13" x14ac:dyDescent="0.3">
      <c r="A22" s="20" t="s">
        <v>38</v>
      </c>
      <c r="B22" s="16"/>
      <c r="C22" s="145">
        <f>C21/(1+D14)^I13</f>
        <v>57226470.037762366</v>
      </c>
      <c r="D22" s="146"/>
      <c r="H22" s="15" t="s">
        <v>39</v>
      </c>
      <c r="I22" s="16"/>
      <c r="J22" s="106">
        <f>J19+(J21*J20)</f>
        <v>7.1538000000000004E-2</v>
      </c>
      <c r="K22" s="17" t="s">
        <v>40</v>
      </c>
      <c r="L22" s="16"/>
      <c r="M22" s="104">
        <f>M21*M20</f>
        <v>91908345.359999999</v>
      </c>
    </row>
    <row r="23" spans="1:13" x14ac:dyDescent="0.3">
      <c r="A23" s="12" t="s">
        <v>41</v>
      </c>
      <c r="B23" s="10"/>
      <c r="C23" s="10"/>
      <c r="D23" s="11"/>
      <c r="H23" s="15" t="s">
        <v>42</v>
      </c>
      <c r="I23" s="16"/>
      <c r="J23" s="135">
        <v>4.2000000000000003E-2</v>
      </c>
      <c r="K23" s="16" t="s">
        <v>210</v>
      </c>
      <c r="L23" s="16"/>
      <c r="M23" s="103">
        <f>'&gt;&gt;Valuation'!M19-B.S!E3</f>
        <v>-1961051</v>
      </c>
    </row>
    <row r="24" spans="1:13" x14ac:dyDescent="0.3">
      <c r="A24" s="19" t="s">
        <v>16</v>
      </c>
      <c r="B24" s="16"/>
      <c r="C24" s="139">
        <f ca="1">I10</f>
        <v>2117793.4012266351</v>
      </c>
      <c r="D24" s="140"/>
      <c r="H24" s="15"/>
      <c r="I24" s="16"/>
      <c r="J24" s="18"/>
      <c r="L24" s="16"/>
      <c r="M24" s="18"/>
    </row>
    <row r="25" spans="1:13" x14ac:dyDescent="0.3">
      <c r="A25" s="19" t="s">
        <v>43</v>
      </c>
      <c r="B25" s="16"/>
      <c r="C25" s="137">
        <v>0.03</v>
      </c>
      <c r="D25" s="138"/>
      <c r="H25" s="21" t="s">
        <v>44</v>
      </c>
      <c r="I25" s="22"/>
      <c r="J25" s="124">
        <f>((M22/(M22+M19))*J22)+(M19/(M22+M19)*(J23*(1-I.S!F30)))</f>
        <v>7.1483739587461848E-2</v>
      </c>
      <c r="K25" s="26" t="s">
        <v>211</v>
      </c>
      <c r="L25" s="22"/>
      <c r="M25" s="105">
        <f>M22+M23</f>
        <v>89947294.359999999</v>
      </c>
    </row>
    <row r="26" spans="1:13" x14ac:dyDescent="0.3">
      <c r="A26" s="19" t="s">
        <v>27</v>
      </c>
      <c r="B26" s="16"/>
      <c r="C26" s="143">
        <f ca="1">C24*(1+C25)/(D14-C25)</f>
        <v>52582704.089742288</v>
      </c>
      <c r="D26" s="144"/>
    </row>
    <row r="27" spans="1:13" x14ac:dyDescent="0.3">
      <c r="A27" s="23" t="s">
        <v>38</v>
      </c>
      <c r="B27" s="22"/>
      <c r="C27" s="152">
        <f ca="1">C26/(1+D14)^I13</f>
        <v>37231882.246876687</v>
      </c>
      <c r="D27" s="153"/>
    </row>
    <row r="29" spans="1:13" x14ac:dyDescent="0.3">
      <c r="A29" s="12" t="s">
        <v>45</v>
      </c>
      <c r="B29" s="24" t="s">
        <v>28</v>
      </c>
      <c r="C29" s="154" t="s">
        <v>41</v>
      </c>
      <c r="D29" s="155"/>
    </row>
    <row r="30" spans="1:13" x14ac:dyDescent="0.3">
      <c r="A30" s="15" t="s">
        <v>46</v>
      </c>
      <c r="B30" s="107">
        <f ca="1">D15</f>
        <v>7436047.2865926139</v>
      </c>
      <c r="C30" s="139">
        <f ca="1">D15</f>
        <v>7436047.2865926139</v>
      </c>
      <c r="D30" s="156"/>
    </row>
    <row r="31" spans="1:13" x14ac:dyDescent="0.3">
      <c r="A31" s="15" t="s">
        <v>47</v>
      </c>
      <c r="B31" s="108">
        <f>C22</f>
        <v>57226470.037762366</v>
      </c>
      <c r="C31" s="147">
        <f ca="1">C27</f>
        <v>37231882.246876687</v>
      </c>
      <c r="D31" s="157"/>
    </row>
    <row r="32" spans="1:13" x14ac:dyDescent="0.3">
      <c r="A32" s="25" t="s">
        <v>48</v>
      </c>
      <c r="B32" s="107">
        <f ca="1">SUM(B30:B31)</f>
        <v>64662517.324354976</v>
      </c>
      <c r="C32" s="147">
        <f ca="1">SUM(C30:D31)</f>
        <v>44667929.533469304</v>
      </c>
      <c r="D32" s="157"/>
    </row>
    <row r="33" spans="1:7" x14ac:dyDescent="0.3">
      <c r="A33" s="15" t="s">
        <v>49</v>
      </c>
      <c r="B33" s="108">
        <f>M23</f>
        <v>-1961051</v>
      </c>
      <c r="C33" s="147">
        <f>B33</f>
        <v>-1961051</v>
      </c>
      <c r="D33" s="148"/>
    </row>
    <row r="34" spans="1:7" x14ac:dyDescent="0.3">
      <c r="A34" s="25" t="s">
        <v>40</v>
      </c>
      <c r="B34" s="107">
        <f ca="1">B32-B33</f>
        <v>66623568.324354976</v>
      </c>
      <c r="C34" s="149">
        <f ca="1">C32-C33</f>
        <v>46628980.533469304</v>
      </c>
      <c r="D34" s="148"/>
    </row>
    <row r="35" spans="1:7" x14ac:dyDescent="0.3">
      <c r="A35" s="15" t="s">
        <v>50</v>
      </c>
      <c r="B35" s="108">
        <f>M21</f>
        <v>1968902</v>
      </c>
      <c r="C35" s="147">
        <f>B35</f>
        <v>1968902</v>
      </c>
      <c r="D35" s="148"/>
    </row>
    <row r="36" spans="1:7" x14ac:dyDescent="0.3">
      <c r="A36" s="26" t="s">
        <v>51</v>
      </c>
      <c r="B36" s="109">
        <f ca="1">B34/B35</f>
        <v>33.837930137891561</v>
      </c>
      <c r="C36" s="150">
        <f ca="1">C34/C35</f>
        <v>23.682733083449204</v>
      </c>
      <c r="D36" s="151"/>
    </row>
    <row r="39" spans="1:7" ht="15" thickBot="1" x14ac:dyDescent="0.35">
      <c r="C39" s="110"/>
      <c r="D39" s="110"/>
      <c r="E39" s="111" t="s">
        <v>212</v>
      </c>
      <c r="F39" s="110"/>
      <c r="G39" s="110"/>
    </row>
    <row r="40" spans="1:7" x14ac:dyDescent="0.3">
      <c r="B40" s="112">
        <f ca="1">B36</f>
        <v>33.837930137891561</v>
      </c>
      <c r="C40" s="115">
        <f>D40-1</f>
        <v>24</v>
      </c>
      <c r="D40" s="115">
        <f>E40-1</f>
        <v>25</v>
      </c>
      <c r="E40" s="132">
        <v>26</v>
      </c>
      <c r="F40" s="115">
        <f>E40+1</f>
        <v>27</v>
      </c>
      <c r="G40" s="115">
        <f>F40+1</f>
        <v>28</v>
      </c>
    </row>
    <row r="41" spans="1:7" x14ac:dyDescent="0.3">
      <c r="B41" s="113">
        <f>B42-1%</f>
        <v>5.149999999999999E-2</v>
      </c>
      <c r="C41" s="116">
        <f t="dataTable" ref="C41:G45" dt2D="1" dtr="1" r1="C20" r2="D14" ca="1"/>
        <v>34.563002889964096</v>
      </c>
      <c r="D41" s="117">
        <v>35.795033974930874</v>
      </c>
      <c r="E41" s="117">
        <v>37.027065059897645</v>
      </c>
      <c r="F41" s="117">
        <v>38.259096144864422</v>
      </c>
      <c r="G41" s="117">
        <v>39.491127229831193</v>
      </c>
    </row>
    <row r="42" spans="1:7" x14ac:dyDescent="0.3">
      <c r="B42" s="113">
        <f>B43-1%</f>
        <v>6.1499999999999992E-2</v>
      </c>
      <c r="C42" s="118">
        <v>33.082935339101084</v>
      </c>
      <c r="D42" s="119">
        <v>34.258017026175963</v>
      </c>
      <c r="E42" s="119">
        <v>35.433098713250835</v>
      </c>
      <c r="F42" s="119">
        <v>36.608180400325708</v>
      </c>
      <c r="G42" s="120">
        <v>37.78326208740058</v>
      </c>
    </row>
    <row r="43" spans="1:7" x14ac:dyDescent="0.3">
      <c r="B43" s="114">
        <v>7.1499999999999994E-2</v>
      </c>
      <c r="C43" s="118">
        <v>31.682880707229053</v>
      </c>
      <c r="D43" s="119">
        <v>32.804142887267972</v>
      </c>
      <c r="E43" s="136">
        <v>33.925405067306905</v>
      </c>
      <c r="F43" s="119">
        <v>35.046667247345823</v>
      </c>
      <c r="G43" s="120">
        <v>36.167929427384749</v>
      </c>
    </row>
    <row r="44" spans="1:7" x14ac:dyDescent="0.3">
      <c r="B44" s="113">
        <f>B43+1%</f>
        <v>8.1499999999999989E-2</v>
      </c>
      <c r="C44" s="118">
        <v>30.357798029457189</v>
      </c>
      <c r="D44" s="119">
        <v>31.428171734819294</v>
      </c>
      <c r="E44" s="119">
        <v>32.498545440181402</v>
      </c>
      <c r="F44" s="119">
        <v>33.568919145543518</v>
      </c>
      <c r="G44" s="120">
        <v>34.639292850905612</v>
      </c>
    </row>
    <row r="45" spans="1:7" x14ac:dyDescent="0.3">
      <c r="B45" s="113">
        <f>B44+1%</f>
        <v>9.1499999999999984E-2</v>
      </c>
      <c r="C45" s="118">
        <v>29.103007216703254</v>
      </c>
      <c r="D45" s="120">
        <v>30.125238930448262</v>
      </c>
      <c r="E45" s="120">
        <v>31.14747064419327</v>
      </c>
      <c r="F45" s="120">
        <v>32.169702357938284</v>
      </c>
      <c r="G45" s="120">
        <v>33.191934071683292</v>
      </c>
    </row>
    <row r="46" spans="1:7" x14ac:dyDescent="0.3">
      <c r="B46" s="115"/>
      <c r="C46" s="120"/>
      <c r="D46" s="120"/>
      <c r="E46" s="120"/>
      <c r="F46" s="120"/>
      <c r="G46" s="120"/>
    </row>
    <row r="48" spans="1:7" ht="15" thickBot="1" x14ac:dyDescent="0.35">
      <c r="C48" s="110"/>
      <c r="D48" s="110"/>
      <c r="E48" s="111" t="s">
        <v>213</v>
      </c>
      <c r="F48" s="110"/>
      <c r="G48" s="110"/>
    </row>
    <row r="49" spans="2:7" x14ac:dyDescent="0.3">
      <c r="B49" s="112">
        <f ca="1">C36</f>
        <v>23.682733083449204</v>
      </c>
      <c r="C49" s="113">
        <f>D49-0.5%</f>
        <v>1.9999999999999997E-2</v>
      </c>
      <c r="D49" s="113">
        <f>E49-0.5%</f>
        <v>2.4999999999999998E-2</v>
      </c>
      <c r="E49" s="114">
        <v>0.03</v>
      </c>
      <c r="F49" s="113">
        <f>E49+0.5%</f>
        <v>3.4999999999999996E-2</v>
      </c>
      <c r="G49" s="113">
        <f>F49+0.5%</f>
        <v>3.9999999999999994E-2</v>
      </c>
    </row>
    <row r="50" spans="2:7" x14ac:dyDescent="0.3">
      <c r="B50" s="113">
        <f>B51-0.5%</f>
        <v>6.1499999999999992E-2</v>
      </c>
      <c r="C50" s="116">
        <f t="dataTable" ref="C50:G54" dt2D="1" dtr="1" r1="C25" r2="D14" ca="1"/>
        <v>24.49702545214107</v>
      </c>
      <c r="D50" s="117">
        <v>27.293484989464663</v>
      </c>
      <c r="E50" s="117">
        <v>30.977709459271928</v>
      </c>
      <c r="F50" s="117">
        <v>36.05220731391212</v>
      </c>
      <c r="G50" s="117">
        <v>43.48693672885009</v>
      </c>
    </row>
    <row r="51" spans="2:7" x14ac:dyDescent="0.3">
      <c r="B51" s="113">
        <f>B52-0.5%</f>
        <v>6.649999999999999E-2</v>
      </c>
      <c r="C51" s="118">
        <v>21.926434939836184</v>
      </c>
      <c r="D51" s="119">
        <v>24.080629903582878</v>
      </c>
      <c r="E51" s="119">
        <v>26.825015268356086</v>
      </c>
      <c r="F51" s="119">
        <v>30.440634082263632</v>
      </c>
      <c r="G51" s="120">
        <v>35.420637354249493</v>
      </c>
    </row>
    <row r="52" spans="2:7" x14ac:dyDescent="0.3">
      <c r="B52" s="114">
        <v>7.1499999999999994E-2</v>
      </c>
      <c r="C52" s="118">
        <v>19.855721243242009</v>
      </c>
      <c r="D52" s="119">
        <v>21.559450618765812</v>
      </c>
      <c r="E52" s="136">
        <v>23.673717193211029</v>
      </c>
      <c r="F52" s="119">
        <v>26.367234883942594</v>
      </c>
      <c r="G52" s="120">
        <v>29.915837555858786</v>
      </c>
    </row>
    <row r="53" spans="2:7" x14ac:dyDescent="0.3">
      <c r="B53" s="113">
        <f>B52+0.5%</f>
        <v>7.6499999999999999E-2</v>
      </c>
      <c r="C53" s="118">
        <v>18.152157575549221</v>
      </c>
      <c r="D53" s="119">
        <v>19.528472063230769</v>
      </c>
      <c r="E53" s="119">
        <v>21.200768161166415</v>
      </c>
      <c r="F53" s="119">
        <v>23.276027174267266</v>
      </c>
      <c r="G53" s="120">
        <v>25.919850300546443</v>
      </c>
    </row>
    <row r="54" spans="2:7" x14ac:dyDescent="0.3">
      <c r="B54" s="113">
        <f>B53+0.5%</f>
        <v>8.1500000000000003E-2</v>
      </c>
      <c r="C54" s="118">
        <v>16.726180765927438</v>
      </c>
      <c r="D54" s="120">
        <v>17.857538203535579</v>
      </c>
      <c r="E54" s="120">
        <v>19.208576696989958</v>
      </c>
      <c r="F54" s="120">
        <v>20.850161103015171</v>
      </c>
      <c r="G54" s="120">
        <v>22.887308016516346</v>
      </c>
    </row>
  </sheetData>
  <mergeCells count="16">
    <mergeCell ref="C33:D33"/>
    <mergeCell ref="C34:D34"/>
    <mergeCell ref="C35:D35"/>
    <mergeCell ref="C36:D36"/>
    <mergeCell ref="C26:D26"/>
    <mergeCell ref="C27:D27"/>
    <mergeCell ref="C29:D29"/>
    <mergeCell ref="C30:D30"/>
    <mergeCell ref="C31:D31"/>
    <mergeCell ref="C32:D32"/>
    <mergeCell ref="C25:D25"/>
    <mergeCell ref="C19:D19"/>
    <mergeCell ref="C20:D20"/>
    <mergeCell ref="C21:D21"/>
    <mergeCell ref="C22:D22"/>
    <mergeCell ref="C24:D2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737B-B5D5-4CB2-AA9D-BA98D35EA36F}">
  <sheetPr>
    <tabColor theme="4" tint="-0.249977111117893"/>
  </sheetPr>
  <dimension ref="A1:K32"/>
  <sheetViews>
    <sheetView zoomScale="80" zoomScaleNormal="80" workbookViewId="0">
      <selection activeCell="H27" sqref="H27"/>
    </sheetView>
  </sheetViews>
  <sheetFormatPr defaultRowHeight="14.4" x14ac:dyDescent="0.3"/>
  <cols>
    <col min="1" max="1" width="57.44140625" customWidth="1"/>
    <col min="2" max="2" width="10.5546875" bestFit="1" customWidth="1"/>
    <col min="3" max="11" width="15.77734375" customWidth="1"/>
  </cols>
  <sheetData>
    <row r="1" spans="1:11" ht="23.4" x14ac:dyDescent="0.45">
      <c r="A1" s="27" t="s">
        <v>52</v>
      </c>
      <c r="B1" s="28"/>
      <c r="C1" s="28"/>
      <c r="D1" s="28"/>
      <c r="E1" s="28"/>
      <c r="F1" s="28"/>
      <c r="G1" s="28"/>
      <c r="H1" s="28"/>
    </row>
    <row r="2" spans="1:11" ht="23.4" x14ac:dyDescent="0.45">
      <c r="A2" s="27"/>
      <c r="B2" s="28"/>
      <c r="C2" s="28"/>
      <c r="D2" s="28"/>
      <c r="E2" s="28"/>
      <c r="F2" s="28"/>
      <c r="G2" s="28"/>
      <c r="H2" s="28"/>
    </row>
    <row r="3" spans="1:11" x14ac:dyDescent="0.3">
      <c r="A3" s="2" t="s">
        <v>53</v>
      </c>
      <c r="B3" s="2">
        <v>2021</v>
      </c>
      <c r="C3" s="2">
        <v>2022</v>
      </c>
      <c r="D3" s="2">
        <v>2023</v>
      </c>
      <c r="E3" s="2">
        <f>D3+1</f>
        <v>2024</v>
      </c>
      <c r="F3" s="2">
        <f t="shared" ref="F3:K3" si="0">E3+1</f>
        <v>2025</v>
      </c>
      <c r="G3" s="3">
        <f t="shared" si="0"/>
        <v>2026</v>
      </c>
      <c r="H3" s="3">
        <f t="shared" si="0"/>
        <v>2027</v>
      </c>
      <c r="I3" s="3">
        <f t="shared" si="0"/>
        <v>2028</v>
      </c>
      <c r="J3" s="3">
        <f t="shared" si="0"/>
        <v>2029</v>
      </c>
      <c r="K3" s="3">
        <f t="shared" si="0"/>
        <v>2030</v>
      </c>
    </row>
    <row r="4" spans="1:11" x14ac:dyDescent="0.3">
      <c r="A4" s="29" t="s">
        <v>56</v>
      </c>
      <c r="B4" s="34"/>
      <c r="C4" s="53">
        <f>B.S!B5</f>
        <v>1016203</v>
      </c>
      <c r="D4" s="53">
        <f>B.S!C5</f>
        <v>1193964</v>
      </c>
      <c r="E4" s="53">
        <f>B.S!D5</f>
        <v>1221646</v>
      </c>
      <c r="F4" s="53">
        <f>B.S!E5</f>
        <v>1618072</v>
      </c>
      <c r="G4" s="30">
        <f>G5*I.S!G2/360</f>
        <v>1504459.6582441691</v>
      </c>
      <c r="H4" s="30">
        <f>H5*I.S!H2/360</f>
        <v>1632338.7291949235</v>
      </c>
      <c r="I4" s="30">
        <f>I5*I.S!I2/360</f>
        <v>1775984.5373640766</v>
      </c>
      <c r="J4" s="30">
        <f>J5*I.S!J2/360</f>
        <v>1909183.3776663824</v>
      </c>
      <c r="K4" s="30">
        <f>K5*I.S!K2/360</f>
        <v>2044735.3974806957</v>
      </c>
    </row>
    <row r="5" spans="1:11" x14ac:dyDescent="0.3">
      <c r="A5" s="31" t="s">
        <v>57</v>
      </c>
      <c r="C5" s="30"/>
      <c r="D5" s="85">
        <f>360/(I.S!D2/AVERAGE('Working Capital Schedule'!C4:D4))</f>
        <v>55.718285098921896</v>
      </c>
      <c r="E5" s="85">
        <f>360/(I.S!E2/AVERAGE('Working Capital Schedule'!D4:E4))</f>
        <v>58.031053921885935</v>
      </c>
      <c r="F5" s="85">
        <f>360/(I.S!F2/AVERAGE('Working Capital Schedule'!E4:F4))</f>
        <v>61.62624815491715</v>
      </c>
      <c r="G5" s="85">
        <f>AVERAGE(D5:F5)</f>
        <v>58.458529058575003</v>
      </c>
      <c r="H5" s="85">
        <v>58.458529058575003</v>
      </c>
      <c r="I5" s="85">
        <v>58.458529058575003</v>
      </c>
      <c r="J5" s="85">
        <v>58.458529058575003</v>
      </c>
      <c r="K5" s="85">
        <v>58.458529058575003</v>
      </c>
    </row>
    <row r="6" spans="1:11" x14ac:dyDescent="0.3">
      <c r="A6" s="29" t="s">
        <v>54</v>
      </c>
      <c r="B6" s="30"/>
      <c r="C6" s="53">
        <f>B.S!B6</f>
        <v>935631</v>
      </c>
      <c r="D6" s="53">
        <f>B.S!C6</f>
        <v>971406</v>
      </c>
      <c r="E6" s="53">
        <f>B.S!D6</f>
        <v>737107</v>
      </c>
      <c r="F6" s="53">
        <f>B.S!E6</f>
        <v>799623</v>
      </c>
      <c r="G6" s="30">
        <f>G7*-I.S!G4/360</f>
        <v>907169.93061438517</v>
      </c>
      <c r="H6" s="30">
        <f>H7*-I.S!H4/360</f>
        <v>984279.37471660809</v>
      </c>
      <c r="I6" s="30">
        <f>I7*-I.S!I4/360</f>
        <v>1070895.9596916696</v>
      </c>
      <c r="J6" s="30">
        <f>J7*-I.S!J4/360</f>
        <v>1151213.1566685447</v>
      </c>
      <c r="K6" s="30">
        <f>K7*-I.S!K4/360</f>
        <v>1232949.2907920114</v>
      </c>
    </row>
    <row r="7" spans="1:11" x14ac:dyDescent="0.3">
      <c r="A7" s="31" t="s">
        <v>55</v>
      </c>
      <c r="B7" s="32"/>
      <c r="C7" s="33"/>
      <c r="D7" s="33">
        <f>360/(-I.S!D4/AVERAGE('Working Capital Schedule'!C6:D6))</f>
        <v>102.59564393911091</v>
      </c>
      <c r="E7" s="33">
        <f>360/(-I.S!E4/AVERAGE('Working Capital Schedule'!D6:E6))</f>
        <v>89.299486531133496</v>
      </c>
      <c r="F7" s="33">
        <f>360/(-I.S!F4/AVERAGE('Working Capital Schedule'!E6:F6))</f>
        <v>75.532556303022162</v>
      </c>
      <c r="G7" s="85">
        <f>F7</f>
        <v>75.532556303022162</v>
      </c>
      <c r="H7" s="85">
        <v>75.532556303022162</v>
      </c>
      <c r="I7" s="85">
        <v>75.532556303022162</v>
      </c>
      <c r="J7" s="85">
        <v>75.532556303022162</v>
      </c>
      <c r="K7" s="85">
        <v>75.532556303022162</v>
      </c>
    </row>
    <row r="8" spans="1:11" x14ac:dyDescent="0.3">
      <c r="A8" s="29" t="s">
        <v>151</v>
      </c>
      <c r="B8" s="32"/>
      <c r="C8" s="53">
        <f>B.S!B7</f>
        <v>109823</v>
      </c>
      <c r="D8" s="53">
        <f>B.S!C7</f>
        <v>116195</v>
      </c>
      <c r="E8" s="53">
        <f>B.S!D7</f>
        <v>107262</v>
      </c>
      <c r="F8" s="53">
        <f>B.S!E7</f>
        <v>103551</v>
      </c>
      <c r="G8" s="30">
        <f>G9*-I.S!G15/360</f>
        <v>119942.83968568809</v>
      </c>
      <c r="H8" s="30">
        <f>H9*-I.S!H15/360</f>
        <v>130137.98731656563</v>
      </c>
      <c r="I8" s="30">
        <f>I9*-I.S!I15/360</f>
        <v>141590.13020042342</v>
      </c>
      <c r="J8" s="30">
        <f>J9*-I.S!J15/360</f>
        <v>152209.38996545516</v>
      </c>
      <c r="K8" s="30">
        <f>K9*-I.S!K15/360</f>
        <v>163016.25665300249</v>
      </c>
    </row>
    <row r="9" spans="1:11" x14ac:dyDescent="0.3">
      <c r="A9" s="83" t="s">
        <v>184</v>
      </c>
      <c r="B9" s="32"/>
      <c r="C9" s="33"/>
      <c r="D9" s="33">
        <f>360/(-I.S!D15/AVERAGE('Working Capital Schedule'!C8:D8))</f>
        <v>22.959548024129308</v>
      </c>
      <c r="E9" s="33">
        <f>360/(-I.S!E15/AVERAGE('Working Capital Schedule'!D8:E8))</f>
        <v>19.734690773495572</v>
      </c>
      <c r="F9" s="33">
        <f>360/(-I.S!F15/AVERAGE('Working Capital Schedule'!E8:F8))</f>
        <v>18.083463591307662</v>
      </c>
      <c r="G9" s="85">
        <f>F9</f>
        <v>18.083463591307662</v>
      </c>
      <c r="H9" s="85">
        <v>18.083464460838396</v>
      </c>
      <c r="I9" s="85">
        <v>18.083464460838396</v>
      </c>
      <c r="J9" s="85">
        <v>18.083464460838396</v>
      </c>
      <c r="K9" s="85">
        <v>18.083464460838396</v>
      </c>
    </row>
    <row r="10" spans="1:11" x14ac:dyDescent="0.3">
      <c r="A10" t="s">
        <v>114</v>
      </c>
      <c r="B10" s="32"/>
      <c r="C10" s="53">
        <f>B.S!B8</f>
        <v>33785</v>
      </c>
      <c r="D10" s="53">
        <f>B.S!C8</f>
        <v>54151</v>
      </c>
      <c r="E10" s="53">
        <f>B.S!D8</f>
        <v>42202</v>
      </c>
      <c r="F10" s="53">
        <f>B.S!E8</f>
        <v>74637</v>
      </c>
      <c r="G10" s="86">
        <f ca="1">G11*-I.S!G29/360</f>
        <v>52585.933668285783</v>
      </c>
      <c r="H10" s="86">
        <f ca="1">H11*-I.S!H29/360</f>
        <v>57706.619277680002</v>
      </c>
      <c r="I10" s="86">
        <f ca="1">I11*-I.S!I29/360</f>
        <v>63438.904961388536</v>
      </c>
      <c r="J10" s="86">
        <f ca="1">J11*-I.S!J29/360</f>
        <v>68856.641596135101</v>
      </c>
      <c r="K10" s="86">
        <f ca="1">K11*-I.S!K29/360</f>
        <v>74420.173363148439</v>
      </c>
    </row>
    <row r="11" spans="1:11" x14ac:dyDescent="0.3">
      <c r="A11" s="31" t="s">
        <v>185</v>
      </c>
      <c r="B11" s="32"/>
      <c r="C11" s="33"/>
      <c r="D11" s="33">
        <f>360/(-I.S!D29/AVERAGE('Working Capital Schedule'!C10:D10))</f>
        <v>36.179879038341099</v>
      </c>
      <c r="E11" s="33">
        <f>360/(-I.S!E29/AVERAGE('Working Capital Schedule'!D10:E10))</f>
        <v>36.101463122201615</v>
      </c>
      <c r="F11" s="33">
        <f>360/(-I.S!F29/AVERAGE('Working Capital Schedule'!E10:F10))</f>
        <v>36.442781716071991</v>
      </c>
      <c r="G11" s="85">
        <f>AVERAGE(D11:F11)</f>
        <v>36.241374625538235</v>
      </c>
      <c r="H11" s="85">
        <v>36.241374625538235</v>
      </c>
      <c r="I11" s="85">
        <v>36.241374625538235</v>
      </c>
      <c r="J11" s="85">
        <v>36.241374625538235</v>
      </c>
      <c r="K11" s="85">
        <v>36.241374625538235</v>
      </c>
    </row>
    <row r="12" spans="1:11" x14ac:dyDescent="0.3">
      <c r="A12" s="29" t="s">
        <v>58</v>
      </c>
      <c r="B12" s="35"/>
      <c r="C12" s="36">
        <f>C10+C8+C6+C4</f>
        <v>2095442</v>
      </c>
      <c r="D12" s="36">
        <f t="shared" ref="D12:K12" si="1">D10+D8+D6+D4</f>
        <v>2335716</v>
      </c>
      <c r="E12" s="36">
        <f t="shared" si="1"/>
        <v>2108217</v>
      </c>
      <c r="F12" s="36">
        <f t="shared" si="1"/>
        <v>2595883</v>
      </c>
      <c r="G12" s="36">
        <f t="shared" ca="1" si="1"/>
        <v>2584158.3622125285</v>
      </c>
      <c r="H12" s="36">
        <f t="shared" ca="1" si="1"/>
        <v>2804462.710505777</v>
      </c>
      <c r="I12" s="36">
        <f t="shared" ca="1" si="1"/>
        <v>3051909.532217558</v>
      </c>
      <c r="J12" s="36">
        <f t="shared" ca="1" si="1"/>
        <v>3281462.5658965176</v>
      </c>
      <c r="K12" s="36">
        <f t="shared" ca="1" si="1"/>
        <v>3515121.1182888579</v>
      </c>
    </row>
    <row r="13" spans="1:11" x14ac:dyDescent="0.3">
      <c r="A13" s="37"/>
      <c r="B13" s="38"/>
      <c r="C13" s="38"/>
      <c r="D13" s="38"/>
      <c r="E13" s="38"/>
      <c r="F13" s="38"/>
      <c r="G13" s="38"/>
    </row>
    <row r="14" spans="1:11" x14ac:dyDescent="0.3">
      <c r="A14" s="29" t="s">
        <v>59</v>
      </c>
      <c r="B14" s="30"/>
      <c r="C14" s="53">
        <f>B.S!B24</f>
        <v>444265</v>
      </c>
      <c r="D14" s="53">
        <f>B.S!C24</f>
        <v>564379</v>
      </c>
      <c r="E14" s="53">
        <f>B.S!D24</f>
        <v>466775</v>
      </c>
      <c r="F14" s="53">
        <f>B.S!E24</f>
        <v>565974</v>
      </c>
      <c r="G14" s="30">
        <f>G15*-I.S!G4/360</f>
        <v>609657.41455693298</v>
      </c>
      <c r="H14" s="30">
        <f>H15*-I.S!H4/360</f>
        <v>661478.29479427228</v>
      </c>
      <c r="I14" s="30">
        <f>I15*-I.S!I4/360</f>
        <v>719688.38473616831</v>
      </c>
      <c r="J14" s="30">
        <f>J15*-I.S!J4/360</f>
        <v>773665.01359138079</v>
      </c>
      <c r="K14" s="30">
        <f>K15*-I.S!K4/360</f>
        <v>828595.2295563689</v>
      </c>
    </row>
    <row r="15" spans="1:11" x14ac:dyDescent="0.3">
      <c r="A15" s="31" t="s">
        <v>60</v>
      </c>
      <c r="B15" s="32"/>
      <c r="C15" s="33"/>
      <c r="D15" s="33">
        <f>360/(-I.S!D4/AVERAGE('Working Capital Schedule'!C14:D14))</f>
        <v>54.263488692311995</v>
      </c>
      <c r="E15" s="33">
        <f>360/(-I.S!E4/AVERAGE('Working Capital Schedule'!D14:E14))</f>
        <v>53.89571091032051</v>
      </c>
      <c r="F15" s="33">
        <f>360/(-I.S!F4/AVERAGE('Working Capital Schedule'!E14:F14))</f>
        <v>50.761143460067693</v>
      </c>
      <c r="G15" s="85">
        <f>F15</f>
        <v>50.761143460067693</v>
      </c>
      <c r="H15" s="85">
        <v>50.761143460067693</v>
      </c>
      <c r="I15" s="85">
        <v>50.761143460067693</v>
      </c>
      <c r="J15" s="85">
        <v>50.761143460067693</v>
      </c>
      <c r="K15" s="85">
        <v>50.761143460067693</v>
      </c>
    </row>
    <row r="16" spans="1:11" x14ac:dyDescent="0.3">
      <c r="A16" s="29" t="s">
        <v>187</v>
      </c>
      <c r="B16" s="32"/>
      <c r="C16" s="53">
        <f>B.S!B25</f>
        <v>172991</v>
      </c>
      <c r="D16" s="53">
        <f>B.S!C25</f>
        <v>183988</v>
      </c>
      <c r="E16" s="53">
        <f>B.S!D25</f>
        <v>220764</v>
      </c>
      <c r="F16" s="53">
        <f>B.S!E25</f>
        <v>306085</v>
      </c>
      <c r="G16" s="86">
        <f>G17*-I.S!$G$15/360</f>
        <v>259122.6083835247</v>
      </c>
      <c r="H16" s="86">
        <f>H17*-I.S!$H$15/360</f>
        <v>281148.0450215012</v>
      </c>
      <c r="I16" s="86">
        <f>I17*-I.S!$I$15/360</f>
        <v>305889.07298339333</v>
      </c>
      <c r="J16" s="86">
        <f>J17*-I.S!$J$15/360</f>
        <v>328830.75345714786</v>
      </c>
      <c r="K16" s="86">
        <f>K17*-I.S!$K$15/360</f>
        <v>352177.73695260531</v>
      </c>
    </row>
    <row r="17" spans="1:11" x14ac:dyDescent="0.3">
      <c r="A17" s="31" t="s">
        <v>188</v>
      </c>
      <c r="B17" s="32"/>
      <c r="C17" s="33"/>
      <c r="D17" s="33">
        <f>360/(-I.S!$D$15/AVERAGE('Working Capital Schedule'!C16:D16))</f>
        <v>36.262936996635915</v>
      </c>
      <c r="E17" s="33">
        <f>360/(-I.S!$E$15/AVERAGE('Working Capital Schedule'!D16:E16))</f>
        <v>35.745828324706231</v>
      </c>
      <c r="F17" s="33">
        <f>360/(-I.S!$F$15/AVERAGE('Working Capital Schedule'!E16:F16))</f>
        <v>45.192918414029741</v>
      </c>
      <c r="G17" s="85">
        <f>AVERAGE(D17:F17)</f>
        <v>39.067227911790631</v>
      </c>
      <c r="H17" s="85">
        <v>39.067229985762481</v>
      </c>
      <c r="I17" s="85">
        <v>39.067229985762481</v>
      </c>
      <c r="J17" s="85">
        <v>39.067229985762481</v>
      </c>
      <c r="K17" s="85">
        <v>39.067229985762481</v>
      </c>
    </row>
    <row r="18" spans="1:11" x14ac:dyDescent="0.3">
      <c r="A18" s="29" t="s">
        <v>189</v>
      </c>
      <c r="B18" s="32"/>
      <c r="C18" s="53">
        <f>B.S!B26</f>
        <v>255631</v>
      </c>
      <c r="D18" s="53">
        <f>B.S!C26</f>
        <v>269061</v>
      </c>
      <c r="E18" s="53">
        <f>B.S!D26</f>
        <v>267711</v>
      </c>
      <c r="F18" s="53">
        <f>B.S!E26</f>
        <v>384070</v>
      </c>
      <c r="G18" s="86">
        <f>G19*-I.S!$G$15/360</f>
        <v>346260.79715007939</v>
      </c>
      <c r="H18" s="86">
        <f>H19*-I.S!$H$15/360</f>
        <v>375692.98498048738</v>
      </c>
      <c r="I18" s="86">
        <f>I19*-I.S!$I$15/360</f>
        <v>408753.96765877033</v>
      </c>
      <c r="J18" s="86">
        <f>J19*-I.S!$J$15/360</f>
        <v>439410.5152331781</v>
      </c>
      <c r="K18" s="86">
        <f>K19*-I.S!$K$15/360</f>
        <v>470608.66181473376</v>
      </c>
    </row>
    <row r="19" spans="1:11" x14ac:dyDescent="0.3">
      <c r="A19" s="31" t="s">
        <v>190</v>
      </c>
      <c r="B19" s="32"/>
      <c r="C19" s="33"/>
      <c r="D19" s="33">
        <f>360/(-I.S!$D$15/AVERAGE('Working Capital Schedule'!C18:D18))</f>
        <v>53.299698129690796</v>
      </c>
      <c r="E19" s="33">
        <f>360/(-I.S!$E$15/AVERAGE('Working Capital Schedule'!D18:E18))</f>
        <v>47.405225326889578</v>
      </c>
      <c r="F19" s="33">
        <f>360/(-I.S!$F$15/AVERAGE('Working Capital Schedule'!E18:F18))</f>
        <v>55.909540602363705</v>
      </c>
      <c r="G19" s="85">
        <f>AVERAGE(D19:F19)</f>
        <v>52.204821352981355</v>
      </c>
      <c r="H19" s="85">
        <v>52.204824142198269</v>
      </c>
      <c r="I19" s="85">
        <v>52.204824142198269</v>
      </c>
      <c r="J19" s="85">
        <v>52.204824142198269</v>
      </c>
      <c r="K19" s="85">
        <v>52.204824142198269</v>
      </c>
    </row>
    <row r="20" spans="1:11" x14ac:dyDescent="0.3">
      <c r="A20" s="29" t="s">
        <v>191</v>
      </c>
      <c r="B20" s="32"/>
      <c r="C20" s="53">
        <f>B.S!B27</f>
        <v>43311</v>
      </c>
      <c r="D20" s="53">
        <f>B.S!C27</f>
        <v>41914</v>
      </c>
      <c r="E20" s="53">
        <f>B.S!D27</f>
        <v>45809</v>
      </c>
      <c r="F20" s="53">
        <f>B.S!E27</f>
        <v>45323</v>
      </c>
      <c r="G20" s="86">
        <f>G21*-I.S!$G$15/360</f>
        <v>53552.616165228705</v>
      </c>
      <c r="H20" s="86">
        <f>H21*-I.S!$H$15/360</f>
        <v>58104.591659852522</v>
      </c>
      <c r="I20" s="86">
        <f>I21*-I.S!$I$15/360</f>
        <v>63217.795725919546</v>
      </c>
      <c r="J20" s="86">
        <f>J21*-I.S!$J$15/360</f>
        <v>67959.13040536351</v>
      </c>
      <c r="K20" s="86">
        <f>K21*-I.S!$K$15/360</f>
        <v>72784.228664144321</v>
      </c>
    </row>
    <row r="21" spans="1:11" x14ac:dyDescent="0.3">
      <c r="A21" s="31" t="s">
        <v>192</v>
      </c>
      <c r="B21" s="32"/>
      <c r="C21" s="33"/>
      <c r="D21" s="33">
        <f>360/(-I.S!$D$15/AVERAGE('Working Capital Schedule'!C20:D20))</f>
        <v>8.6573966690990112</v>
      </c>
      <c r="E21" s="33">
        <f>360/(-I.S!$E$15/AVERAGE('Working Capital Schedule'!D20:E20))</f>
        <v>7.7472904349532667</v>
      </c>
      <c r="F21" s="33">
        <f>360/(-I.S!$F$15/AVERAGE('Working Capital Schedule'!E20:F20))</f>
        <v>7.8172703011818525</v>
      </c>
      <c r="G21" s="85">
        <f>AVERAGE(D21:F21)</f>
        <v>8.0739858017447101</v>
      </c>
      <c r="H21" s="85">
        <v>8.0739862353681833</v>
      </c>
      <c r="I21" s="85">
        <v>8.0739862353681833</v>
      </c>
      <c r="J21" s="85">
        <v>8.0739862353681833</v>
      </c>
      <c r="K21" s="85">
        <v>8.0739862353681833</v>
      </c>
    </row>
    <row r="22" spans="1:11" x14ac:dyDescent="0.3">
      <c r="A22" s="29" t="s">
        <v>193</v>
      </c>
      <c r="B22" s="32"/>
      <c r="C22" s="53">
        <f>B.S!B28</f>
        <v>72463</v>
      </c>
      <c r="D22" s="53">
        <f>B.S!C28</f>
        <v>87392</v>
      </c>
      <c r="E22" s="53">
        <f>B.S!D28</f>
        <v>92454</v>
      </c>
      <c r="F22" s="53">
        <f>B.S!E28</f>
        <v>114023</v>
      </c>
      <c r="G22" s="86">
        <f ca="1">G23*-I.S!G29/360</f>
        <v>95550.597550986146</v>
      </c>
      <c r="H22" s="86">
        <f ca="1">H23*-I.S!H29/360</f>
        <v>104855.07378097535</v>
      </c>
      <c r="I22" s="86">
        <f ca="1">I23*-I.S!I29/360</f>
        <v>115270.85009610887</v>
      </c>
      <c r="J22" s="86">
        <f ca="1">J23*-I.S!J29/360</f>
        <v>125115.07908877775</v>
      </c>
      <c r="K22" s="86">
        <f ca="1">K23*-I.S!K29/360</f>
        <v>135224.2232600188</v>
      </c>
    </row>
    <row r="23" spans="1:11" x14ac:dyDescent="0.3">
      <c r="A23" s="31" t="s">
        <v>194</v>
      </c>
      <c r="B23" s="32"/>
      <c r="C23" s="33"/>
      <c r="D23" s="33">
        <f>360/(-I.S!D29/AVERAGE('Working Capital Schedule'!C22:D22))</f>
        <v>65.769816271766018</v>
      </c>
      <c r="E23" s="33">
        <f>360/(-I.S!E29/AVERAGE('Working Capital Schedule'!D22:E22))</f>
        <v>67.38455197736937</v>
      </c>
      <c r="F23" s="33">
        <f>360/(-I.S!F29/AVERAGE('Working Capital Schedule'!E22:F22))</f>
        <v>64.401409121863395</v>
      </c>
      <c r="G23" s="85">
        <f>AVERAGE(D23:F23)</f>
        <v>65.851925790332928</v>
      </c>
      <c r="H23" s="85">
        <v>65.851925790332928</v>
      </c>
      <c r="I23" s="85">
        <v>65.851925790332928</v>
      </c>
      <c r="J23" s="85">
        <v>65.851925790332928</v>
      </c>
      <c r="K23" s="85">
        <v>65.851925790332928</v>
      </c>
    </row>
    <row r="24" spans="1:11" x14ac:dyDescent="0.3">
      <c r="A24" s="29" t="s">
        <v>195</v>
      </c>
      <c r="B24" s="32"/>
      <c r="C24" s="53">
        <f>B.S!B29</f>
        <v>13317</v>
      </c>
      <c r="D24" s="53">
        <f>B.S!C29</f>
        <v>14955</v>
      </c>
      <c r="E24" s="53">
        <f>B.S!D29</f>
        <v>4006</v>
      </c>
      <c r="F24" s="53">
        <f>B.S!E29</f>
        <v>32305</v>
      </c>
      <c r="G24" s="86">
        <f>G25*I.S!G2/360</f>
        <v>16781.676898859223</v>
      </c>
      <c r="H24" s="86">
        <f>H25*I.S!H2/360</f>
        <v>18208.119435262262</v>
      </c>
      <c r="I24" s="86">
        <f>I25*I.S!I2/360</f>
        <v>19810.433945565339</v>
      </c>
      <c r="J24" s="86">
        <f>J25*I.S!J2/360</f>
        <v>21296.216491482737</v>
      </c>
      <c r="K24" s="86">
        <f>K25*I.S!K2/360</f>
        <v>22808.247862378015</v>
      </c>
    </row>
    <row r="25" spans="1:11" x14ac:dyDescent="0.3">
      <c r="A25" s="31" t="s">
        <v>196</v>
      </c>
      <c r="B25" s="32"/>
      <c r="C25" s="33"/>
      <c r="D25" s="33">
        <f>360/(I.S!D2/AVERAGE('Working Capital Schedule'!C24:D24))</f>
        <v>0.7127368005751239</v>
      </c>
      <c r="E25" s="33">
        <f>360/(I.S!E2/AVERAGE('Working Capital Schedule'!D24:E24))</f>
        <v>0.45550681335682464</v>
      </c>
      <c r="F25" s="33">
        <f>360/(I.S!F2/AVERAGE('Working Capital Schedule'!E24:F24))</f>
        <v>0.78800454719560065</v>
      </c>
      <c r="G25" s="85">
        <f>AVERAGE(D25:F25)</f>
        <v>0.65208272037584969</v>
      </c>
      <c r="H25" s="85">
        <v>0.65208272037584969</v>
      </c>
      <c r="I25" s="85">
        <v>0.65208272037584969</v>
      </c>
      <c r="J25" s="85">
        <v>0.65208272037584969</v>
      </c>
      <c r="K25" s="85">
        <v>0.65208272037584969</v>
      </c>
    </row>
    <row r="26" spans="1:11" x14ac:dyDescent="0.3">
      <c r="A26" s="29" t="s">
        <v>61</v>
      </c>
      <c r="B26" s="35"/>
      <c r="C26" s="36">
        <f>C24+C22+C20+C18+C16+C14</f>
        <v>1001978</v>
      </c>
      <c r="D26" s="36">
        <f t="shared" ref="D26:K26" si="2">D24+D22+D20+D18+D16+D14</f>
        <v>1161689</v>
      </c>
      <c r="E26" s="36">
        <f t="shared" si="2"/>
        <v>1097519</v>
      </c>
      <c r="F26" s="36">
        <f t="shared" si="2"/>
        <v>1447780</v>
      </c>
      <c r="G26" s="36">
        <f t="shared" ca="1" si="2"/>
        <v>1380925.7107056112</v>
      </c>
      <c r="H26" s="36">
        <f t="shared" ca="1" si="2"/>
        <v>1499487.1096723508</v>
      </c>
      <c r="I26" s="36">
        <f t="shared" ca="1" si="2"/>
        <v>1632630.5051459258</v>
      </c>
      <c r="J26" s="36">
        <f t="shared" ca="1" si="2"/>
        <v>1756276.7082673307</v>
      </c>
      <c r="K26" s="36">
        <f t="shared" ca="1" si="2"/>
        <v>1882198.328110249</v>
      </c>
    </row>
    <row r="27" spans="1:11" x14ac:dyDescent="0.3">
      <c r="B27" s="32"/>
      <c r="C27" s="33"/>
      <c r="D27" s="33"/>
      <c r="E27" s="33"/>
      <c r="F27" s="33"/>
      <c r="G27" s="33"/>
    </row>
    <row r="28" spans="1:11" x14ac:dyDescent="0.3">
      <c r="A28" s="39" t="s">
        <v>62</v>
      </c>
      <c r="B28" s="40"/>
      <c r="C28" s="41">
        <f>C12-C26</f>
        <v>1093464</v>
      </c>
      <c r="D28" s="41">
        <f t="shared" ref="D28:K28" si="3">D12-D26</f>
        <v>1174027</v>
      </c>
      <c r="E28" s="41">
        <f t="shared" si="3"/>
        <v>1010698</v>
      </c>
      <c r="F28" s="41">
        <f t="shared" si="3"/>
        <v>1148103</v>
      </c>
      <c r="G28" s="41">
        <f t="shared" ca="1" si="3"/>
        <v>1203232.6515069173</v>
      </c>
      <c r="H28" s="41">
        <f t="shared" ca="1" si="3"/>
        <v>1304975.6008334262</v>
      </c>
      <c r="I28" s="41">
        <f t="shared" ca="1" si="3"/>
        <v>1419279.0270716322</v>
      </c>
      <c r="J28" s="41">
        <f t="shared" ca="1" si="3"/>
        <v>1525185.8576291869</v>
      </c>
      <c r="K28" s="84">
        <f t="shared" ca="1" si="3"/>
        <v>1632922.7901786088</v>
      </c>
    </row>
    <row r="29" spans="1:11" ht="15" thickBot="1" x14ac:dyDescent="0.35">
      <c r="A29" s="39" t="s">
        <v>11</v>
      </c>
      <c r="B29" s="42"/>
      <c r="C29" s="42"/>
      <c r="D29" s="42"/>
      <c r="E29" s="42"/>
      <c r="F29" s="42"/>
      <c r="G29" s="42">
        <f ca="1">(G28-F28)*-1</f>
        <v>-55129.651506917318</v>
      </c>
      <c r="H29" s="42">
        <f ca="1">(H28-G28)*-1</f>
        <v>-101742.94932650891</v>
      </c>
      <c r="I29" s="42">
        <f ca="1">(I28-H28)*-1</f>
        <v>-114303.42623820598</v>
      </c>
      <c r="J29" s="42">
        <f ca="1">(J28-I28)*-1</f>
        <v>-105906.83055755473</v>
      </c>
      <c r="K29" s="42">
        <f ca="1">(K28-J28)*-1</f>
        <v>-107736.93254942191</v>
      </c>
    </row>
    <row r="30" spans="1:11" ht="15" thickTop="1" x14ac:dyDescent="0.3">
      <c r="A30" s="37"/>
      <c r="B30" s="30"/>
      <c r="C30" s="30"/>
      <c r="D30" s="30"/>
      <c r="E30" s="30"/>
      <c r="F30" s="30"/>
      <c r="G30" s="30"/>
    </row>
    <row r="31" spans="1:11" x14ac:dyDescent="0.3">
      <c r="A31" s="43" t="s">
        <v>63</v>
      </c>
      <c r="B31" s="44"/>
      <c r="C31" s="45"/>
      <c r="D31" s="45"/>
      <c r="E31" s="45"/>
      <c r="F31" s="45"/>
      <c r="G31" s="45"/>
      <c r="H31" s="43"/>
      <c r="I31" s="29"/>
    </row>
    <row r="32" spans="1:11" x14ac:dyDescent="0.3">
      <c r="I32" s="6"/>
      <c r="J32" s="6"/>
      <c r="K32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0C8E-B874-4B14-92B0-C598227DF3CD}">
  <sheetPr>
    <tabColor theme="4" tint="-0.249977111117893"/>
  </sheetPr>
  <dimension ref="A1:Q40"/>
  <sheetViews>
    <sheetView zoomScale="60" zoomScaleNormal="60" workbookViewId="0">
      <selection activeCell="G32" sqref="G32"/>
    </sheetView>
  </sheetViews>
  <sheetFormatPr defaultRowHeight="14.4" x14ac:dyDescent="0.3"/>
  <cols>
    <col min="1" max="1" width="32.44140625" customWidth="1"/>
    <col min="4" max="13" width="15.77734375" customWidth="1"/>
  </cols>
  <sheetData>
    <row r="1" spans="1:15" ht="23.4" x14ac:dyDescent="0.45">
      <c r="A1" s="27" t="s">
        <v>199</v>
      </c>
    </row>
    <row r="2" spans="1:15" x14ac:dyDescent="0.3">
      <c r="A2" s="2"/>
      <c r="B2" s="2"/>
      <c r="C2" s="2"/>
      <c r="D2" s="2" t="s">
        <v>64</v>
      </c>
      <c r="E2" s="2"/>
      <c r="F2" s="2"/>
      <c r="G2" s="2" t="s">
        <v>65</v>
      </c>
      <c r="H2" s="2"/>
      <c r="I2" s="2"/>
      <c r="J2" s="2"/>
      <c r="K2" s="2"/>
      <c r="L2" s="2"/>
      <c r="M2" s="2"/>
    </row>
    <row r="3" spans="1:15" x14ac:dyDescent="0.3">
      <c r="A3" s="2" t="s">
        <v>66</v>
      </c>
      <c r="B3" s="2"/>
      <c r="C3" s="2"/>
      <c r="D3" s="2">
        <v>2021</v>
      </c>
      <c r="E3" s="2">
        <v>2022</v>
      </c>
      <c r="F3" s="2">
        <v>2023</v>
      </c>
      <c r="G3" s="2">
        <f>F3+1</f>
        <v>2024</v>
      </c>
      <c r="H3" s="2">
        <f t="shared" ref="H3:M3" si="0">G3+1</f>
        <v>2025</v>
      </c>
      <c r="I3" s="3">
        <f t="shared" si="0"/>
        <v>2026</v>
      </c>
      <c r="J3" s="3">
        <f t="shared" si="0"/>
        <v>2027</v>
      </c>
      <c r="K3" s="3">
        <f t="shared" si="0"/>
        <v>2028</v>
      </c>
      <c r="L3" s="3">
        <f t="shared" si="0"/>
        <v>2029</v>
      </c>
      <c r="M3" s="3">
        <f t="shared" si="0"/>
        <v>2030</v>
      </c>
    </row>
    <row r="4" spans="1:15" x14ac:dyDescent="0.3">
      <c r="A4" s="4" t="s">
        <v>67</v>
      </c>
      <c r="I4" s="52">
        <f>B.S!E13</f>
        <v>1081544</v>
      </c>
      <c r="J4" s="52"/>
      <c r="K4" s="52"/>
      <c r="L4" s="52"/>
      <c r="M4" s="52"/>
    </row>
    <row r="5" spans="1:15" x14ac:dyDescent="0.3">
      <c r="A5" s="4" t="s">
        <v>20</v>
      </c>
      <c r="I5" s="52">
        <f>('C.S'!G34)*-1</f>
        <v>147751.17499999999</v>
      </c>
      <c r="J5" s="52">
        <f>('C.S'!H34)*-1</f>
        <v>160310.02487499997</v>
      </c>
      <c r="K5" s="52">
        <f>('C.S'!I34)*-1</f>
        <v>174417.30706399999</v>
      </c>
      <c r="L5" s="52">
        <f>('C.S'!J34)*-1</f>
        <v>187498.6050938</v>
      </c>
      <c r="M5" s="52">
        <f>('C.S'!K34)*-1</f>
        <v>200811.00605545979</v>
      </c>
    </row>
    <row r="6" spans="1:15" x14ac:dyDescent="0.3">
      <c r="A6" s="88" t="s">
        <v>178</v>
      </c>
      <c r="I6" s="52"/>
      <c r="J6" s="89">
        <f>J5/I5-1</f>
        <v>8.4999999999999964E-2</v>
      </c>
      <c r="K6" s="89">
        <f t="shared" ref="K6:M6" si="1">K5/J5-1</f>
        <v>8.8000000000000078E-2</v>
      </c>
      <c r="L6" s="89">
        <f t="shared" si="1"/>
        <v>7.4999999999999956E-2</v>
      </c>
      <c r="M6" s="89">
        <f t="shared" si="1"/>
        <v>7.0999999999999952E-2</v>
      </c>
    </row>
    <row r="8" spans="1:15" x14ac:dyDescent="0.3">
      <c r="A8" s="4" t="s">
        <v>68</v>
      </c>
    </row>
    <row r="9" spans="1:15" x14ac:dyDescent="0.3">
      <c r="A9" s="4" t="s">
        <v>69</v>
      </c>
    </row>
    <row r="10" spans="1:15" x14ac:dyDescent="0.3">
      <c r="A10" s="46" t="s">
        <v>4</v>
      </c>
      <c r="I10">
        <v>9.5</v>
      </c>
    </row>
    <row r="11" spans="1:15" x14ac:dyDescent="0.3">
      <c r="A11" s="46" t="s">
        <v>70</v>
      </c>
      <c r="I11">
        <v>14</v>
      </c>
      <c r="J11">
        <v>14</v>
      </c>
      <c r="K11">
        <v>14</v>
      </c>
      <c r="L11">
        <v>14</v>
      </c>
      <c r="M11">
        <v>14</v>
      </c>
    </row>
    <row r="12" spans="1:15" x14ac:dyDescent="0.3">
      <c r="A12" s="7" t="s">
        <v>71</v>
      </c>
    </row>
    <row r="13" spans="1:15" x14ac:dyDescent="0.3">
      <c r="A13" t="s">
        <v>72</v>
      </c>
      <c r="I13" s="52">
        <f>$I$4/$I$10</f>
        <v>113846.73684210527</v>
      </c>
      <c r="J13" s="52">
        <f t="shared" ref="J13:M13" si="2">$I$4/$I$10</f>
        <v>113846.73684210527</v>
      </c>
      <c r="K13" s="52">
        <f t="shared" si="2"/>
        <v>113846.73684210527</v>
      </c>
      <c r="L13" s="52">
        <f t="shared" si="2"/>
        <v>113846.73684210527</v>
      </c>
      <c r="M13" s="52">
        <f t="shared" si="2"/>
        <v>113846.73684210527</v>
      </c>
      <c r="O13" s="51"/>
    </row>
    <row r="14" spans="1:15" x14ac:dyDescent="0.3">
      <c r="A14" t="s">
        <v>73</v>
      </c>
      <c r="I14" s="52">
        <f>$I$5/$I$11</f>
        <v>10553.655357142856</v>
      </c>
      <c r="J14" s="52">
        <f t="shared" ref="J14:M14" si="3">$I$5/$I$11</f>
        <v>10553.655357142856</v>
      </c>
      <c r="K14" s="52">
        <f t="shared" si="3"/>
        <v>10553.655357142856</v>
      </c>
      <c r="L14" s="52">
        <f t="shared" si="3"/>
        <v>10553.655357142856</v>
      </c>
      <c r="M14" s="52">
        <f t="shared" si="3"/>
        <v>10553.655357142856</v>
      </c>
    </row>
    <row r="15" spans="1:15" x14ac:dyDescent="0.3">
      <c r="A15" t="s">
        <v>74</v>
      </c>
      <c r="J15" s="52">
        <f>$J$5/$J$11</f>
        <v>11450.716062499998</v>
      </c>
      <c r="K15" s="52">
        <f t="shared" ref="K15:M15" si="4">$J$5/$J$11</f>
        <v>11450.716062499998</v>
      </c>
      <c r="L15" s="52">
        <f t="shared" si="4"/>
        <v>11450.716062499998</v>
      </c>
      <c r="M15" s="52">
        <f t="shared" si="4"/>
        <v>11450.716062499998</v>
      </c>
    </row>
    <row r="16" spans="1:15" x14ac:dyDescent="0.3">
      <c r="A16" t="s">
        <v>75</v>
      </c>
      <c r="J16" s="52"/>
      <c r="K16" s="52">
        <f>$K$5/$K$11</f>
        <v>12458.379075999999</v>
      </c>
      <c r="L16" s="52">
        <f t="shared" ref="L16:M16" si="5">$K$5/$K$11</f>
        <v>12458.379075999999</v>
      </c>
      <c r="M16" s="52">
        <f t="shared" si="5"/>
        <v>12458.379075999999</v>
      </c>
    </row>
    <row r="17" spans="1:17" x14ac:dyDescent="0.3">
      <c r="A17" t="s">
        <v>197</v>
      </c>
      <c r="J17" s="52"/>
      <c r="K17" s="52"/>
      <c r="L17" s="52">
        <f>$L$5/$L$11</f>
        <v>13392.7575067</v>
      </c>
      <c r="M17" s="52">
        <f t="shared" ref="M17" si="6">$L$5/$L$11</f>
        <v>13392.7575067</v>
      </c>
    </row>
    <row r="18" spans="1:17" x14ac:dyDescent="0.3">
      <c r="A18" t="s">
        <v>198</v>
      </c>
      <c r="J18" s="52"/>
      <c r="K18" s="52"/>
      <c r="L18" s="52"/>
      <c r="M18" s="52">
        <f>$M$5/$M$11</f>
        <v>14343.6432896757</v>
      </c>
    </row>
    <row r="19" spans="1:17" x14ac:dyDescent="0.3">
      <c r="A19" t="s">
        <v>76</v>
      </c>
      <c r="D19" s="51">
        <f>'C.S'!B4</f>
        <v>50155</v>
      </c>
      <c r="E19" s="51">
        <f>'C.S'!C4</f>
        <v>61241</v>
      </c>
      <c r="F19" s="51">
        <f>'C.S'!D4</f>
        <v>68898</v>
      </c>
      <c r="G19" s="51">
        <f>'C.S'!E4</f>
        <v>80434</v>
      </c>
      <c r="H19" s="51">
        <f>'C.S'!F4</f>
        <v>114441</v>
      </c>
      <c r="I19" s="127">
        <f>SUM(I13:I18)</f>
        <v>124400.39219924812</v>
      </c>
      <c r="J19" s="127">
        <f t="shared" ref="J19:M19" si="7">SUM(J13:J18)</f>
        <v>135851.10826174813</v>
      </c>
      <c r="K19" s="127">
        <f t="shared" si="7"/>
        <v>148309.48733774814</v>
      </c>
      <c r="L19" s="127">
        <f t="shared" si="7"/>
        <v>161702.24484444814</v>
      </c>
      <c r="M19" s="127">
        <f t="shared" si="7"/>
        <v>176045.88813412384</v>
      </c>
    </row>
    <row r="20" spans="1:17" x14ac:dyDescent="0.3">
      <c r="E20" s="89">
        <f>E19/D19-1</f>
        <v>0.22103479214435251</v>
      </c>
      <c r="F20" s="89">
        <f t="shared" ref="F20:I20" si="8">F19/E19-1</f>
        <v>0.12503061674368476</v>
      </c>
      <c r="G20" s="89">
        <f t="shared" si="8"/>
        <v>0.16743591976545047</v>
      </c>
      <c r="H20" s="89">
        <f t="shared" si="8"/>
        <v>0.4227938433995575</v>
      </c>
      <c r="I20" s="89">
        <f t="shared" si="8"/>
        <v>8.702643457544168E-2</v>
      </c>
      <c r="J20" s="89">
        <f>J19/I19-1</f>
        <v>9.2047266572598652E-2</v>
      </c>
      <c r="K20" s="89">
        <f t="shared" ref="K20:M20" si="9">K19/J19-1</f>
        <v>9.1706127652606995E-2</v>
      </c>
      <c r="L20" s="89">
        <f t="shared" si="9"/>
        <v>9.0302769884170742E-2</v>
      </c>
      <c r="M20" s="89">
        <f t="shared" si="9"/>
        <v>8.8704045534270692E-2</v>
      </c>
    </row>
    <row r="21" spans="1:17" x14ac:dyDescent="0.3">
      <c r="F21" s="47"/>
      <c r="G21" s="47"/>
      <c r="H21" s="47"/>
      <c r="I21" s="47"/>
      <c r="J21" s="47"/>
      <c r="K21" s="47"/>
    </row>
    <row r="22" spans="1:17" x14ac:dyDescent="0.3">
      <c r="A22" s="4" t="s">
        <v>77</v>
      </c>
    </row>
    <row r="23" spans="1:17" x14ac:dyDescent="0.3">
      <c r="A23" t="s">
        <v>72</v>
      </c>
      <c r="I23" s="113">
        <v>0.13819999999999999</v>
      </c>
      <c r="J23" s="113">
        <v>0.1361</v>
      </c>
      <c r="K23" s="113">
        <v>0.11459999999999999</v>
      </c>
      <c r="L23" s="113">
        <v>9.6500000000000002E-2</v>
      </c>
      <c r="M23" s="113">
        <v>9.1499999999999998E-2</v>
      </c>
    </row>
    <row r="24" spans="1:17" x14ac:dyDescent="0.3">
      <c r="A24" t="s">
        <v>73</v>
      </c>
      <c r="I24" s="113">
        <v>9.3799999999999994E-2</v>
      </c>
      <c r="J24" s="113">
        <v>9.7100000000000006E-2</v>
      </c>
      <c r="K24" s="113">
        <v>8.6699999999999999E-2</v>
      </c>
      <c r="L24" s="113">
        <v>7.7399999999999997E-2</v>
      </c>
      <c r="M24" s="113">
        <v>6.9099999999999995E-2</v>
      </c>
    </row>
    <row r="25" spans="1:17" x14ac:dyDescent="0.3">
      <c r="A25" t="s">
        <v>74</v>
      </c>
      <c r="J25" s="113">
        <v>9.3799999999999994E-2</v>
      </c>
      <c r="K25" s="113">
        <v>9.7100000000000006E-2</v>
      </c>
      <c r="L25" s="113">
        <v>8.6699999999999999E-2</v>
      </c>
      <c r="M25" s="113">
        <v>7.7399999999999997E-2</v>
      </c>
      <c r="N25" s="113"/>
    </row>
    <row r="26" spans="1:17" x14ac:dyDescent="0.3">
      <c r="A26" t="s">
        <v>75</v>
      </c>
      <c r="K26" s="113">
        <v>9.3799999999999994E-2</v>
      </c>
      <c r="L26" s="113">
        <v>9.7100000000000006E-2</v>
      </c>
      <c r="M26" s="113">
        <v>8.6699999999999999E-2</v>
      </c>
      <c r="N26" s="113"/>
      <c r="O26" s="113"/>
    </row>
    <row r="27" spans="1:17" x14ac:dyDescent="0.3">
      <c r="A27" t="s">
        <v>197</v>
      </c>
      <c r="L27" s="113">
        <v>9.3799999999999994E-2</v>
      </c>
      <c r="M27" s="113">
        <v>9.7100000000000006E-2</v>
      </c>
      <c r="N27" s="113"/>
      <c r="O27" s="113"/>
      <c r="P27" s="113"/>
    </row>
    <row r="28" spans="1:17" x14ac:dyDescent="0.3">
      <c r="A28" t="s">
        <v>198</v>
      </c>
      <c r="M28" s="113">
        <v>9.3799999999999994E-2</v>
      </c>
      <c r="N28" s="113"/>
      <c r="O28" s="113"/>
      <c r="P28" s="113"/>
      <c r="Q28" s="113"/>
    </row>
    <row r="30" spans="1:17" x14ac:dyDescent="0.3">
      <c r="A30" s="4" t="s">
        <v>77</v>
      </c>
    </row>
    <row r="31" spans="1:17" x14ac:dyDescent="0.3">
      <c r="A31" t="s">
        <v>72</v>
      </c>
      <c r="I31" s="80">
        <f>$I$4*I23</f>
        <v>149469.38079999998</v>
      </c>
      <c r="J31" s="80">
        <f t="shared" ref="J31:M31" si="10">$I$4*J23</f>
        <v>147198.1384</v>
      </c>
      <c r="K31" s="80">
        <f t="shared" si="10"/>
        <v>123944.9424</v>
      </c>
      <c r="L31" s="80">
        <f t="shared" si="10"/>
        <v>104368.996</v>
      </c>
      <c r="M31" s="80">
        <f t="shared" si="10"/>
        <v>98961.275999999998</v>
      </c>
    </row>
    <row r="32" spans="1:17" x14ac:dyDescent="0.3">
      <c r="A32" t="s">
        <v>73</v>
      </c>
      <c r="I32" s="80">
        <f>$I$5*I24</f>
        <v>13859.060214999998</v>
      </c>
      <c r="J32" s="80">
        <f t="shared" ref="J32:M32" si="11">$I$5*J24</f>
        <v>14346.6390925</v>
      </c>
      <c r="K32" s="80">
        <f t="shared" si="11"/>
        <v>12810.026872499999</v>
      </c>
      <c r="L32" s="80">
        <f t="shared" si="11"/>
        <v>11435.940944999998</v>
      </c>
      <c r="M32" s="80">
        <f t="shared" si="11"/>
        <v>10209.606192499998</v>
      </c>
    </row>
    <row r="33" spans="1:13" x14ac:dyDescent="0.3">
      <c r="A33" t="s">
        <v>74</v>
      </c>
      <c r="I33" s="80"/>
      <c r="J33" s="80">
        <f>$J$5*J25</f>
        <v>15037.080333274997</v>
      </c>
      <c r="K33" s="80">
        <f t="shared" ref="K33:M33" si="12">$J$5*K25</f>
        <v>15566.103415362499</v>
      </c>
      <c r="L33" s="80">
        <f t="shared" si="12"/>
        <v>13898.879156662497</v>
      </c>
      <c r="M33" s="80">
        <f t="shared" si="12"/>
        <v>12407.995925324998</v>
      </c>
    </row>
    <row r="34" spans="1:13" x14ac:dyDescent="0.3">
      <c r="A34" t="s">
        <v>75</v>
      </c>
      <c r="I34" s="80"/>
      <c r="J34" s="80"/>
      <c r="K34" s="80">
        <f>$K$5*K26</f>
        <v>16360.343402603199</v>
      </c>
      <c r="L34" s="80">
        <f t="shared" ref="L34:M34" si="13">$K$5*L26</f>
        <v>16935.9205159144</v>
      </c>
      <c r="M34" s="80">
        <f t="shared" si="13"/>
        <v>15121.980522448799</v>
      </c>
    </row>
    <row r="35" spans="1:13" x14ac:dyDescent="0.3">
      <c r="A35" t="s">
        <v>197</v>
      </c>
      <c r="I35" s="80"/>
      <c r="J35" s="80"/>
      <c r="K35" s="80"/>
      <c r="L35" s="80">
        <f>$L$5*L27</f>
        <v>17587.369157798439</v>
      </c>
      <c r="M35" s="80">
        <f t="shared" ref="M35" si="14">$L$5*M27</f>
        <v>18206.114554607982</v>
      </c>
    </row>
    <row r="36" spans="1:13" x14ac:dyDescent="0.3">
      <c r="A36" t="s">
        <v>198</v>
      </c>
      <c r="I36" s="80"/>
      <c r="J36" s="80"/>
      <c r="K36" s="80"/>
      <c r="L36" s="80"/>
      <c r="M36" s="80">
        <f>$M$5*M28</f>
        <v>18836.072368002126</v>
      </c>
    </row>
    <row r="37" spans="1:13" x14ac:dyDescent="0.3">
      <c r="A37" t="s">
        <v>78</v>
      </c>
      <c r="I37" s="126">
        <f>SUM(I31:I36)</f>
        <v>163328.44101499999</v>
      </c>
      <c r="J37" s="126">
        <f t="shared" ref="J37:M37" si="15">SUM(J31:J36)</f>
        <v>176581.85782577499</v>
      </c>
      <c r="K37" s="126">
        <f t="shared" si="15"/>
        <v>168681.4160904657</v>
      </c>
      <c r="L37" s="126">
        <f t="shared" si="15"/>
        <v>164227.10577537533</v>
      </c>
      <c r="M37" s="126">
        <f t="shared" si="15"/>
        <v>173743.0455628839</v>
      </c>
    </row>
    <row r="38" spans="1:13" x14ac:dyDescent="0.3">
      <c r="A38" t="s">
        <v>79</v>
      </c>
      <c r="I38" s="80">
        <f>I37-I19</f>
        <v>38928.04881575187</v>
      </c>
      <c r="J38" s="80">
        <f t="shared" ref="J38:M38" si="16">J37-J19</f>
        <v>40730.749564026861</v>
      </c>
      <c r="K38" s="80">
        <f t="shared" si="16"/>
        <v>20371.928752717562</v>
      </c>
      <c r="L38" s="80">
        <f t="shared" si="16"/>
        <v>2524.8609309271851</v>
      </c>
      <c r="M38" s="80">
        <f t="shared" si="16"/>
        <v>-2302.8425712399476</v>
      </c>
    </row>
    <row r="39" spans="1:13" x14ac:dyDescent="0.3">
      <c r="A39" s="48" t="s">
        <v>80</v>
      </c>
      <c r="I39" s="128">
        <f>I.S!G30</f>
        <v>0.21</v>
      </c>
      <c r="J39" s="128">
        <f>I.S!H30</f>
        <v>0.21</v>
      </c>
      <c r="K39" s="128">
        <f>I.S!I30</f>
        <v>0.21</v>
      </c>
      <c r="L39" s="128">
        <f>I.S!J30</f>
        <v>0.21</v>
      </c>
      <c r="M39" s="128">
        <f>I.S!K30</f>
        <v>0.21</v>
      </c>
    </row>
    <row r="40" spans="1:13" x14ac:dyDescent="0.3">
      <c r="A40" s="4" t="s">
        <v>81</v>
      </c>
      <c r="I40" s="129">
        <f>I38*I39</f>
        <v>8174.8902513078929</v>
      </c>
      <c r="J40" s="130">
        <f t="shared" ref="J40:M40" si="17">J38*J39</f>
        <v>8553.4574084456399</v>
      </c>
      <c r="K40" s="130">
        <f t="shared" si="17"/>
        <v>4278.1050380706874</v>
      </c>
      <c r="L40" s="130">
        <f t="shared" si="17"/>
        <v>530.22079549470891</v>
      </c>
      <c r="M40" s="131">
        <f t="shared" si="17"/>
        <v>-483.59693996038897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4749-80AE-40A4-8097-4E7DE466D3FB}">
  <sheetPr>
    <tabColor theme="4" tint="-0.249977111117893"/>
  </sheetPr>
  <dimension ref="A1:K34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16" sqref="G16"/>
    </sheetView>
  </sheetViews>
  <sheetFormatPr defaultRowHeight="14.4" x14ac:dyDescent="0.3"/>
  <cols>
    <col min="1" max="1" width="67.44140625" bestFit="1" customWidth="1"/>
    <col min="4" max="5" width="11.33203125" bestFit="1" customWidth="1"/>
    <col min="6" max="6" width="12.33203125" bestFit="1" customWidth="1"/>
    <col min="7" max="11" width="15.77734375" customWidth="1"/>
  </cols>
  <sheetData>
    <row r="1" spans="1:11" ht="23.4" x14ac:dyDescent="0.45">
      <c r="A1" s="27" t="s">
        <v>82</v>
      </c>
    </row>
    <row r="2" spans="1:11" ht="23.4" x14ac:dyDescent="0.45">
      <c r="A2" s="49"/>
      <c r="B2" s="158" t="s">
        <v>83</v>
      </c>
      <c r="C2" s="158"/>
      <c r="D2" s="158"/>
      <c r="E2" s="158" t="s">
        <v>65</v>
      </c>
      <c r="F2" s="158"/>
      <c r="G2" s="158"/>
      <c r="H2" s="158"/>
      <c r="I2" s="158"/>
      <c r="J2" s="158"/>
      <c r="K2" s="158"/>
    </row>
    <row r="3" spans="1:11" x14ac:dyDescent="0.3">
      <c r="A3" s="2" t="s">
        <v>200</v>
      </c>
      <c r="B3" s="2">
        <v>2021</v>
      </c>
      <c r="C3" s="2">
        <v>2022</v>
      </c>
      <c r="D3" s="2">
        <v>2023</v>
      </c>
      <c r="E3" s="2">
        <f>D3+1</f>
        <v>2024</v>
      </c>
      <c r="F3" s="2">
        <f t="shared" ref="F3:K3" si="0">E3+1</f>
        <v>2025</v>
      </c>
      <c r="G3" s="3">
        <f t="shared" si="0"/>
        <v>2026</v>
      </c>
      <c r="H3" s="3">
        <f t="shared" si="0"/>
        <v>2027</v>
      </c>
      <c r="I3" s="3">
        <f t="shared" si="0"/>
        <v>2028</v>
      </c>
      <c r="J3" s="3">
        <f t="shared" si="0"/>
        <v>2029</v>
      </c>
      <c r="K3" s="3">
        <f t="shared" si="0"/>
        <v>2030</v>
      </c>
    </row>
    <row r="5" spans="1:11" x14ac:dyDescent="0.3">
      <c r="A5" s="4" t="s">
        <v>84</v>
      </c>
    </row>
    <row r="6" spans="1:11" x14ac:dyDescent="0.3">
      <c r="A6" s="50" t="s">
        <v>85</v>
      </c>
      <c r="E6" s="51"/>
      <c r="F6" s="51"/>
      <c r="G6" s="51">
        <f>F29</f>
        <v>2088117</v>
      </c>
      <c r="H6" s="51">
        <f ca="1">G29</f>
        <v>3765143.4601909993</v>
      </c>
      <c r="I6" s="51">
        <f ca="1">H29</f>
        <v>5752104.0854674745</v>
      </c>
      <c r="J6" s="51">
        <f ca="1">I29</f>
        <v>7747041.4583095014</v>
      </c>
      <c r="K6" s="51">
        <f ca="1">J29</f>
        <v>10112562.410961371</v>
      </c>
    </row>
    <row r="7" spans="1:11" x14ac:dyDescent="0.3">
      <c r="A7" s="50" t="s">
        <v>86</v>
      </c>
      <c r="E7" s="52"/>
      <c r="F7" s="52"/>
      <c r="G7" s="51">
        <f ca="1">'C.S'!G60</f>
        <v>1677026.4601909993</v>
      </c>
      <c r="H7" s="51">
        <f ca="1">'C.S'!H60</f>
        <v>1986960.6252764757</v>
      </c>
      <c r="I7" s="51">
        <f ca="1">'C.S'!I60</f>
        <v>1994937.3728420264</v>
      </c>
      <c r="J7" s="51">
        <f ca="1">'C.S'!J60</f>
        <v>2365520.9526518704</v>
      </c>
      <c r="K7" s="51">
        <f ca="1">'C.S'!K60</f>
        <v>2380296.5127888401</v>
      </c>
    </row>
    <row r="8" spans="1:11" x14ac:dyDescent="0.3">
      <c r="A8" s="50" t="s">
        <v>87</v>
      </c>
      <c r="E8" s="53"/>
      <c r="F8" s="53"/>
      <c r="G8" s="52">
        <v>-1000000</v>
      </c>
      <c r="H8" s="52">
        <v>-1000000</v>
      </c>
      <c r="I8" s="52">
        <v>-1000000</v>
      </c>
      <c r="J8" s="52">
        <v>-1000000</v>
      </c>
      <c r="K8" s="52">
        <v>-1000000</v>
      </c>
    </row>
    <row r="9" spans="1:11" x14ac:dyDescent="0.3">
      <c r="A9" s="54" t="s">
        <v>88</v>
      </c>
      <c r="B9" s="6"/>
      <c r="C9" s="6"/>
      <c r="D9" s="6"/>
      <c r="E9" s="55"/>
      <c r="F9" s="55"/>
      <c r="G9" s="55">
        <f ca="1">SUM(G6:G8)</f>
        <v>2765143.4601909993</v>
      </c>
      <c r="H9" s="55">
        <f t="shared" ref="H9:K9" ca="1" si="1">SUM(H6:H8)</f>
        <v>4752104.0854674745</v>
      </c>
      <c r="I9" s="55">
        <f t="shared" ca="1" si="1"/>
        <v>6747041.4583095014</v>
      </c>
      <c r="J9" s="55">
        <f t="shared" ca="1" si="1"/>
        <v>9112562.4109613709</v>
      </c>
      <c r="K9" s="55">
        <f t="shared" ca="1" si="1"/>
        <v>11492858.923750211</v>
      </c>
    </row>
    <row r="11" spans="1:11" x14ac:dyDescent="0.3">
      <c r="A11" s="56" t="s">
        <v>168</v>
      </c>
    </row>
    <row r="12" spans="1:11" x14ac:dyDescent="0.3">
      <c r="A12" s="50" t="s">
        <v>89</v>
      </c>
      <c r="E12" s="57"/>
      <c r="F12" s="57"/>
      <c r="G12" s="57">
        <f>F15</f>
        <v>0</v>
      </c>
      <c r="H12" s="57">
        <f t="shared" ref="H12:K12" si="2">G15</f>
        <v>0</v>
      </c>
      <c r="I12" s="57">
        <f t="shared" si="2"/>
        <v>0</v>
      </c>
      <c r="J12" s="57">
        <f t="shared" si="2"/>
        <v>0</v>
      </c>
      <c r="K12" s="57">
        <f t="shared" si="2"/>
        <v>0</v>
      </c>
    </row>
    <row r="13" spans="1:11" x14ac:dyDescent="0.3">
      <c r="A13" s="5" t="s">
        <v>90</v>
      </c>
      <c r="E13" s="58"/>
      <c r="F13" s="58"/>
      <c r="G13" s="58">
        <v>0</v>
      </c>
      <c r="H13" s="58">
        <v>0</v>
      </c>
      <c r="I13" s="58">
        <v>0</v>
      </c>
      <c r="J13" s="58">
        <v>0</v>
      </c>
      <c r="K13" s="58">
        <v>0</v>
      </c>
    </row>
    <row r="14" spans="1:11" x14ac:dyDescent="0.3">
      <c r="A14" s="5" t="s">
        <v>91</v>
      </c>
      <c r="I14" s="53"/>
      <c r="J14" s="53"/>
      <c r="K14" s="53"/>
    </row>
    <row r="15" spans="1:11" x14ac:dyDescent="0.3">
      <c r="A15" s="8" t="s">
        <v>92</v>
      </c>
      <c r="B15" s="6"/>
      <c r="C15" s="6"/>
      <c r="D15" s="6"/>
      <c r="E15" s="60"/>
      <c r="F15" s="59">
        <f>B.S!E30</f>
        <v>0</v>
      </c>
      <c r="G15" s="60">
        <f>SUM(G12:G14)</f>
        <v>0</v>
      </c>
      <c r="H15" s="60">
        <f t="shared" ref="H15:K15" si="3">SUM(H12:H14)</f>
        <v>0</v>
      </c>
      <c r="I15" s="60">
        <f t="shared" si="3"/>
        <v>0</v>
      </c>
      <c r="J15" s="60">
        <f t="shared" si="3"/>
        <v>0</v>
      </c>
      <c r="K15" s="60">
        <f t="shared" si="3"/>
        <v>0</v>
      </c>
    </row>
    <row r="16" spans="1:11" x14ac:dyDescent="0.3">
      <c r="A16" s="5" t="s">
        <v>93</v>
      </c>
      <c r="E16" s="61"/>
      <c r="F16" s="61"/>
      <c r="G16" s="61">
        <f>AVERAGE(F15:G15)*G17</f>
        <v>0</v>
      </c>
      <c r="H16" s="61">
        <f t="shared" ref="H16:K16" si="4">AVERAGE(G15:H15)*H17</f>
        <v>0</v>
      </c>
      <c r="I16" s="61">
        <f t="shared" si="4"/>
        <v>0</v>
      </c>
      <c r="J16" s="61">
        <f t="shared" si="4"/>
        <v>0</v>
      </c>
      <c r="K16" s="61">
        <f t="shared" si="4"/>
        <v>0</v>
      </c>
    </row>
    <row r="17" spans="1:11" x14ac:dyDescent="0.3">
      <c r="A17" s="62" t="s">
        <v>94</v>
      </c>
      <c r="E17" s="63"/>
      <c r="F17" s="63"/>
      <c r="G17" s="74">
        <f>6.6/(375*(4/12))</f>
        <v>5.28E-2</v>
      </c>
      <c r="H17" s="74">
        <v>5.28E-2</v>
      </c>
      <c r="I17" s="74">
        <v>5.28E-2</v>
      </c>
      <c r="J17" s="74">
        <v>5.28E-2</v>
      </c>
      <c r="K17" s="74">
        <v>5.28E-2</v>
      </c>
    </row>
    <row r="19" spans="1:11" x14ac:dyDescent="0.3">
      <c r="A19" s="56" t="s">
        <v>205</v>
      </c>
    </row>
    <row r="20" spans="1:11" x14ac:dyDescent="0.3">
      <c r="A20" s="50" t="s">
        <v>209</v>
      </c>
      <c r="E20" s="57"/>
      <c r="F20" s="57"/>
      <c r="G20" s="57">
        <f t="shared" ref="G20:K20" si="5">F23</f>
        <v>0</v>
      </c>
      <c r="H20" s="57">
        <f t="shared" si="5"/>
        <v>0</v>
      </c>
      <c r="I20" s="57">
        <f t="shared" si="5"/>
        <v>0</v>
      </c>
      <c r="J20" s="57">
        <f t="shared" si="5"/>
        <v>0</v>
      </c>
      <c r="K20" s="57">
        <f t="shared" si="5"/>
        <v>0</v>
      </c>
    </row>
    <row r="21" spans="1:11" x14ac:dyDescent="0.3">
      <c r="A21" s="5" t="s">
        <v>90</v>
      </c>
      <c r="E21" s="58"/>
      <c r="F21" s="58"/>
      <c r="G21" s="58">
        <v>0</v>
      </c>
      <c r="H21" s="58">
        <v>0</v>
      </c>
      <c r="I21" s="58">
        <v>0</v>
      </c>
      <c r="J21" s="58">
        <v>0</v>
      </c>
      <c r="K21" s="58">
        <v>0</v>
      </c>
    </row>
    <row r="22" spans="1:11" x14ac:dyDescent="0.3">
      <c r="A22" s="5" t="s">
        <v>91</v>
      </c>
    </row>
    <row r="23" spans="1:11" x14ac:dyDescent="0.3">
      <c r="A23" s="8" t="s">
        <v>206</v>
      </c>
      <c r="B23" s="6"/>
      <c r="C23" s="6"/>
      <c r="D23" s="6"/>
      <c r="E23" s="60"/>
      <c r="F23" s="59">
        <f>B.S!E37</f>
        <v>0</v>
      </c>
      <c r="G23" s="60">
        <f>SUM(G20:G22)</f>
        <v>0</v>
      </c>
      <c r="H23" s="60">
        <f t="shared" ref="H23:K23" si="6">SUM(H20:H22)</f>
        <v>0</v>
      </c>
      <c r="I23" s="60">
        <f t="shared" si="6"/>
        <v>0</v>
      </c>
      <c r="J23" s="60">
        <f t="shared" si="6"/>
        <v>0</v>
      </c>
      <c r="K23" s="60">
        <f t="shared" si="6"/>
        <v>0</v>
      </c>
    </row>
    <row r="24" spans="1:11" x14ac:dyDescent="0.3">
      <c r="A24" s="5" t="s">
        <v>207</v>
      </c>
      <c r="E24" s="61"/>
      <c r="F24" s="61"/>
      <c r="G24" s="61">
        <f>AVERAGE(F23:G23)*G25</f>
        <v>0</v>
      </c>
      <c r="H24" s="61">
        <f t="shared" ref="H24:K24" si="7">AVERAGE(G23:H23)*H25</f>
        <v>0</v>
      </c>
      <c r="I24" s="61">
        <f t="shared" si="7"/>
        <v>0</v>
      </c>
      <c r="J24" s="61">
        <f t="shared" si="7"/>
        <v>0</v>
      </c>
      <c r="K24" s="61">
        <f t="shared" si="7"/>
        <v>0</v>
      </c>
    </row>
    <row r="25" spans="1:11" x14ac:dyDescent="0.3">
      <c r="A25" s="62" t="s">
        <v>208</v>
      </c>
      <c r="E25" s="63"/>
      <c r="F25" s="63"/>
      <c r="G25" s="74">
        <v>0</v>
      </c>
      <c r="H25" s="74">
        <v>0</v>
      </c>
      <c r="I25" s="74">
        <v>0</v>
      </c>
      <c r="J25" s="74">
        <v>0</v>
      </c>
      <c r="K25" s="74">
        <v>0</v>
      </c>
    </row>
    <row r="27" spans="1:11" x14ac:dyDescent="0.3">
      <c r="A27" s="8" t="s">
        <v>95</v>
      </c>
      <c r="E27" s="57"/>
      <c r="F27" s="57"/>
      <c r="G27" s="61">
        <f>G13+G14+G21+G22</f>
        <v>0</v>
      </c>
      <c r="H27" s="61">
        <f>H13+H14+H21+H22</f>
        <v>0</v>
      </c>
      <c r="I27" s="61">
        <f>I13+I14+I21+I22</f>
        <v>0</v>
      </c>
      <c r="J27" s="61">
        <f>J13+J14+J21+J22</f>
        <v>0</v>
      </c>
      <c r="K27" s="61">
        <f>K13+K14+K21+K22</f>
        <v>0</v>
      </c>
    </row>
    <row r="28" spans="1:11" x14ac:dyDescent="0.3">
      <c r="A28" s="8" t="s">
        <v>96</v>
      </c>
      <c r="E28" s="52"/>
      <c r="F28" s="52"/>
      <c r="G28" s="61">
        <f>G16+G24</f>
        <v>0</v>
      </c>
      <c r="H28" s="61">
        <f>H16+H24</f>
        <v>0</v>
      </c>
      <c r="I28" s="61">
        <f>I16+I24</f>
        <v>0</v>
      </c>
      <c r="J28" s="61">
        <f>J16+J24</f>
        <v>0</v>
      </c>
      <c r="K28" s="61">
        <f>K16+K24</f>
        <v>0</v>
      </c>
    </row>
    <row r="29" spans="1:11" x14ac:dyDescent="0.3">
      <c r="A29" s="8" t="s">
        <v>97</v>
      </c>
      <c r="B29" s="6"/>
      <c r="C29" s="6"/>
      <c r="D29" s="6"/>
      <c r="E29" s="55"/>
      <c r="F29" s="64">
        <f>B.S!E3</f>
        <v>2088117</v>
      </c>
      <c r="G29" s="55">
        <f ca="1">G27+G6+G7</f>
        <v>3765143.4601909993</v>
      </c>
      <c r="H29" s="55">
        <f ca="1">H27+H6+H7</f>
        <v>5752104.0854674745</v>
      </c>
      <c r="I29" s="55">
        <f ca="1">I27+I6+I7</f>
        <v>7747041.4583095014</v>
      </c>
      <c r="J29" s="55">
        <f ca="1">J27+J6+J7</f>
        <v>10112562.410961371</v>
      </c>
      <c r="K29" s="55">
        <f ca="1">K27+K6+K7</f>
        <v>12492858.923750211</v>
      </c>
    </row>
    <row r="30" spans="1:11" x14ac:dyDescent="0.3">
      <c r="A30" s="5" t="s">
        <v>98</v>
      </c>
      <c r="E30" s="52"/>
      <c r="F30" s="52"/>
      <c r="G30" s="80">
        <f ca="1">AVERAGE(F29:G29)*G31</f>
        <v>58532.604601909996</v>
      </c>
      <c r="H30" s="80">
        <f t="shared" ref="H30:K30" ca="1" si="8">AVERAGE(G29:H29)*H31</f>
        <v>95172.475456584725</v>
      </c>
      <c r="I30" s="80">
        <f t="shared" ca="1" si="8"/>
        <v>134991.45543776976</v>
      </c>
      <c r="J30" s="80">
        <f t="shared" ca="1" si="8"/>
        <v>178596.03869270874</v>
      </c>
      <c r="K30" s="80">
        <f t="shared" ca="1" si="8"/>
        <v>226054.21334711582</v>
      </c>
    </row>
    <row r="31" spans="1:11" x14ac:dyDescent="0.3">
      <c r="A31" s="62" t="s">
        <v>99</v>
      </c>
      <c r="E31" s="63"/>
      <c r="F31" s="63"/>
      <c r="G31" s="47">
        <v>0.02</v>
      </c>
      <c r="H31" s="47">
        <v>0.02</v>
      </c>
      <c r="I31" s="47">
        <v>0.02</v>
      </c>
      <c r="J31" s="47">
        <v>0.02</v>
      </c>
      <c r="K31" s="47">
        <v>0.02</v>
      </c>
    </row>
    <row r="33" spans="1:11" x14ac:dyDescent="0.3">
      <c r="A33" s="43" t="s">
        <v>63</v>
      </c>
      <c r="B33" s="44"/>
      <c r="C33" s="45"/>
      <c r="D33" s="45"/>
      <c r="E33" s="45"/>
      <c r="F33" s="45"/>
      <c r="G33" s="45"/>
      <c r="H33" s="45"/>
    </row>
    <row r="34" spans="1:11" x14ac:dyDescent="0.3">
      <c r="I34" s="60"/>
      <c r="J34" s="60"/>
      <c r="K34" s="60"/>
    </row>
  </sheetData>
  <mergeCells count="3">
    <mergeCell ref="B2:D2"/>
    <mergeCell ref="E2:I2"/>
    <mergeCell ref="J2:K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859967-A049-4B7F-A258-3B73AC5F3B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Link</vt:lpstr>
      <vt:lpstr>I.S</vt:lpstr>
      <vt:lpstr>C.S</vt:lpstr>
      <vt:lpstr>B.S</vt:lpstr>
      <vt:lpstr>&gt;&gt;Valuation</vt:lpstr>
      <vt:lpstr>Working Capital Schedule</vt:lpstr>
      <vt:lpstr>Depreciation Schedule</vt:lpstr>
      <vt:lpstr>Debt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Simba Choga</cp:lastModifiedBy>
  <cp:lastPrinted>2026-07-24T14:31:10Z</cp:lastPrinted>
  <dcterms:created xsi:type="dcterms:W3CDTF">2015-06-05T18:17:20Z</dcterms:created>
  <dcterms:modified xsi:type="dcterms:W3CDTF">2026-10-09T20:35:59Z</dcterms:modified>
</cp:coreProperties>
</file>