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5A25B889-95CC-4545-B3A6-C9B6F5ED1064}" xr6:coauthVersionLast="47" xr6:coauthVersionMax="47" xr10:uidLastSave="{00000000-0000-0000-0000-000000000000}"/>
  <bookViews>
    <workbookView xWindow="0" yWindow="1965" windowWidth="18255" windowHeight="14085" activeTab="2" xr2:uid="{00000000-000D-0000-FFFF-FFFF00000000}"/>
  </bookViews>
  <sheets>
    <sheet name="座標系・変数名" sheetId="1" r:id="rId1"/>
    <sheet name="構造＆初期値" sheetId="6" r:id="rId2"/>
    <sheet name="主巻" sheetId="3" r:id="rId3"/>
    <sheet name="引込" sheetId="2" r:id="rId4"/>
    <sheet name="旋回" sheetId="4" r:id="rId5"/>
    <sheet name="走行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4" l="1"/>
  <c r="B37" i="4"/>
  <c r="B36" i="4"/>
  <c r="B59" i="6"/>
  <c r="B25" i="3"/>
  <c r="B58" i="6"/>
  <c r="B45" i="6"/>
  <c r="B46" i="6" s="1"/>
  <c r="B20" i="2"/>
  <c r="B24" i="5"/>
  <c r="B25" i="5"/>
  <c r="B68" i="6" s="1"/>
  <c r="B18" i="5"/>
  <c r="B18" i="4"/>
  <c r="B18" i="2"/>
  <c r="B18" i="3"/>
  <c r="B69" i="6"/>
  <c r="B57" i="6"/>
  <c r="F48" i="6"/>
  <c r="B28" i="6"/>
  <c r="B39" i="6"/>
  <c r="B20" i="6"/>
  <c r="B53" i="6"/>
  <c r="B31" i="2"/>
  <c r="B33" i="6" s="1"/>
  <c r="B28" i="3"/>
  <c r="B44" i="6" s="1"/>
  <c r="B29" i="4"/>
  <c r="B32" i="4" s="1"/>
  <c r="B32" i="2"/>
  <c r="B35" i="2" s="1"/>
  <c r="B29" i="3"/>
  <c r="B32" i="3" s="1"/>
  <c r="B31" i="3"/>
  <c r="B30" i="3"/>
  <c r="B40" i="6" l="1"/>
  <c r="B41" i="6"/>
  <c r="B42" i="6"/>
  <c r="B43" i="6"/>
  <c r="B32" i="6"/>
  <c r="B29" i="6"/>
  <c r="B30" i="6"/>
  <c r="B31" i="6"/>
  <c r="B18" i="6"/>
  <c r="B48" i="6" s="1"/>
  <c r="B49" i="6" s="1"/>
  <c r="B16" i="6"/>
  <c r="B17" i="6" s="1"/>
  <c r="B62" i="6" s="1"/>
  <c r="F2" i="5"/>
  <c r="B3" i="5"/>
  <c r="B29" i="5" s="1"/>
  <c r="B32" i="5" s="1"/>
  <c r="B21" i="6"/>
  <c r="B60" i="6" l="1"/>
  <c r="B35" i="6"/>
  <c r="B19" i="6"/>
  <c r="B22" i="6" l="1"/>
  <c r="B36" i="6" s="1"/>
  <c r="B37" i="6" s="1"/>
  <c r="B38" i="6" s="1"/>
  <c r="B23" i="6" l="1"/>
  <c r="B65" i="6" s="1"/>
  <c r="B24" i="6" l="1"/>
  <c r="B25" i="6" s="1"/>
  <c r="B51" i="6" s="1"/>
  <c r="B27" i="6" l="1"/>
  <c r="B26" i="6"/>
  <c r="B52" i="6" s="1"/>
  <c r="B63" i="6" s="1"/>
  <c r="B64" i="6" s="1"/>
</calcChain>
</file>

<file path=xl/sharedStrings.xml><?xml version="1.0" encoding="utf-8"?>
<sst xmlns="http://schemas.openxmlformats.org/spreadsheetml/2006/main" count="479" uniqueCount="245">
  <si>
    <t>パラメータ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</si>
  <si>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</si>
  <si>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</si>
  <si>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</si>
  <si>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引込PG調整要領書（Lドライブ電気資料）</t>
    <rPh sb="0" eb="2">
      <t>ヒキコミ</t>
    </rPh>
    <rPh sb="4" eb="6">
      <t>チョウセイ</t>
    </rPh>
    <rPh sb="6" eb="9">
      <t>ヨウリョウショ</t>
    </rPh>
    <rPh sb="15" eb="17">
      <t>デンキ</t>
    </rPh>
    <rPh sb="17" eb="19">
      <t>シリョウ</t>
    </rPh>
    <phoneticPr fontId="1"/>
  </si>
  <si>
    <t>電動機定格回転数(rpm)</t>
    <rPh sb="0" eb="3">
      <t>デンドウキ</t>
    </rPh>
    <rPh sb="3" eb="5">
      <t>テイカク</t>
    </rPh>
    <rPh sb="5" eb="8">
      <t>カイテンスウ</t>
    </rPh>
    <phoneticPr fontId="1"/>
  </si>
  <si>
    <t>電動機定格容量(ＫＷ）</t>
    <rPh sb="0" eb="3">
      <t>デンドウキ</t>
    </rPh>
    <rPh sb="3" eb="5">
      <t>テイカク</t>
    </rPh>
    <rPh sb="5" eb="7">
      <t>ヨウリョウ</t>
    </rPh>
    <phoneticPr fontId="1"/>
  </si>
  <si>
    <t>減速比</t>
    <rPh sb="0" eb="3">
      <t>ゲンソクヒ</t>
    </rPh>
    <phoneticPr fontId="1"/>
  </si>
  <si>
    <t>運転方案</t>
    <rPh sb="0" eb="4">
      <t>ウンテンホウアン</t>
    </rPh>
    <phoneticPr fontId="1"/>
  </si>
  <si>
    <t>ジブ伏出限DRM回転数</t>
    <rPh sb="2" eb="3">
      <t>フ</t>
    </rPh>
    <rPh sb="3" eb="4">
      <t>デ</t>
    </rPh>
    <rPh sb="4" eb="5">
      <t>ゲン</t>
    </rPh>
    <rPh sb="8" eb="11">
      <t>カイテンスウ</t>
    </rPh>
    <phoneticPr fontId="1"/>
  </si>
  <si>
    <t>ジブレストDRM回転数</t>
    <rPh sb="8" eb="11">
      <t>カイテンスウ</t>
    </rPh>
    <phoneticPr fontId="1"/>
  </si>
  <si>
    <t>PG逓倍</t>
    <rPh sb="2" eb="4">
      <t>テイバイ</t>
    </rPh>
    <phoneticPr fontId="1"/>
  </si>
  <si>
    <t>モータ1回転1逓倍のPGパルスカウント値</t>
    <rPh sb="4" eb="6">
      <t>カイテン</t>
    </rPh>
    <rPh sb="7" eb="9">
      <t>テイバイ</t>
    </rPh>
    <rPh sb="19" eb="20">
      <t>アタイ</t>
    </rPh>
    <phoneticPr fontId="1"/>
  </si>
  <si>
    <t>変数名</t>
    <rPh sb="0" eb="2">
      <t>ヘンスウ</t>
    </rPh>
    <rPh sb="2" eb="3">
      <t>メイ</t>
    </rPh>
    <phoneticPr fontId="1"/>
  </si>
  <si>
    <t>Rkw_bh</t>
    <phoneticPr fontId="1"/>
  </si>
  <si>
    <t>Gr_bh</t>
    <phoneticPr fontId="1"/>
  </si>
  <si>
    <t>Rated rpm</t>
    <phoneticPr fontId="1"/>
  </si>
  <si>
    <t>Rated kw</t>
    <phoneticPr fontId="1"/>
  </si>
  <si>
    <t>Gier ration</t>
    <phoneticPr fontId="1"/>
  </si>
  <si>
    <t>パルスカウントの倍率</t>
    <rPh sb="8" eb="10">
      <t>バイリツ</t>
    </rPh>
    <phoneticPr fontId="1"/>
  </si>
  <si>
    <t>0°</t>
    <phoneticPr fontId="1"/>
  </si>
  <si>
    <t>R30m</t>
    <phoneticPr fontId="1"/>
  </si>
  <si>
    <t>引込常用入限DRM回転数</t>
    <rPh sb="0" eb="2">
      <t>ヒキコミ</t>
    </rPh>
    <rPh sb="2" eb="4">
      <t>ジョウヨウ</t>
    </rPh>
    <rPh sb="4" eb="5">
      <t>イ</t>
    </rPh>
    <rPh sb="5" eb="6">
      <t>ゲン</t>
    </rPh>
    <rPh sb="9" eb="12">
      <t>カイテンスウ</t>
    </rPh>
    <phoneticPr fontId="1"/>
  </si>
  <si>
    <t>ジブ部分組立図KG7972H</t>
    <rPh sb="2" eb="7">
      <t>ブブンクミタテズ</t>
    </rPh>
    <phoneticPr fontId="1"/>
  </si>
  <si>
    <t>ジブの長さm</t>
    <rPh sb="3" eb="4">
      <t>ナガ</t>
    </rPh>
    <phoneticPr fontId="1"/>
  </si>
  <si>
    <t>Lb</t>
    <phoneticPr fontId="1"/>
  </si>
  <si>
    <t>ワイヤ直径mm</t>
    <rPh sb="3" eb="5">
      <t>チョッケイ</t>
    </rPh>
    <phoneticPr fontId="1"/>
  </si>
  <si>
    <t>層付加半径mm</t>
    <rPh sb="0" eb="1">
      <t>ソウ</t>
    </rPh>
    <rPh sb="1" eb="3">
      <t>フカ</t>
    </rPh>
    <rPh sb="3" eb="5">
      <t>ハンケイ</t>
    </rPh>
    <phoneticPr fontId="1"/>
  </si>
  <si>
    <t>D720引込ドラム　BG7294H</t>
    <rPh sb="4" eb="6">
      <t>ヒキコミ</t>
    </rPh>
    <phoneticPr fontId="1"/>
  </si>
  <si>
    <t>R30m (69.1°)</t>
    <phoneticPr fontId="1"/>
  </si>
  <si>
    <t>休止時半径m</t>
    <rPh sb="0" eb="2">
      <t>キュウシ</t>
    </rPh>
    <rPh sb="2" eb="3">
      <t>ジ</t>
    </rPh>
    <rPh sb="3" eb="5">
      <t>ハンケイ</t>
    </rPh>
    <phoneticPr fontId="1"/>
  </si>
  <si>
    <t>全組</t>
    <rPh sb="0" eb="2">
      <t>ゼンクミ</t>
    </rPh>
    <phoneticPr fontId="1"/>
  </si>
  <si>
    <t>Rkw_mh</t>
    <phoneticPr fontId="1"/>
  </si>
  <si>
    <t>展開図</t>
    <rPh sb="0" eb="3">
      <t>テンカイズ</t>
    </rPh>
    <phoneticPr fontId="1"/>
  </si>
  <si>
    <t>展開図</t>
    <rPh sb="0" eb="3">
      <t>テンカイズ</t>
    </rPh>
    <phoneticPr fontId="1"/>
  </si>
  <si>
    <t>Gr_mh</t>
    <phoneticPr fontId="1"/>
  </si>
  <si>
    <t>図面KL0043H</t>
    <rPh sb="0" eb="2">
      <t>ズメン</t>
    </rPh>
    <phoneticPr fontId="1"/>
  </si>
  <si>
    <t>運転方案</t>
    <rPh sb="0" eb="4">
      <t>ウンテンホウアン</t>
    </rPh>
    <phoneticPr fontId="1"/>
  </si>
  <si>
    <t>0‐100％　0-14m/min</t>
    <phoneticPr fontId="1"/>
  </si>
  <si>
    <t>100-257.14%　14-36m/min</t>
    <phoneticPr fontId="1"/>
  </si>
  <si>
    <t>主巻ワイヤロープ掛け方図BN9973A</t>
    <rPh sb="0" eb="2">
      <t>シュマキ</t>
    </rPh>
    <rPh sb="8" eb="9">
      <t>カ</t>
    </rPh>
    <rPh sb="10" eb="12">
      <t>カタズ</t>
    </rPh>
    <phoneticPr fontId="1"/>
  </si>
  <si>
    <t>D624巻上ドラム　BG7293H</t>
    <rPh sb="4" eb="6">
      <t>マキアゲ</t>
    </rPh>
    <phoneticPr fontId="1"/>
  </si>
  <si>
    <t>休止時揚程m</t>
    <rPh sb="0" eb="2">
      <t>キュウシ</t>
    </rPh>
    <rPh sb="2" eb="3">
      <t>ジ</t>
    </rPh>
    <rPh sb="3" eb="5">
      <t>ヨウテイ</t>
    </rPh>
    <phoneticPr fontId="1"/>
  </si>
  <si>
    <t>アブソコーダ入力軸ギア比</t>
    <rPh sb="6" eb="9">
      <t>ニュウリョクジク</t>
    </rPh>
    <rPh sb="11" eb="12">
      <t>ヒ</t>
    </rPh>
    <phoneticPr fontId="1"/>
  </si>
  <si>
    <t>アブソコーダ入力回転数</t>
    <rPh sb="6" eb="8">
      <t>ニュウリョク</t>
    </rPh>
    <rPh sb="8" eb="11">
      <t>カイテンスウ</t>
    </rPh>
    <phoneticPr fontId="1"/>
  </si>
  <si>
    <t>Dwire_mh</t>
    <phoneticPr fontId="1"/>
  </si>
  <si>
    <t>Ngr_bhm</t>
    <phoneticPr fontId="1"/>
  </si>
  <si>
    <t>dRwire_mh</t>
    <phoneticPr fontId="1"/>
  </si>
  <si>
    <t>AbsCntR_mh</t>
    <phoneticPr fontId="1"/>
  </si>
  <si>
    <t>PgCntR_mh</t>
    <phoneticPr fontId="1"/>
  </si>
  <si>
    <t>PgMul_mh</t>
    <phoneticPr fontId="1"/>
  </si>
  <si>
    <t>Td0_mh</t>
    <phoneticPr fontId="1"/>
  </si>
  <si>
    <t>Td0_bh</t>
    <phoneticPr fontId="1"/>
  </si>
  <si>
    <t>Ngr_mh</t>
    <phoneticPr fontId="1"/>
  </si>
  <si>
    <t>Ddrm_mh</t>
    <phoneticPr fontId="1"/>
  </si>
  <si>
    <t>Dwire_bh</t>
    <phoneticPr fontId="1"/>
  </si>
  <si>
    <t>dRwire_bh</t>
    <phoneticPr fontId="1"/>
  </si>
  <si>
    <t>図面KL3880H</t>
    <rPh sb="0" eb="2">
      <t>ズメン</t>
    </rPh>
    <phoneticPr fontId="1"/>
  </si>
  <si>
    <t>PgCntR_bh</t>
    <phoneticPr fontId="1"/>
  </si>
  <si>
    <t>PgMul_bh</t>
    <phoneticPr fontId="1"/>
  </si>
  <si>
    <t>Rpm_bh</t>
    <phoneticPr fontId="1"/>
  </si>
  <si>
    <t>Rpm_mh</t>
    <phoneticPr fontId="1"/>
  </si>
  <si>
    <t>Rpm_sl</t>
    <phoneticPr fontId="1"/>
  </si>
  <si>
    <t>Rkw_sl</t>
    <phoneticPr fontId="1"/>
  </si>
  <si>
    <t>Gr_sl</t>
    <phoneticPr fontId="1"/>
  </si>
  <si>
    <t>TTB直径</t>
    <rPh sb="3" eb="5">
      <t>チョッケイ</t>
    </rPh>
    <phoneticPr fontId="1"/>
  </si>
  <si>
    <t>NA</t>
    <phoneticPr fontId="1"/>
  </si>
  <si>
    <t>図面　KG7420H</t>
    <rPh sb="0" eb="2">
      <t>ズメン</t>
    </rPh>
    <phoneticPr fontId="1"/>
  </si>
  <si>
    <t>Dttb</t>
    <phoneticPr fontId="1"/>
  </si>
  <si>
    <t>Rpm_gt</t>
    <phoneticPr fontId="1"/>
  </si>
  <si>
    <t>Rkw_gt</t>
    <phoneticPr fontId="1"/>
  </si>
  <si>
    <t>Rated kw 8台分</t>
    <rPh sb="10" eb="11">
      <t>ダイ</t>
    </rPh>
    <rPh sb="11" eb="12">
      <t>ブン</t>
    </rPh>
    <phoneticPr fontId="1"/>
  </si>
  <si>
    <t>ピニオン径</t>
    <rPh sb="4" eb="5">
      <t>ケイ</t>
    </rPh>
    <phoneticPr fontId="1"/>
  </si>
  <si>
    <t>Gr_gt</t>
    <phoneticPr fontId="1"/>
  </si>
  <si>
    <t>図面KG7965H　走行機械部分組立図</t>
    <rPh sb="0" eb="2">
      <t>ズメン</t>
    </rPh>
    <rPh sb="10" eb="12">
      <t>ソウコウ</t>
    </rPh>
    <rPh sb="12" eb="16">
      <t>キカイブブン</t>
    </rPh>
    <rPh sb="16" eb="19">
      <t>クミタテズ</t>
    </rPh>
    <phoneticPr fontId="1"/>
  </si>
  <si>
    <t>図面KQ9789H</t>
    <rPh sb="0" eb="2">
      <t>ズメン</t>
    </rPh>
    <phoneticPr fontId="1"/>
  </si>
  <si>
    <t>展開図(MAX1960 図面KQ9789H)</t>
    <rPh sb="0" eb="3">
      <t>テンカイズ</t>
    </rPh>
    <phoneticPr fontId="1"/>
  </si>
  <si>
    <t>Ta0_mh</t>
    <phoneticPr fontId="1"/>
  </si>
  <si>
    <t>加速時間0(sec)</t>
    <rPh sb="0" eb="2">
      <t>カソク</t>
    </rPh>
    <rPh sb="2" eb="4">
      <t>ジカン</t>
    </rPh>
    <phoneticPr fontId="1"/>
  </si>
  <si>
    <t>加速時間1(sec)</t>
    <rPh sb="0" eb="2">
      <t>カソク</t>
    </rPh>
    <rPh sb="2" eb="4">
      <t>ジカン</t>
    </rPh>
    <phoneticPr fontId="1"/>
  </si>
  <si>
    <t>減速時間0(sec)</t>
    <rPh sb="0" eb="4">
      <t>ゲンソクジカン</t>
    </rPh>
    <phoneticPr fontId="1"/>
  </si>
  <si>
    <t>減速時間1(sec)</t>
    <rPh sb="0" eb="4">
      <t>ゲンソクジカン</t>
    </rPh>
    <phoneticPr fontId="1"/>
  </si>
  <si>
    <t>Ta1_mh</t>
    <phoneticPr fontId="1"/>
  </si>
  <si>
    <t>Td1_mh</t>
    <phoneticPr fontId="1"/>
  </si>
  <si>
    <t>Ddrm_bhm</t>
    <phoneticPr fontId="1"/>
  </si>
  <si>
    <t>ドラム0径mm</t>
    <rPh sb="4" eb="5">
      <t>ケイ</t>
    </rPh>
    <phoneticPr fontId="1"/>
  </si>
  <si>
    <t>ドラム1径mm</t>
    <rPh sb="4" eb="5">
      <t>ケイ</t>
    </rPh>
    <phoneticPr fontId="1"/>
  </si>
  <si>
    <t>ドラム0溝数</t>
    <rPh sb="4" eb="5">
      <t>ミゾ</t>
    </rPh>
    <rPh sb="5" eb="6">
      <t>スウ</t>
    </rPh>
    <phoneticPr fontId="1"/>
  </si>
  <si>
    <t>ドラム1溝数</t>
    <rPh sb="4" eb="5">
      <t>ミゾ</t>
    </rPh>
    <rPh sb="5" eb="6">
      <t>スウ</t>
    </rPh>
    <phoneticPr fontId="1"/>
  </si>
  <si>
    <t>PGカウント/回転</t>
    <rPh sb="7" eb="9">
      <t>カイテン</t>
    </rPh>
    <phoneticPr fontId="1"/>
  </si>
  <si>
    <t>PGプリセット0カウント</t>
    <phoneticPr fontId="1"/>
  </si>
  <si>
    <t>ラダープログラム</t>
    <phoneticPr fontId="1"/>
  </si>
  <si>
    <t>NA</t>
    <phoneticPr fontId="1"/>
  </si>
  <si>
    <t>アブソコーダプリセット0カウント</t>
    <phoneticPr fontId="1"/>
  </si>
  <si>
    <t>33回転　ドラム3層1溝目</t>
    <rPh sb="2" eb="4">
      <t>カイテン</t>
    </rPh>
    <rPh sb="9" eb="10">
      <t>ソウ</t>
    </rPh>
    <rPh sb="11" eb="13">
      <t>ミゾメ</t>
    </rPh>
    <phoneticPr fontId="1"/>
  </si>
  <si>
    <t>アブソコーダプリセット1カウント</t>
  </si>
  <si>
    <t>巻各層係数計算.xlsx(Lドライブ）</t>
    <rPh sb="0" eb="1">
      <t>マキ</t>
    </rPh>
    <rPh sb="1" eb="3">
      <t>カクソウ</t>
    </rPh>
    <rPh sb="3" eb="7">
      <t>ケイスウケイサン</t>
    </rPh>
    <phoneticPr fontId="1"/>
  </si>
  <si>
    <t>実機パラメータ</t>
    <rPh sb="0" eb="2">
      <t>ジッキ</t>
    </rPh>
    <phoneticPr fontId="1"/>
  </si>
  <si>
    <t>Simパラメータ</t>
    <phoneticPr fontId="1"/>
  </si>
  <si>
    <t>値</t>
    <rPh sb="0" eb="1">
      <t>アタイ</t>
    </rPh>
    <phoneticPr fontId="1"/>
  </si>
  <si>
    <t>変数名</t>
    <rPh sb="0" eb="3">
      <t>ヘンスウメイ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</si>
  <si>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</si>
  <si>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</si>
  <si>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ジブレスト時引込主巻ドラム層数</t>
    <rPh sb="5" eb="6">
      <t>ジ</t>
    </rPh>
    <rPh sb="6" eb="8">
      <t>ヒキコミ</t>
    </rPh>
    <rPh sb="8" eb="10">
      <t>シュマキ</t>
    </rPh>
    <rPh sb="13" eb="14">
      <t>ソウ</t>
    </rPh>
    <rPh sb="14" eb="15">
      <t>スウ</t>
    </rPh>
    <phoneticPr fontId="1"/>
  </si>
  <si>
    <t>引込ワイヤロープ掛け方図BN3131A</t>
    <phoneticPr fontId="1"/>
  </si>
  <si>
    <t>ジブレスト時引込引込ドラム層数</t>
    <rPh sb="5" eb="6">
      <t>ジ</t>
    </rPh>
    <rPh sb="6" eb="8">
      <t>ヒキコミ</t>
    </rPh>
    <rPh sb="8" eb="10">
      <t>ヒキコミ</t>
    </rPh>
    <rPh sb="13" eb="14">
      <t>ソウ</t>
    </rPh>
    <rPh sb="14" eb="15">
      <t>スウ</t>
    </rPh>
    <phoneticPr fontId="1"/>
  </si>
  <si>
    <t>引込常用入限時引込引込ドラム回転数</t>
    <rPh sb="0" eb="2">
      <t>ヒキコミ</t>
    </rPh>
    <rPh sb="2" eb="4">
      <t>ジョウヨウ</t>
    </rPh>
    <rPh sb="4" eb="5">
      <t>イ</t>
    </rPh>
    <rPh sb="5" eb="6">
      <t>ゲン</t>
    </rPh>
    <rPh sb="6" eb="7">
      <t>ジ</t>
    </rPh>
    <rPh sb="7" eb="9">
      <t>ヒキコミ</t>
    </rPh>
    <rPh sb="9" eb="11">
      <t>ヒキコミ</t>
    </rPh>
    <rPh sb="14" eb="17">
      <t>カイテンスウ</t>
    </rPh>
    <phoneticPr fontId="1"/>
  </si>
  <si>
    <t>引込PG調整要領書（Lドライブ電気資料）</t>
    <phoneticPr fontId="1"/>
  </si>
  <si>
    <t>主巻最大繰り出し時揚程m</t>
    <rPh sb="0" eb="2">
      <t>シュマキ</t>
    </rPh>
    <rPh sb="2" eb="4">
      <t>サイダイ</t>
    </rPh>
    <rPh sb="4" eb="5">
      <t>ク</t>
    </rPh>
    <rPh sb="6" eb="7">
      <t>ダ</t>
    </rPh>
    <rPh sb="8" eb="9">
      <t>ジ</t>
    </rPh>
    <rPh sb="9" eb="11">
      <t>ヨウテイ</t>
    </rPh>
    <phoneticPr fontId="1"/>
  </si>
  <si>
    <t>初期値決定用R30m</t>
    <rPh sb="0" eb="3">
      <t>ショキチ</t>
    </rPh>
    <rPh sb="3" eb="5">
      <t>ケッテイ</t>
    </rPh>
    <rPh sb="5" eb="6">
      <t>ヨウ</t>
    </rPh>
    <phoneticPr fontId="1"/>
  </si>
  <si>
    <t>引込常用入時ドラム位置1層3溝目</t>
    <rPh sb="0" eb="2">
      <t>ヒキコミ</t>
    </rPh>
    <rPh sb="2" eb="4">
      <t>ジョウヨウ</t>
    </rPh>
    <rPh sb="4" eb="5">
      <t>イ</t>
    </rPh>
    <rPh sb="5" eb="6">
      <t>ジ</t>
    </rPh>
    <rPh sb="9" eb="11">
      <t>イチ</t>
    </rPh>
    <rPh sb="12" eb="13">
      <t>ソウ</t>
    </rPh>
    <rPh sb="14" eb="15">
      <t>ミゾ</t>
    </rPh>
    <rPh sb="15" eb="16">
      <t>メ</t>
    </rPh>
    <phoneticPr fontId="1"/>
  </si>
  <si>
    <t>あだ巻3</t>
    <rPh sb="2" eb="3">
      <t>マ</t>
    </rPh>
    <phoneticPr fontId="1"/>
  </si>
  <si>
    <t>休止状態（初期化）のパラメータ導出</t>
    <rPh sb="0" eb="2">
      <t>キュウシ</t>
    </rPh>
    <rPh sb="2" eb="4">
      <t>ジョウタイ</t>
    </rPh>
    <rPh sb="5" eb="8">
      <t>ショキカ</t>
    </rPh>
    <rPh sb="15" eb="17">
      <t>ドウシュツ</t>
    </rPh>
    <phoneticPr fontId="1"/>
  </si>
  <si>
    <t>R30の時の起伏角</t>
    <rPh sb="4" eb="5">
      <t>トキ</t>
    </rPh>
    <rPh sb="6" eb="9">
      <t>キフクカク</t>
    </rPh>
    <phoneticPr fontId="1"/>
  </si>
  <si>
    <t>R30の時のd</t>
    <rPh sb="4" eb="5">
      <t>トキ</t>
    </rPh>
    <phoneticPr fontId="1"/>
  </si>
  <si>
    <t>R45の時の起伏角</t>
    <rPh sb="4" eb="5">
      <t>トキ</t>
    </rPh>
    <rPh sb="6" eb="9">
      <t>キフクカク</t>
    </rPh>
    <phoneticPr fontId="1"/>
  </si>
  <si>
    <t>R45の時のd</t>
    <rPh sb="4" eb="5">
      <t>トキ</t>
    </rPh>
    <phoneticPr fontId="1"/>
  </si>
  <si>
    <t>R30時の層数</t>
    <rPh sb="3" eb="4">
      <t>ジ</t>
    </rPh>
    <rPh sb="5" eb="7">
      <t>ソウスウ</t>
    </rPh>
    <phoneticPr fontId="1"/>
  </si>
  <si>
    <t>Ddrm_bhb</t>
    <phoneticPr fontId="1"/>
  </si>
  <si>
    <t>Ta1_bh</t>
    <phoneticPr fontId="1"/>
  </si>
  <si>
    <t>Ta0_bh</t>
    <phoneticPr fontId="1"/>
  </si>
  <si>
    <t>Td1_bh</t>
    <phoneticPr fontId="1"/>
  </si>
  <si>
    <t>Ngr_bhb</t>
    <phoneticPr fontId="1"/>
  </si>
  <si>
    <t>減速器図面</t>
    <rPh sb="0" eb="3">
      <t>ゲンソクキ</t>
    </rPh>
    <rPh sb="3" eb="5">
      <t>ズメン</t>
    </rPh>
    <phoneticPr fontId="1"/>
  </si>
  <si>
    <t>ドラム図面</t>
    <rPh sb="3" eb="5">
      <t>ズメン</t>
    </rPh>
    <phoneticPr fontId="1"/>
  </si>
  <si>
    <t>図面</t>
    <rPh sb="0" eb="2">
      <t>ズメン</t>
    </rPh>
    <phoneticPr fontId="1"/>
  </si>
  <si>
    <t>あだ巻き+3付加</t>
    <rPh sb="2" eb="3">
      <t>マ</t>
    </rPh>
    <rPh sb="6" eb="8">
      <t>フカ</t>
    </rPh>
    <phoneticPr fontId="1"/>
  </si>
  <si>
    <t>R30 時のドラム径</t>
    <rPh sb="4" eb="5">
      <t>ジ</t>
    </rPh>
    <rPh sb="9" eb="10">
      <t>ケイ</t>
    </rPh>
    <phoneticPr fontId="1"/>
  </si>
  <si>
    <t>4層(3* 付加分）</t>
    <rPh sb="1" eb="2">
      <t>ソウ</t>
    </rPh>
    <rPh sb="6" eb="8">
      <t>フカ</t>
    </rPh>
    <rPh sb="8" eb="9">
      <t>ブン</t>
    </rPh>
    <phoneticPr fontId="1"/>
  </si>
  <si>
    <t>R30からR45でのロープ繰り出し量</t>
    <rPh sb="13" eb="14">
      <t>ク</t>
    </rPh>
    <rPh sb="15" eb="16">
      <t>ダ</t>
    </rPh>
    <rPh sb="17" eb="18">
      <t>リョウ</t>
    </rPh>
    <phoneticPr fontId="1"/>
  </si>
  <si>
    <t>仮定値</t>
    <rPh sb="0" eb="2">
      <t>カテイ</t>
    </rPh>
    <rPh sb="2" eb="3">
      <t>アタイ</t>
    </rPh>
    <phoneticPr fontId="1"/>
  </si>
  <si>
    <t>引込主巻と引込引込ドラム回転数の和</t>
    <rPh sb="0" eb="2">
      <t>ヒキコミ</t>
    </rPh>
    <rPh sb="2" eb="4">
      <t>シュマキ</t>
    </rPh>
    <rPh sb="5" eb="7">
      <t>ヒキコミ</t>
    </rPh>
    <rPh sb="7" eb="9">
      <t>ヒキコミ</t>
    </rPh>
    <rPh sb="12" eb="15">
      <t>カイテンスウ</t>
    </rPh>
    <rPh sb="16" eb="17">
      <t>ワ</t>
    </rPh>
    <phoneticPr fontId="1"/>
  </si>
  <si>
    <t>R30からR45ドラム回転量</t>
    <rPh sb="11" eb="14">
      <t>カイテンリョウ</t>
    </rPh>
    <phoneticPr fontId="1"/>
  </si>
  <si>
    <t>R45の引込引込ドラム回転量</t>
    <rPh sb="4" eb="6">
      <t>ヒキコミ</t>
    </rPh>
    <rPh sb="6" eb="8">
      <t>ヒキコミ</t>
    </rPh>
    <rPh sb="11" eb="14">
      <t>カイテンリョウ</t>
    </rPh>
    <phoneticPr fontId="1"/>
  </si>
  <si>
    <t>R45の引込主巻ドラム回転量</t>
    <rPh sb="4" eb="6">
      <t>ヒキコミ</t>
    </rPh>
    <rPh sb="6" eb="8">
      <t>シュマキ</t>
    </rPh>
    <rPh sb="11" eb="14">
      <t>カイテンリョウ</t>
    </rPh>
    <phoneticPr fontId="1"/>
  </si>
  <si>
    <t>R30からR45でのジブ先高さ変化量</t>
    <rPh sb="12" eb="13">
      <t>サキ</t>
    </rPh>
    <rPh sb="13" eb="14">
      <t>タカ</t>
    </rPh>
    <rPh sb="15" eb="18">
      <t>ヘンカリョウ</t>
    </rPh>
    <phoneticPr fontId="1"/>
  </si>
  <si>
    <t>R30からR45でのロープ長変化量</t>
    <rPh sb="13" eb="14">
      <t>チョウ</t>
    </rPh>
    <rPh sb="14" eb="17">
      <t>ヘンカリョウ</t>
    </rPh>
    <phoneticPr fontId="1"/>
  </si>
  <si>
    <t>R45で-1.65mから70.0mへの巻上量</t>
    <rPh sb="19" eb="22">
      <t>マキアゲリョウ</t>
    </rPh>
    <phoneticPr fontId="1"/>
  </si>
  <si>
    <t>R45で-1.65mから70.0 mへの巻取量</t>
    <rPh sb="20" eb="22">
      <t>マキトリ</t>
    </rPh>
    <rPh sb="22" eb="23">
      <t>リョウ</t>
    </rPh>
    <phoneticPr fontId="1"/>
  </si>
  <si>
    <t>主巻ドラム1層巻取り量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</si>
  <si>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主巻ドラム2層巻取り量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</si>
  <si>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主巻ドラム3層巻取り量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</si>
  <si>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主巻ドラム4層巻取り量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</si>
  <si>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主巻ドラム5層巻取り量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</si>
  <si>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主巻ドラム6層巻取り量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</si>
  <si>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R45,70mでの主巻ドラム回転量</t>
    <rPh sb="9" eb="11">
      <t>シュマキ</t>
    </rPh>
    <rPh sb="14" eb="17">
      <t>カイテンリョウ</t>
    </rPh>
    <phoneticPr fontId="1"/>
  </si>
  <si>
    <t>Tr</t>
    <phoneticPr fontId="1"/>
  </si>
  <si>
    <t>定格荷重（質量）ton</t>
    <rPh sb="0" eb="2">
      <t>テイカク</t>
    </rPh>
    <rPh sb="2" eb="4">
      <t>カジュウ</t>
    </rPh>
    <rPh sb="5" eb="7">
      <t>シツリョウ</t>
    </rPh>
    <phoneticPr fontId="1"/>
  </si>
  <si>
    <t>Mr</t>
    <phoneticPr fontId="1"/>
  </si>
  <si>
    <t>Pr0</t>
    <phoneticPr fontId="1"/>
  </si>
  <si>
    <t>定格必要パワー　Pr0=Mgv(kW)</t>
    <rPh sb="0" eb="2">
      <t>テイカク</t>
    </rPh>
    <rPh sb="2" eb="4">
      <t>ヒツヨウ</t>
    </rPh>
    <phoneticPr fontId="1"/>
  </si>
  <si>
    <t>定格トルク(モータ軸)     Tr=P/ω(Nm)</t>
    <rPh sb="0" eb="2">
      <t>テイカク</t>
    </rPh>
    <rPh sb="9" eb="10">
      <t>ジク</t>
    </rPh>
    <phoneticPr fontId="1"/>
  </si>
  <si>
    <t>定格必要トルク(モータ軸)    Tr0=MgR/nrope/gr</t>
    <rPh sb="0" eb="2">
      <t>テイカク</t>
    </rPh>
    <rPh sb="2" eb="4">
      <t>ヒツヨウ</t>
    </rPh>
    <phoneticPr fontId="1"/>
  </si>
  <si>
    <t>機構部慣性モーメントI（GD2/4）評価値</t>
    <rPh sb="0" eb="3">
      <t>キコウブ</t>
    </rPh>
    <rPh sb="3" eb="5">
      <t>カンセイ</t>
    </rPh>
    <rPh sb="18" eb="20">
      <t>ヒョウカ</t>
    </rPh>
    <rPh sb="20" eb="21">
      <t>アタイ</t>
    </rPh>
    <phoneticPr fontId="1"/>
  </si>
  <si>
    <t>50％定格トルク分で計算　</t>
    <rPh sb="3" eb="5">
      <t>テイカク</t>
    </rPh>
    <rPh sb="8" eb="9">
      <t>ブン</t>
    </rPh>
    <rPh sb="10" eb="12">
      <t>ケイサン</t>
    </rPh>
    <phoneticPr fontId="1"/>
  </si>
  <si>
    <t>定格必要パワー</t>
    <rPh sb="0" eb="2">
      <t>テイカク</t>
    </rPh>
    <rPh sb="2" eb="4">
      <t>ヒツヨウ</t>
    </rPh>
    <phoneticPr fontId="1"/>
  </si>
  <si>
    <t>NA</t>
    <phoneticPr fontId="1"/>
  </si>
  <si>
    <t>Ta0_sl</t>
    <phoneticPr fontId="1"/>
  </si>
  <si>
    <t>Ta1_sl</t>
    <phoneticPr fontId="1"/>
  </si>
  <si>
    <t>Td0_sl</t>
    <phoneticPr fontId="1"/>
  </si>
  <si>
    <t>Td1_sl</t>
    <phoneticPr fontId="1"/>
  </si>
  <si>
    <t>4ノッチ時</t>
    <rPh sb="4" eb="5">
      <t>ジ</t>
    </rPh>
    <phoneticPr fontId="1"/>
  </si>
  <si>
    <t>3ノッチ時</t>
    <rPh sb="4" eb="5">
      <t>ジ</t>
    </rPh>
    <phoneticPr fontId="1"/>
  </si>
  <si>
    <t>Ddrm0_sl</t>
    <phoneticPr fontId="1"/>
  </si>
  <si>
    <t>Ddrm1_sl</t>
    <phoneticPr fontId="1"/>
  </si>
  <si>
    <t>TTB径</t>
    <rPh sb="3" eb="4">
      <t>ケイ</t>
    </rPh>
    <phoneticPr fontId="1"/>
  </si>
  <si>
    <t>Ina</t>
    <phoneticPr fontId="1"/>
  </si>
  <si>
    <t>運転方案</t>
    <rPh sb="0" eb="4">
      <t>ウンテンホウアン</t>
    </rPh>
    <phoneticPr fontId="1"/>
  </si>
  <si>
    <t>通常減速</t>
    <rPh sb="0" eb="2">
      <t>ツウジョウ</t>
    </rPh>
    <rPh sb="2" eb="4">
      <t>ゲンソク</t>
    </rPh>
    <phoneticPr fontId="1"/>
  </si>
  <si>
    <t>0ノッチ減速</t>
    <rPh sb="4" eb="6">
      <t>ゲンソク</t>
    </rPh>
    <phoneticPr fontId="1"/>
  </si>
  <si>
    <t>Zbase</t>
    <phoneticPr fontId="1"/>
  </si>
  <si>
    <t>Rbase</t>
    <phoneticPr fontId="1"/>
  </si>
  <si>
    <t>Nttl_bh</t>
    <phoneticPr fontId="1"/>
  </si>
  <si>
    <t>Nbhb_base</t>
    <phoneticPr fontId="1"/>
  </si>
  <si>
    <t>Nbhm_base</t>
    <phoneticPr fontId="1"/>
  </si>
  <si>
    <t>√(Lb*Lb+Ha*Ha-2*cos(90°-th0))</t>
    <phoneticPr fontId="1"/>
  </si>
  <si>
    <t>ロープ掛け数0</t>
    <rPh sb="3" eb="4">
      <t>カ</t>
    </rPh>
    <rPh sb="5" eb="6">
      <t>スウ</t>
    </rPh>
    <phoneticPr fontId="1"/>
  </si>
  <si>
    <t>ロープ掛け数1</t>
    <rPh sb="3" eb="4">
      <t>カ</t>
    </rPh>
    <rPh sb="5" eb="6">
      <t>スウ</t>
    </rPh>
    <phoneticPr fontId="1"/>
  </si>
  <si>
    <t>Nrop0e_mh</t>
    <phoneticPr fontId="1"/>
  </si>
  <si>
    <t>Nrope1_mh</t>
    <phoneticPr fontId="1"/>
  </si>
  <si>
    <t>Nrope0_bh</t>
    <phoneticPr fontId="1"/>
  </si>
  <si>
    <t>Nrope1_bh</t>
    <phoneticPr fontId="1"/>
  </si>
  <si>
    <t>Nrope0_sl</t>
    <phoneticPr fontId="1"/>
  </si>
  <si>
    <t>Nrope1_sl</t>
    <phoneticPr fontId="1"/>
  </si>
  <si>
    <t>層付加直径mm</t>
    <rPh sb="0" eb="1">
      <t>ソウ</t>
    </rPh>
    <rPh sb="1" eb="3">
      <t>フカ</t>
    </rPh>
    <rPh sb="3" eb="5">
      <t>チョッケイ</t>
    </rPh>
    <phoneticPr fontId="1"/>
  </si>
  <si>
    <t>全スパン（主巻ロープ長）</t>
    <rPh sb="0" eb="1">
      <t>ゼン</t>
    </rPh>
    <rPh sb="5" eb="7">
      <t>シュマキ</t>
    </rPh>
    <rPh sb="10" eb="11">
      <t>チョウ</t>
    </rPh>
    <phoneticPr fontId="1"/>
  </si>
  <si>
    <t>全スパン（走行）</t>
    <rPh sb="0" eb="1">
      <t>ゼン</t>
    </rPh>
    <rPh sb="5" eb="7">
      <t>ソウコウ</t>
    </rPh>
    <phoneticPr fontId="1"/>
  </si>
  <si>
    <t>とりあえず1kmで設定</t>
    <rPh sb="9" eb="11">
      <t>セッテイ</t>
    </rPh>
    <phoneticPr fontId="1"/>
  </si>
  <si>
    <t>全スパン（旋回）</t>
    <rPh sb="0" eb="1">
      <t>ゼン</t>
    </rPh>
    <rPh sb="5" eb="7">
      <t>センカイ</t>
    </rPh>
    <phoneticPr fontId="1"/>
  </si>
  <si>
    <t>TTB周長</t>
    <rPh sb="3" eb="5">
      <t>シュウチョウ</t>
    </rPh>
    <phoneticPr fontId="1"/>
  </si>
  <si>
    <t>全スパン（引込）</t>
    <rPh sb="0" eb="1">
      <t>ゼン</t>
    </rPh>
    <rPh sb="5" eb="7">
      <t>ヒキコミ</t>
    </rPh>
    <phoneticPr fontId="1"/>
  </si>
  <si>
    <t>R45の時のジブ先高さ</t>
    <rPh sb="4" eb="5">
      <t>トキ</t>
    </rPh>
    <rPh sb="8" eb="9">
      <t>サキ</t>
    </rPh>
    <rPh sb="9" eb="10">
      <t>タカ</t>
    </rPh>
    <phoneticPr fontId="1"/>
  </si>
  <si>
    <t>R45の時の引込引込層数</t>
    <rPh sb="4" eb="5">
      <t>トキ</t>
    </rPh>
    <rPh sb="6" eb="10">
      <t>ヒキコミヒキコミ</t>
    </rPh>
    <rPh sb="10" eb="12">
      <t>ソウスウ</t>
    </rPh>
    <phoneticPr fontId="1"/>
  </si>
  <si>
    <t>R45の時の引込主巻層数</t>
    <rPh sb="4" eb="5">
      <t>トキ</t>
    </rPh>
    <rPh sb="6" eb="8">
      <t>ヒキコミ</t>
    </rPh>
    <rPh sb="8" eb="10">
      <t>シュマキ</t>
    </rPh>
    <rPh sb="10" eb="12">
      <t>ソウスウ</t>
    </rPh>
    <phoneticPr fontId="1"/>
  </si>
  <si>
    <t>引込ドラム1層巻取り量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</si>
  <si>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引込ドラム2層巻取り量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</si>
  <si>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引込ドラム3層巻取り量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</si>
  <si>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引込ドラム4層巻取り量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</si>
  <si>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引込ドラム5層巻取り量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</si>
  <si>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引込ドラム6層巻取り量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</si>
  <si>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ロープ掛け数4</t>
    <rPh sb="3" eb="4">
      <t>ガ</t>
    </rPh>
    <rPh sb="5" eb="6">
      <t>スウ</t>
    </rPh>
    <phoneticPr fontId="1"/>
  </si>
  <si>
    <t>ドラム径×π×(溝数-3)</t>
    <rPh sb="3" eb="4">
      <t>ケイ</t>
    </rPh>
    <rPh sb="8" eb="10">
      <t>ミゾスウ</t>
    </rPh>
    <phoneticPr fontId="1"/>
  </si>
  <si>
    <t>（ドラム径+層付加径）×π×溝数</t>
    <rPh sb="4" eb="5">
      <t>ケイ</t>
    </rPh>
    <rPh sb="6" eb="7">
      <t>ソウ</t>
    </rPh>
    <rPh sb="7" eb="9">
      <t>フカ</t>
    </rPh>
    <rPh sb="9" eb="10">
      <t>ケイ</t>
    </rPh>
    <rPh sb="14" eb="16">
      <t>ミゾスウ</t>
    </rPh>
    <phoneticPr fontId="1"/>
  </si>
  <si>
    <t>溝数*3層+4層目のロープ長/4層目ドラム周</t>
    <rPh sb="0" eb="2">
      <t>ミゾスウ</t>
    </rPh>
    <rPh sb="4" eb="5">
      <t>ソウ</t>
    </rPh>
    <rPh sb="7" eb="9">
      <t>ソウメ</t>
    </rPh>
    <rPh sb="13" eb="14">
      <t>チョウ</t>
    </rPh>
    <rPh sb="16" eb="18">
      <t>ソウメ</t>
    </rPh>
    <rPh sb="21" eb="22">
      <t>シュウ</t>
    </rPh>
    <phoneticPr fontId="1"/>
  </si>
  <si>
    <t>R45の時の引込ドラム巻取り量+d部ロープ長</t>
    <rPh sb="4" eb="5">
      <t>トキ</t>
    </rPh>
    <rPh sb="6" eb="8">
      <t>ヒキコミ</t>
    </rPh>
    <rPh sb="11" eb="13">
      <t>マキト</t>
    </rPh>
    <rPh sb="14" eb="15">
      <t>リョウ</t>
    </rPh>
    <rPh sb="17" eb="18">
      <t>ブ</t>
    </rPh>
    <rPh sb="21" eb="22">
      <t>チョウ</t>
    </rPh>
    <phoneticPr fontId="1"/>
  </si>
  <si>
    <t>R45,70mの時の揚程分主巻ロープ長</t>
    <rPh sb="8" eb="9">
      <t>トキ</t>
    </rPh>
    <rPh sb="10" eb="13">
      <t>ヨウテイブン</t>
    </rPh>
    <rPh sb="13" eb="15">
      <t>シュマキ</t>
    </rPh>
    <rPh sb="18" eb="19">
      <t>チョウ</t>
    </rPh>
    <phoneticPr fontId="1"/>
  </si>
  <si>
    <t>R45,70mでの主巻ドラム層数</t>
    <rPh sb="9" eb="11">
      <t>シュマキ</t>
    </rPh>
    <rPh sb="14" eb="16">
      <t>ソウスウ</t>
    </rPh>
    <phoneticPr fontId="1"/>
  </si>
  <si>
    <t>4本掛け分</t>
    <rPh sb="1" eb="2">
      <t>ホン</t>
    </rPh>
    <rPh sb="2" eb="3">
      <t>カ</t>
    </rPh>
    <rPh sb="4" eb="5">
      <t>ブン</t>
    </rPh>
    <phoneticPr fontId="1"/>
  </si>
  <si>
    <t>高速カウンタ旋回初期値</t>
    <rPh sb="6" eb="8">
      <t>センカイ</t>
    </rPh>
    <phoneticPr fontId="1"/>
  </si>
  <si>
    <t>０°</t>
    <phoneticPr fontId="1"/>
  </si>
  <si>
    <t>引込入限時d</t>
    <phoneticPr fontId="1"/>
  </si>
  <si>
    <t>引込入時ドラム巻取量</t>
    <rPh sb="0" eb="2">
      <t>ヒキコミ</t>
    </rPh>
    <rPh sb="2" eb="3">
      <t>イ</t>
    </rPh>
    <rPh sb="3" eb="4">
      <t>ジ</t>
    </rPh>
    <rPh sb="7" eb="9">
      <t>マキト</t>
    </rPh>
    <rPh sb="9" eb="10">
      <t>リョウ</t>
    </rPh>
    <phoneticPr fontId="1"/>
  </si>
  <si>
    <t>引込入時ドラム回転数</t>
    <rPh sb="0" eb="2">
      <t>ヒキコミ</t>
    </rPh>
    <rPh sb="2" eb="3">
      <t>イ</t>
    </rPh>
    <rPh sb="3" eb="4">
      <t>ジ</t>
    </rPh>
    <rPh sb="7" eb="10">
      <t>カイテンスウ</t>
    </rPh>
    <phoneticPr fontId="1"/>
  </si>
  <si>
    <t>高速カウンタ引込初期値(R45）</t>
    <rPh sb="6" eb="8">
      <t>ヒキコミ</t>
    </rPh>
    <phoneticPr fontId="1"/>
  </si>
  <si>
    <t>4×溝数＋(ドラム巻取り量－4層積算巻取量）/5層巻取量×溝数）</t>
    <rPh sb="2" eb="4">
      <t>ミゾスウ</t>
    </rPh>
    <rPh sb="9" eb="11">
      <t>マキト</t>
    </rPh>
    <rPh sb="12" eb="13">
      <t>リョウ</t>
    </rPh>
    <rPh sb="15" eb="16">
      <t>ソウ</t>
    </rPh>
    <rPh sb="16" eb="18">
      <t>セキサン</t>
    </rPh>
    <rPh sb="18" eb="20">
      <t>マキト</t>
    </rPh>
    <rPh sb="20" eb="21">
      <t>リョウ</t>
    </rPh>
    <rPh sb="24" eb="25">
      <t>ソウ</t>
    </rPh>
    <rPh sb="25" eb="27">
      <t>マキト</t>
    </rPh>
    <rPh sb="27" eb="28">
      <t>リョウ</t>
    </rPh>
    <rPh sb="29" eb="31">
      <t>ミゾスウ</t>
    </rPh>
    <phoneticPr fontId="1"/>
  </si>
  <si>
    <t>高速カウンタ主巻初期値(R45,H70)</t>
    <rPh sb="0" eb="2">
      <t>コウソク</t>
    </rPh>
    <rPh sb="6" eb="8">
      <t>シュマキ</t>
    </rPh>
    <rPh sb="8" eb="11">
      <t>ショキアタイ</t>
    </rPh>
    <phoneticPr fontId="1"/>
  </si>
  <si>
    <t>高巻非常限98.4m</t>
    <phoneticPr fontId="1"/>
  </si>
  <si>
    <t>高巻非常限から70mへの繰出量</t>
    <rPh sb="0" eb="1">
      <t>コウ</t>
    </rPh>
    <rPh sb="1" eb="2">
      <t>マキ</t>
    </rPh>
    <rPh sb="2" eb="4">
      <t>ヒジョウ</t>
    </rPh>
    <rPh sb="4" eb="5">
      <t>ゲン</t>
    </rPh>
    <rPh sb="12" eb="13">
      <t>ク</t>
    </rPh>
    <rPh sb="13" eb="14">
      <t>ダ</t>
    </rPh>
    <rPh sb="14" eb="15">
      <t>リョウ</t>
    </rPh>
    <phoneticPr fontId="1"/>
  </si>
  <si>
    <t>高巻非常限から70mへのドラム回転</t>
    <rPh sb="0" eb="1">
      <t>コウ</t>
    </rPh>
    <rPh sb="1" eb="2">
      <t>マキ</t>
    </rPh>
    <rPh sb="2" eb="4">
      <t>ヒジョウ</t>
    </rPh>
    <rPh sb="4" eb="5">
      <t>ゲン</t>
    </rPh>
    <rPh sb="15" eb="17">
      <t>カイテン</t>
    </rPh>
    <phoneticPr fontId="1"/>
  </si>
  <si>
    <t>2層溝数+1層分</t>
    <rPh sb="1" eb="2">
      <t>ソウ</t>
    </rPh>
    <rPh sb="2" eb="4">
      <t>ミゾスウ</t>
    </rPh>
    <rPh sb="6" eb="7">
      <t>ソウ</t>
    </rPh>
    <rPh sb="7" eb="8">
      <t>ブン</t>
    </rPh>
    <phoneticPr fontId="1"/>
  </si>
  <si>
    <t>R45,70mをプリセットポイントとした</t>
    <phoneticPr fontId="1"/>
  </si>
  <si>
    <t>50m</t>
    <phoneticPr fontId="1"/>
  </si>
  <si>
    <t>主巻アブソコーダ初期値(R45,H70)</t>
    <rPh sb="0" eb="2">
      <t>シュマキ</t>
    </rPh>
    <rPh sb="8" eb="10">
      <t>ショキ</t>
    </rPh>
    <rPh sb="10" eb="11">
      <t>アタイ</t>
    </rPh>
    <phoneticPr fontId="1"/>
  </si>
  <si>
    <t>走行アブソコーダ初期値</t>
    <rPh sb="0" eb="2">
      <t>ソウコウ</t>
    </rPh>
    <rPh sb="8" eb="11">
      <t>ショキチ</t>
    </rPh>
    <phoneticPr fontId="1"/>
  </si>
  <si>
    <t>旋回PG初期値</t>
    <rPh sb="0" eb="2">
      <t>センカイ</t>
    </rPh>
    <rPh sb="4" eb="7">
      <t>ショキアタイ</t>
    </rPh>
    <phoneticPr fontId="1"/>
  </si>
  <si>
    <t>10^8 -70mまでのドラム回転量*PG1周カウント*減速比</t>
    <rPh sb="15" eb="18">
      <t>カイテンリョウ</t>
    </rPh>
    <rPh sb="22" eb="23">
      <t>シュウ</t>
    </rPh>
    <rPh sb="28" eb="31">
      <t>ゲンソクヒ</t>
    </rPh>
    <phoneticPr fontId="1"/>
  </si>
  <si>
    <t>アブソコーダカウント/ドラム回転</t>
    <phoneticPr fontId="1"/>
  </si>
  <si>
    <t>/ドラム回転</t>
    <rPh sb="4" eb="6">
      <t>カイテン</t>
    </rPh>
    <phoneticPr fontId="1"/>
  </si>
  <si>
    <t>PGドラムカウント</t>
    <phoneticPr fontId="1"/>
  </si>
  <si>
    <t>ドラム1回転でのPGカウント</t>
    <rPh sb="4" eb="6">
      <t>カイテン</t>
    </rPh>
    <phoneticPr fontId="1"/>
  </si>
  <si>
    <t>引込入限半径30で1.0*10^8</t>
    <rPh sb="0" eb="2">
      <t>ヒキコミ</t>
    </rPh>
    <rPh sb="2" eb="3">
      <t>イ</t>
    </rPh>
    <rPh sb="3" eb="4">
      <t>ゲン</t>
    </rPh>
    <rPh sb="4" eb="6">
      <t>ハンケイ</t>
    </rPh>
    <phoneticPr fontId="1"/>
  </si>
  <si>
    <t>PGプリセット0ドラム回転数</t>
  </si>
  <si>
    <t>PGプリセット0ドラム回転数</t>
    <rPh sb="11" eb="14">
      <t>カイテンスウ</t>
    </rPh>
    <phoneticPr fontId="1"/>
  </si>
  <si>
    <t>PGプリセット0ドラム回転数</t>
    <phoneticPr fontId="1"/>
  </si>
  <si>
    <t>0m</t>
    <phoneticPr fontId="1"/>
  </si>
  <si>
    <t>アブソコーダプリセット0ドラム回転数</t>
    <rPh sb="15" eb="18">
      <t>カイテンスウ</t>
    </rPh>
    <phoneticPr fontId="1"/>
  </si>
  <si>
    <t>高巻1範囲非常上限98.4m</t>
    <phoneticPr fontId="1"/>
  </si>
  <si>
    <t>R45,0mが3層開始位置(プリセット）でドラム回転量を評価</t>
    <rPh sb="8" eb="9">
      <t>ソウ</t>
    </rPh>
    <rPh sb="9" eb="11">
      <t>カイシ</t>
    </rPh>
    <rPh sb="11" eb="13">
      <t>イチ</t>
    </rPh>
    <rPh sb="24" eb="26">
      <t>カイテン</t>
    </rPh>
    <rPh sb="26" eb="27">
      <t>リョウ</t>
    </rPh>
    <rPh sb="28" eb="30">
      <t>ヒョウカ</t>
    </rPh>
    <phoneticPr fontId="1"/>
  </si>
  <si>
    <t>R45,70mから導出　</t>
    <rPh sb="9" eb="11">
      <t>ドウシュツ</t>
    </rPh>
    <phoneticPr fontId="1"/>
  </si>
  <si>
    <t>アブソコーダプリセットドラム回転数</t>
    <phoneticPr fontId="1"/>
  </si>
  <si>
    <t>溝数×2 　3 層開始位置</t>
    <rPh sb="0" eb="2">
      <t>ミゾスウ</t>
    </rPh>
    <rPh sb="8" eb="9">
      <t>ソウ</t>
    </rPh>
    <rPh sb="9" eb="13">
      <t>カイシイチ</t>
    </rPh>
    <phoneticPr fontId="1"/>
  </si>
  <si>
    <t>高巻非常限かのドラム回転</t>
    <rPh sb="0" eb="1">
      <t>コウ</t>
    </rPh>
    <rPh sb="1" eb="2">
      <t>マキ</t>
    </rPh>
    <rPh sb="2" eb="4">
      <t>ヒジョウ</t>
    </rPh>
    <rPh sb="4" eb="5">
      <t>ゲン</t>
    </rPh>
    <rPh sb="10" eb="12">
      <t>カイテン</t>
    </rPh>
    <phoneticPr fontId="1"/>
  </si>
  <si>
    <t>最高速1800rpmの時のピニオン回転rpm</t>
    <rPh sb="0" eb="3">
      <t>サイコウソク</t>
    </rPh>
    <rPh sb="11" eb="12">
      <t>トキ</t>
    </rPh>
    <rPh sb="17" eb="19">
      <t>カイテン</t>
    </rPh>
    <phoneticPr fontId="1"/>
  </si>
  <si>
    <t>旋回1周に必要なピニオン回転数</t>
    <rPh sb="0" eb="2">
      <t>センカイ</t>
    </rPh>
    <rPh sb="3" eb="4">
      <t>シュウ</t>
    </rPh>
    <rPh sb="5" eb="7">
      <t>ヒツヨウ</t>
    </rPh>
    <rPh sb="12" eb="15">
      <t>カイテンスウ</t>
    </rPh>
    <phoneticPr fontId="1"/>
  </si>
  <si>
    <t>旋回1周に必要な分</t>
    <rPh sb="0" eb="2">
      <t>センカイ</t>
    </rPh>
    <rPh sb="3" eb="4">
      <t>シュウ</t>
    </rPh>
    <rPh sb="5" eb="7">
      <t>ヒツヨウ</t>
    </rPh>
    <rPh sb="8" eb="9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</si>
</sst>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;&quot;▲ &quot;0"/>
    <numFmt numFmtId="178" formatCode="0.00000_ "/>
    <numFmt numFmtId="179" formatCode="0.000000_ 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177" fontId="0" fillId="0" borderId="0" xfId="0" applyNumberFormat="1" applyBorder="1"/>
    <xf numFmtId="0" fontId="0" fillId="3" borderId="1" xfId="0" applyFill="1" applyBorder="1"/>
    <xf numFmtId="177" fontId="0" fillId="3" borderId="1" xfId="0" applyNumberFormat="1" applyFill="1" applyBorder="1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176" fontId="0" fillId="0" borderId="0" xfId="0" applyNumberFormat="1"/>
    <xf numFmtId="0" fontId="0" fillId="3" borderId="0" xfId="0" applyFill="1"/>
    <xf numFmtId="0" fontId="0" fillId="3" borderId="2" xfId="0" applyFill="1" applyBorder="1"/>
    <xf numFmtId="177" fontId="0" fillId="3" borderId="2" xfId="0" applyNumberFormat="1" applyFill="1" applyBorder="1"/>
    <xf numFmtId="0" fontId="0" fillId="0" borderId="3" xfId="0" applyBorder="1"/>
    <xf numFmtId="176" fontId="0" fillId="3" borderId="1" xfId="0" applyNumberFormat="1" applyFill="1" applyBorder="1"/>
    <xf numFmtId="0" fontId="0" fillId="5" borderId="1" xfId="0" applyFill="1" applyBorder="1"/>
    <xf numFmtId="176" fontId="0" fillId="5" borderId="1" xfId="0" applyNumberFormat="1" applyFill="1" applyBorder="1"/>
    <xf numFmtId="178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178" fontId="0" fillId="3" borderId="0" xfId="0" applyNumberFormat="1" applyFill="1"/>
    <xf numFmtId="176" fontId="0" fillId="3" borderId="0" xfId="0" applyNumberFormat="1" applyFill="1"/>
    <xf numFmtId="176" fontId="0" fillId="0" borderId="1" xfId="0" applyNumberFormat="1" applyFill="1" applyBorder="1"/>
    <xf numFmtId="178" fontId="0" fillId="0" borderId="1" xfId="0" applyNumberFormat="1" applyBorder="1"/>
    <xf numFmtId="179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554935</xdr:colOff>
      <xdr:row>22</xdr:row>
      <xdr:rowOff>163061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736E82-2906-2133-DE29-2FEE82EB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04413" cy="5447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346629</xdr:colOff>
      <xdr:row>13</xdr:row>
      <xdr:rowOff>178906</xdr:rowOff>
    </xdr:from>
    <xdr:to>
      <xdr:col>7</xdr:col>
      <xdr:colOff>188432</xdr:colOff>
      <xdr:row>28</xdr:row>
      <xdr:rowOff>133782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F723599-1E56-B3E4-D8DD-626DB435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2586" y="3301449"/>
          <a:ext cx="4397237" cy="3557811"/>
        </a:xfrm>
        <a:prstGeom prst="rect">
          <a:avLst/>
        </a:prstGeom>
      </xdr:spPr>
    </xdr:pic>
    <xdr:clientData/>
  </xdr:twoCellAnchor>
  <xdr:twoCellAnchor>
    <xdr:from>
      <xdr:col>4</xdr:col>
      <xdr:colOff>3177334</xdr:colOff>
      <xdr:row>29</xdr:row>
      <xdr:rowOff>24848</xdr:rowOff>
    </xdr:from>
    <xdr:to>
      <xdr:col>6</xdr:col>
      <xdr:colOff>679174</xdr:colOff>
      <xdr:row>36</xdr:row>
      <xdr:rowOff>8283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D1041FB4-9DBC-4D22-AE3F-CDE02056F2E4}"/>
            </a:ext>
          </a:extLst>
        </xdr:cNvPr>
        <xdr:cNvSpPr/>
      </xdr:nvSpPr>
      <xdr:spPr>
        <a:xfrm>
          <a:off x="10913291" y="6990522"/>
          <a:ext cx="1369818" cy="1664804"/>
        </a:xfrm>
        <a:custGeom>
          <a:avLst/>
          <a:gdLst>
            <a:gd name="connsiteX0" fmla="*/ 3187 w 1369818"/>
            <a:gd name="connsiteY0" fmla="*/ 1664804 h 1664804"/>
            <a:gd name="connsiteX1" fmla="*/ 1369818 w 1369818"/>
            <a:gd name="connsiteY1" fmla="*/ 0 h 1664804"/>
            <a:gd name="connsiteX2" fmla="*/ 3187 w 1369818"/>
            <a:gd name="connsiteY2" fmla="*/ 960782 h 1664804"/>
            <a:gd name="connsiteX3" fmla="*/ 3187 w 1369818"/>
            <a:gd name="connsiteY3" fmla="*/ 1664804 h 16648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69818" h="1664804">
              <a:moveTo>
                <a:pt x="3187" y="1664804"/>
              </a:moveTo>
              <a:lnTo>
                <a:pt x="1369818" y="0"/>
              </a:lnTo>
              <a:lnTo>
                <a:pt x="3187" y="960782"/>
              </a:lnTo>
              <a:cubicBezTo>
                <a:pt x="426" y="1209260"/>
                <a:pt x="-2334" y="1457739"/>
                <a:pt x="3187" y="1664804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132522</xdr:colOff>
      <xdr:row>30</xdr:row>
      <xdr:rowOff>91108</xdr:rowOff>
    </xdr:from>
    <xdr:to>
      <xdr:col>5</xdr:col>
      <xdr:colOff>405848</xdr:colOff>
      <xdr:row>31</xdr:row>
      <xdr:rowOff>157370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AAD70E8-E6E8-4A69-9F58-C758C41E0C25}"/>
            </a:ext>
          </a:extLst>
        </xdr:cNvPr>
        <xdr:cNvSpPr txBox="1"/>
      </xdr:nvSpPr>
      <xdr:spPr>
        <a:xfrm>
          <a:off x="11049000" y="7296978"/>
          <a:ext cx="273326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ｄ</a:t>
          </a:r>
        </a:p>
      </xdr:txBody>
    </xdr:sp>
    <xdr:clientData/>
  </xdr:twoCellAnchor>
  <xdr:twoCellAnchor>
    <xdr:from>
      <xdr:col>5</xdr:col>
      <xdr:colOff>0</xdr:colOff>
      <xdr:row>35</xdr:row>
      <xdr:rowOff>231913</xdr:rowOff>
    </xdr:from>
    <xdr:to>
      <xdr:col>7</xdr:col>
      <xdr:colOff>24848</xdr:colOff>
      <xdr:row>36</xdr:row>
      <xdr:rowOff>8283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CCCE9C9-0744-4463-93B8-A5DB83E77C2D}"/>
            </a:ext>
          </a:extLst>
        </xdr:cNvPr>
        <xdr:cNvCxnSpPr>
          <a:stCxn id="3" idx="0"/>
        </xdr:cNvCxnSpPr>
      </xdr:nvCxnSpPr>
      <xdr:spPr>
        <a:xfrm flipV="1">
          <a:off x="10916478" y="8638761"/>
          <a:ext cx="1399761" cy="165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588065</xdr:colOff>
      <xdr:row>36</xdr:row>
      <xdr:rowOff>41413</xdr:rowOff>
    </xdr:from>
    <xdr:to>
      <xdr:col>6</xdr:col>
      <xdr:colOff>405847</xdr:colOff>
      <xdr:row>37</xdr:row>
      <xdr:rowOff>107674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D4486C8-68D6-4DA0-AF6A-5EABF36269EE}"/>
            </a:ext>
          </a:extLst>
        </xdr:cNvPr>
        <xdr:cNvSpPr txBox="1"/>
      </xdr:nvSpPr>
      <xdr:spPr>
        <a:xfrm>
          <a:off x="11504543" y="8688456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30m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3023152</xdr:colOff>
      <xdr:row>33</xdr:row>
      <xdr:rowOff>8282</xdr:rowOff>
    </xdr:from>
    <xdr:to>
      <xdr:col>4</xdr:col>
      <xdr:colOff>3023152</xdr:colOff>
      <xdr:row>35</xdr:row>
      <xdr:rowOff>207065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5677D85-0882-46F3-A16B-1F4303EA89C4}"/>
            </a:ext>
          </a:extLst>
        </xdr:cNvPr>
        <xdr:cNvCxnSpPr/>
      </xdr:nvCxnSpPr>
      <xdr:spPr>
        <a:xfrm>
          <a:off x="10759109" y="7934739"/>
          <a:ext cx="0" cy="67917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2377108</xdr:colOff>
      <xdr:row>33</xdr:row>
      <xdr:rowOff>215347</xdr:rowOff>
    </xdr:from>
    <xdr:to>
      <xdr:col>4</xdr:col>
      <xdr:colOff>2882347</xdr:colOff>
      <xdr:row>35</xdr:row>
      <xdr:rowOff>41413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8E381AC-70AD-47DC-9D4A-CB51BA95A89A}"/>
            </a:ext>
          </a:extLst>
        </xdr:cNvPr>
        <xdr:cNvSpPr txBox="1"/>
      </xdr:nvSpPr>
      <xdr:spPr>
        <a:xfrm>
          <a:off x="10113065" y="8141804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35m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66261</xdr:colOff>
      <xdr:row>29</xdr:row>
      <xdr:rowOff>99391</xdr:rowOff>
    </xdr:from>
    <xdr:to>
      <xdr:col>7</xdr:col>
      <xdr:colOff>115957</xdr:colOff>
      <xdr:row>36</xdr:row>
      <xdr:rowOff>16566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06FBF69-0CB9-49F1-A1F2-3426FBC0DFA9}"/>
            </a:ext>
          </a:extLst>
        </xdr:cNvPr>
        <xdr:cNvCxnSpPr/>
      </xdr:nvCxnSpPr>
      <xdr:spPr>
        <a:xfrm flipV="1">
          <a:off x="10982739" y="7065065"/>
          <a:ext cx="1424609" cy="15985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82826</xdr:colOff>
      <xdr:row>32</xdr:row>
      <xdr:rowOff>198782</xdr:rowOff>
    </xdr:from>
    <xdr:to>
      <xdr:col>6</xdr:col>
      <xdr:colOff>588065</xdr:colOff>
      <xdr:row>34</xdr:row>
      <xdr:rowOff>24848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503D885-51A0-472A-B1A2-AD3DFF5F446E}"/>
            </a:ext>
          </a:extLst>
        </xdr:cNvPr>
        <xdr:cNvSpPr txBox="1"/>
      </xdr:nvSpPr>
      <xdr:spPr>
        <a:xfrm>
          <a:off x="11686761" y="7885043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84m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179332</xdr:colOff>
      <xdr:row>1</xdr:row>
      <xdr:rowOff>168494</xdr:rowOff>
    </xdr:from>
    <xdr:to>
      <xdr:col>8</xdr:col>
      <xdr:colOff>37443</xdr:colOff>
      <xdr:row>4</xdr:row>
      <xdr:rowOff>104775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FA431DC-169F-41AB-B16E-BA0F5082790C}"/>
            </a:ext>
          </a:extLst>
        </xdr:cNvPr>
        <xdr:cNvGrpSpPr/>
      </xdr:nvGrpSpPr>
      <xdr:grpSpPr>
        <a:xfrm>
          <a:off x="11822244" y="403818"/>
          <a:ext cx="1225228" cy="642251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E56D6B67-6CDA-EBE4-2703-6CFC5E7F08C3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8CB33E6D-E58F-BF2C-1129-B28BCBC58BFD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D58A53F1-A458-3F3E-9A00-CDCD1DDADF3C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47B77DD-1F7F-B02D-9E4F-642789CB1FAA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9416BFB9-8A8A-110F-91BB-F569B931826B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3A043247-66DF-185B-8AC3-FD9FE325A3D1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8DB228F-9781-42C9-805C-F9E3EDF81B12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28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28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2</xdr:col>
      <xdr:colOff>838148</xdr:colOff>
      <xdr:row>29</xdr:row>
      <xdr:rowOff>4523</xdr:rowOff>
    </xdr:from>
    <xdr:ext cx="2945575" cy="368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𝑃𝑟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𝑟𝑜𝑝𝑒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𝑟𝑝𝑚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𝑃𝑟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=𝑀𝑔𝑣=𝑀𝑔×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𝑑/𝑛_𝑟𝑜𝑝𝑒 ×𝑛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𝑟𝑝𝑚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1720412</xdr:colOff>
      <xdr:row>31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33</xdr:row>
      <xdr:rowOff>44902</xdr:rowOff>
    </xdr:from>
    <xdr:to>
      <xdr:col>4</xdr:col>
      <xdr:colOff>84116</xdr:colOff>
      <xdr:row>77</xdr:row>
      <xdr:rowOff>27212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6577CA8-CD88-C755-06F9-A9D4FBD4B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00973"/>
          <a:ext cx="7867402" cy="10759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28</xdr:row>
      <xdr:rowOff>142876</xdr:rowOff>
    </xdr:from>
    <xdr:to>
      <xdr:col>7</xdr:col>
      <xdr:colOff>27918</xdr:colOff>
      <xdr:row>31</xdr:row>
      <xdr:rowOff>66675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17C36C2-EB17-78F8-4351-C8F96B443B23}"/>
            </a:ext>
          </a:extLst>
        </xdr:cNvPr>
        <xdr:cNvGrpSpPr/>
      </xdr:nvGrpSpPr>
      <xdr:grpSpPr>
        <a:xfrm>
          <a:off x="10447282" y="6810376"/>
          <a:ext cx="1229711" cy="638174"/>
          <a:chOff x="10428232" y="3006944"/>
          <a:chExt cx="1229711" cy="630622"/>
        </a:xfrm>
      </xdr:grpSpPr>
      <xdr:sp macro="" textlink="">
        <xdr:nvSpPr>
          <xdr:cNvPr id="2" name="フローチャート: 結合子 1">
            <a:extLst>
              <a:ext uri="{FF2B5EF4-FFF2-40B4-BE49-F238E27FC236}">
                <a16:creationId xmlns:a16="http://schemas.microsoft.com/office/drawing/2014/main" id="{4E29456C-0703-4E16-75A8-C70168E7BB90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5DC8C066-D174-C62B-69C9-EAA3388F74C7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CAC119AD-2AFB-CDE8-C9E4-44B66351EB71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C82AC225-39A9-7590-E531-074FE160A31C}"/>
              </a:ext>
            </a:extLst>
          </xdr:cNvPr>
          <xdr:cNvCxnSpPr>
            <a:endCxn id="5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3655F8F3-B7DF-4034-5171-C898D544F3A3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二等辺三角形 4">
            <a:extLst>
              <a:ext uri="{FF2B5EF4-FFF2-40B4-BE49-F238E27FC236}">
                <a16:creationId xmlns:a16="http://schemas.microsoft.com/office/drawing/2014/main" id="{780DECA2-7190-0E0E-22FB-583B20CD2283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84E80F23-4713-589B-1B59-04F6D6A93413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31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31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34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25</xdr:row>
      <xdr:rowOff>28575</xdr:rowOff>
    </xdr:from>
    <xdr:to>
      <xdr:col>7</xdr:col>
      <xdr:colOff>27918</xdr:colOff>
      <xdr:row>28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3025012-1489-4A5C-8671-26EED0F0D3A1}"/>
            </a:ext>
          </a:extLst>
        </xdr:cNvPr>
        <xdr:cNvGrpSpPr/>
      </xdr:nvGrpSpPr>
      <xdr:grpSpPr>
        <a:xfrm>
          <a:off x="10866382" y="5981700"/>
          <a:ext cx="1429736" cy="752475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839D521E-887A-47AA-A71F-C6049A3F1BED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DF246403-EA22-6922-A88D-C138E17555E8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6E97AC90-8B89-21A5-9113-C76C0AF24E5D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A5C65D-427F-8791-F974-4EE25715BD92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766F0291-2DD6-E67E-9323-FC9C629D28D0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29EC6536-0AA6-DEF6-5417-3287BFF2CCFC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0A6B900-35B1-9E4E-E368-FB79F71BD288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28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28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31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1509560</xdr:colOff>
      <xdr:row>28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28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31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85" zoomScaleSheetLayoutView="115" workbookViewId="0">
      <selection activeCell="M24" sqref="M24"/>
    </sheetView>
  </sheetViews>
  <sheetFormatPr defaultRowHeight="18.75" x14ac:dyDescent="0.4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BDB-659A-4764-84C8-A020DF2BD027}">
  <dimension ref="A1:F69"/>
  <sheetViews>
    <sheetView zoomScale="115" zoomScaleNormal="115" workbookViewId="0">
      <selection activeCell="B60" sqref="B60"/>
    </sheetView>
  </sheetViews>
  <sheetFormatPr defaultRowHeight="18.75" x14ac:dyDescent="0.4"/>
  <cols>
    <col min="1" max="1" width="35" customWidth="1"/>
    <col min="2" max="2" width="11.625" bestFit="1" customWidth="1"/>
    <col min="3" max="3" width="14" customWidth="1"/>
    <col min="4" max="4" width="42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147</v>
      </c>
      <c r="B2" s="17">
        <v>70</v>
      </c>
      <c r="C2" s="2" t="s">
        <v>148</v>
      </c>
      <c r="D2" s="2"/>
      <c r="E2" s="2" t="s">
        <v>23</v>
      </c>
    </row>
    <row r="3" spans="1:5" x14ac:dyDescent="0.4">
      <c r="A3" s="2" t="s">
        <v>24</v>
      </c>
      <c r="B3" s="17">
        <v>84</v>
      </c>
      <c r="C3" s="2" t="s">
        <v>25</v>
      </c>
      <c r="D3" s="2"/>
      <c r="E3" s="2" t="s">
        <v>23</v>
      </c>
    </row>
    <row r="4" spans="1:5" x14ac:dyDescent="0.4">
      <c r="A4" s="2" t="s">
        <v>65</v>
      </c>
      <c r="B4" s="7">
        <v>3652</v>
      </c>
      <c r="C4" s="2" t="s">
        <v>68</v>
      </c>
      <c r="D4" s="2"/>
      <c r="E4" s="2" t="s">
        <v>67</v>
      </c>
    </row>
    <row r="5" spans="1:5" x14ac:dyDescent="0.4">
      <c r="A5" s="2" t="s">
        <v>103</v>
      </c>
      <c r="B5" s="2">
        <v>6</v>
      </c>
      <c r="C5" s="2"/>
      <c r="D5" s="2"/>
      <c r="E5" s="2" t="s">
        <v>104</v>
      </c>
    </row>
    <row r="6" spans="1:5" x14ac:dyDescent="0.4">
      <c r="A6" s="2" t="s">
        <v>105</v>
      </c>
      <c r="B6" s="2">
        <v>1</v>
      </c>
      <c r="C6" s="2"/>
      <c r="D6" s="2" t="s">
        <v>111</v>
      </c>
      <c r="E6" s="2" t="s">
        <v>104</v>
      </c>
    </row>
    <row r="7" spans="1:5" x14ac:dyDescent="0.4">
      <c r="A7" s="2" t="s">
        <v>42</v>
      </c>
      <c r="B7" s="17">
        <v>70</v>
      </c>
      <c r="C7" s="2" t="s">
        <v>170</v>
      </c>
      <c r="D7" s="2"/>
      <c r="E7" s="2" t="s">
        <v>31</v>
      </c>
    </row>
    <row r="8" spans="1:5" x14ac:dyDescent="0.4">
      <c r="A8" s="2" t="s">
        <v>30</v>
      </c>
      <c r="B8" s="17">
        <v>45</v>
      </c>
      <c r="C8" s="2" t="s">
        <v>171</v>
      </c>
      <c r="D8" s="2"/>
      <c r="E8" s="2" t="s">
        <v>31</v>
      </c>
    </row>
    <row r="9" spans="1:5" x14ac:dyDescent="0.4">
      <c r="A9" s="2" t="s">
        <v>106</v>
      </c>
      <c r="B9" s="2">
        <v>83.3</v>
      </c>
      <c r="C9" s="2"/>
      <c r="D9" s="2" t="s">
        <v>109</v>
      </c>
      <c r="E9" s="2" t="s">
        <v>107</v>
      </c>
    </row>
    <row r="10" spans="1:5" x14ac:dyDescent="0.4">
      <c r="A10" s="2" t="s">
        <v>131</v>
      </c>
      <c r="B10" s="7">
        <v>90</v>
      </c>
      <c r="C10" s="2" t="s">
        <v>172</v>
      </c>
      <c r="D10" s="2"/>
      <c r="E10" s="11" t="s">
        <v>130</v>
      </c>
    </row>
    <row r="11" spans="1:5" x14ac:dyDescent="0.4">
      <c r="A11" s="2" t="s">
        <v>108</v>
      </c>
      <c r="B11" s="2">
        <v>-1.65</v>
      </c>
      <c r="C11" s="2"/>
      <c r="D11" s="2" t="s">
        <v>110</v>
      </c>
      <c r="E11" s="2" t="s">
        <v>107</v>
      </c>
    </row>
    <row r="12" spans="1:5" x14ac:dyDescent="0.4">
      <c r="A12" s="2"/>
      <c r="B12" s="2"/>
      <c r="C12" s="2"/>
      <c r="D12" s="2"/>
      <c r="E12" s="2"/>
    </row>
    <row r="14" spans="1:5" x14ac:dyDescent="0.4">
      <c r="A14" t="s">
        <v>112</v>
      </c>
    </row>
    <row r="16" spans="1:5" x14ac:dyDescent="0.4">
      <c r="A16" t="s">
        <v>113</v>
      </c>
      <c r="B16">
        <f>ACOS(30/B3)</f>
        <v>1.2055891055045298</v>
      </c>
    </row>
    <row r="17" spans="1:4" x14ac:dyDescent="0.4">
      <c r="A17" t="s">
        <v>114</v>
      </c>
      <c r="B17">
        <f>SQRT(B3*B3+35*35-2*B3*35*COS(0.5*PI()-B16))</f>
        <v>52.808970176843545</v>
      </c>
      <c r="D17" t="s">
        <v>175</v>
      </c>
    </row>
    <row r="18" spans="1:4" x14ac:dyDescent="0.4">
      <c r="A18" t="s">
        <v>115</v>
      </c>
      <c r="B18">
        <f>ACOS(B8/B3)</f>
        <v>1.0054428965575637</v>
      </c>
    </row>
    <row r="19" spans="1:4" x14ac:dyDescent="0.4">
      <c r="A19" t="s">
        <v>116</v>
      </c>
      <c r="B19">
        <f>SQRT(B3*B3+35*35-2*B3*35*COS(0.5*PI()-B18))</f>
        <v>57.584129972020122</v>
      </c>
    </row>
    <row r="20" spans="1:4" x14ac:dyDescent="0.4">
      <c r="A20" t="s">
        <v>117</v>
      </c>
      <c r="B20">
        <f>(B9+3)/引込!B13</f>
        <v>4.1095238095238091</v>
      </c>
      <c r="C20" s="9" t="s">
        <v>126</v>
      </c>
    </row>
    <row r="21" spans="1:4" x14ac:dyDescent="0.4">
      <c r="A21" t="s">
        <v>127</v>
      </c>
      <c r="B21">
        <f>引込!B5+引込!B31*2*3</f>
        <v>969.41531628991834</v>
      </c>
      <c r="C21" s="10" t="s">
        <v>128</v>
      </c>
    </row>
    <row r="22" spans="1:4" x14ac:dyDescent="0.4">
      <c r="A22" t="s">
        <v>129</v>
      </c>
      <c r="B22">
        <f>(B19-B17)*6</f>
        <v>28.650958771059464</v>
      </c>
    </row>
    <row r="23" spans="1:4" x14ac:dyDescent="0.4">
      <c r="A23" t="s">
        <v>132</v>
      </c>
      <c r="B23">
        <f>B22/(B21/1000*PI())</f>
        <v>9.4076122712558607</v>
      </c>
    </row>
    <row r="24" spans="1:4" x14ac:dyDescent="0.4">
      <c r="A24" t="s">
        <v>133</v>
      </c>
      <c r="B24" s="13">
        <f>B9-B23</f>
        <v>73.89238772874414</v>
      </c>
      <c r="C24" t="s">
        <v>173</v>
      </c>
    </row>
    <row r="25" spans="1:4" x14ac:dyDescent="0.4">
      <c r="A25" t="s">
        <v>134</v>
      </c>
      <c r="B25" s="13">
        <f>B10-B24</f>
        <v>16.10761227125586</v>
      </c>
      <c r="C25" t="s">
        <v>174</v>
      </c>
    </row>
    <row r="26" spans="1:4" x14ac:dyDescent="0.4">
      <c r="A26" t="s">
        <v>192</v>
      </c>
      <c r="B26" s="21">
        <f>B24/引込!B13</f>
        <v>3.5186851299401973</v>
      </c>
    </row>
    <row r="27" spans="1:4" x14ac:dyDescent="0.4">
      <c r="A27" t="s">
        <v>193</v>
      </c>
      <c r="B27" s="21">
        <f>B25/主巻!B14</f>
        <v>0.76702915577408859</v>
      </c>
    </row>
    <row r="28" spans="1:4" x14ac:dyDescent="0.4">
      <c r="A28" t="s">
        <v>194</v>
      </c>
      <c r="B28">
        <f>引込!B5/1000*PI()*(引込!B13-3)</f>
        <v>40.715040790523723</v>
      </c>
      <c r="D28" t="s">
        <v>201</v>
      </c>
    </row>
    <row r="29" spans="1:4" x14ac:dyDescent="0.4">
      <c r="A29" t="s">
        <v>195</v>
      </c>
      <c r="B29">
        <f>(引込!B5+引込!B31)*PI()/1000*引込!B13</f>
        <v>50.243345560999806</v>
      </c>
    </row>
    <row r="30" spans="1:4" x14ac:dyDescent="0.4">
      <c r="A30" t="s">
        <v>196</v>
      </c>
      <c r="B30">
        <f>(引込!B5+引込!B31*2)*PI()/1000*引込!B13</f>
        <v>52.985810199721953</v>
      </c>
    </row>
    <row r="31" spans="1:4" x14ac:dyDescent="0.4">
      <c r="A31" t="s">
        <v>197</v>
      </c>
      <c r="B31">
        <f>(引込!B5+引込!B31*3)*PI()/1000*引込!B13</f>
        <v>55.728274838444086</v>
      </c>
    </row>
    <row r="32" spans="1:4" x14ac:dyDescent="0.4">
      <c r="A32" t="s">
        <v>198</v>
      </c>
      <c r="B32">
        <f>(引込!B5+引込!B31*4)*PI()/1000*引込!B13</f>
        <v>58.470739477166219</v>
      </c>
    </row>
    <row r="33" spans="1:6" x14ac:dyDescent="0.4">
      <c r="A33" t="s">
        <v>199</v>
      </c>
      <c r="B33">
        <f>(引込!B5+引込!B31*5)*PI()/1000*引込!B13</f>
        <v>61.21320411588836</v>
      </c>
    </row>
    <row r="35" spans="1:6" x14ac:dyDescent="0.4">
      <c r="A35" t="s">
        <v>135</v>
      </c>
      <c r="B35">
        <f>B3*(SIN(B18)-SIN(B16))</f>
        <v>-7.530638478510788</v>
      </c>
    </row>
    <row r="36" spans="1:6" x14ac:dyDescent="0.4">
      <c r="A36" t="s">
        <v>136</v>
      </c>
      <c r="B36">
        <f>B22/4</f>
        <v>7.1627396927648661</v>
      </c>
    </row>
    <row r="37" spans="1:6" x14ac:dyDescent="0.4">
      <c r="A37" t="s">
        <v>137</v>
      </c>
      <c r="B37" s="12">
        <f>B7-B11+B35+B36</f>
        <v>71.282101214254084</v>
      </c>
    </row>
    <row r="38" spans="1:6" x14ac:dyDescent="0.4">
      <c r="A38" t="s">
        <v>138</v>
      </c>
      <c r="B38">
        <f>B37*4</f>
        <v>285.12840485701633</v>
      </c>
      <c r="D38" t="s">
        <v>200</v>
      </c>
    </row>
    <row r="39" spans="1:6" x14ac:dyDescent="0.4">
      <c r="A39" t="s">
        <v>139</v>
      </c>
      <c r="B39">
        <f>主巻!B5*PI()*(主巻!B13-3)/1000</f>
        <v>60.770968291040951</v>
      </c>
      <c r="D39" t="s">
        <v>201</v>
      </c>
    </row>
    <row r="40" spans="1:6" x14ac:dyDescent="0.4">
      <c r="A40" t="s">
        <v>140</v>
      </c>
      <c r="B40">
        <f>(主巻!B5+主巻!B28)*PI()*主巻!B13/1000</f>
        <v>71.09221058220642</v>
      </c>
      <c r="D40" t="s">
        <v>202</v>
      </c>
    </row>
    <row r="41" spans="1:6" x14ac:dyDescent="0.4">
      <c r="A41" t="s">
        <v>141</v>
      </c>
      <c r="B41">
        <f>(主巻!B5+主巻!B28*2)*PI()*主巻!B13/1000</f>
        <v>75.53239142585177</v>
      </c>
      <c r="D41" t="s">
        <v>202</v>
      </c>
    </row>
    <row r="42" spans="1:6" x14ac:dyDescent="0.4">
      <c r="A42" t="s">
        <v>142</v>
      </c>
      <c r="B42">
        <f>(主巻!B5+主巻!B28*3)*PI()*主巻!B13/1000</f>
        <v>79.972572269497149</v>
      </c>
      <c r="D42" t="s">
        <v>202</v>
      </c>
    </row>
    <row r="43" spans="1:6" x14ac:dyDescent="0.4">
      <c r="A43" t="s">
        <v>143</v>
      </c>
      <c r="B43">
        <f>(主巻!B5+主巻!B28*4)*PI()*主巻!B13/1000</f>
        <v>84.4127531131425</v>
      </c>
      <c r="D43" t="s">
        <v>202</v>
      </c>
    </row>
    <row r="44" spans="1:6" x14ac:dyDescent="0.4">
      <c r="A44" t="s">
        <v>144</v>
      </c>
      <c r="B44">
        <f>(主巻!B5+主巻!B28*5)*PI()*主巻!B13/1000</f>
        <v>88.852933956787879</v>
      </c>
      <c r="D44" t="s">
        <v>202</v>
      </c>
    </row>
    <row r="45" spans="1:6" x14ac:dyDescent="0.4">
      <c r="A45" t="s">
        <v>145</v>
      </c>
      <c r="B45" s="13">
        <f>主巻!B13*2+70*主巻!B7/((主巻!B5+主巻!B28*3)/1000*PI())</f>
        <v>187.04081274163397</v>
      </c>
      <c r="D45" t="s">
        <v>203</v>
      </c>
      <c r="E45" t="s">
        <v>237</v>
      </c>
    </row>
    <row r="46" spans="1:6" x14ac:dyDescent="0.4">
      <c r="A46" t="s">
        <v>206</v>
      </c>
      <c r="B46" s="27">
        <f>B45/主巻!B13</f>
        <v>5.5012003747539406</v>
      </c>
    </row>
    <row r="48" spans="1:6" x14ac:dyDescent="0.4">
      <c r="A48" t="s">
        <v>191</v>
      </c>
      <c r="B48">
        <f>B3*SIN(B18)+35</f>
        <v>105.92954250522133</v>
      </c>
      <c r="F48">
        <f>17408/34</f>
        <v>512</v>
      </c>
    </row>
    <row r="49" spans="1:4" x14ac:dyDescent="0.4">
      <c r="A49" t="s">
        <v>205</v>
      </c>
      <c r="B49" s="20">
        <f>(B48-B2)*4</f>
        <v>143.71817002088534</v>
      </c>
      <c r="D49" t="s">
        <v>207</v>
      </c>
    </row>
    <row r="51" spans="1:4" x14ac:dyDescent="0.4">
      <c r="A51" t="s">
        <v>185</v>
      </c>
      <c r="B51" s="13">
        <f>B39+B40+B41+B42+B43+B25*引込!B5/1000*PI()+B49</f>
        <v>551.93362629496437</v>
      </c>
      <c r="D51" t="s">
        <v>238</v>
      </c>
    </row>
    <row r="52" spans="1:4" s="22" customFormat="1" ht="24" customHeight="1" x14ac:dyDescent="0.4">
      <c r="A52" t="s">
        <v>190</v>
      </c>
      <c r="B52" s="23">
        <f>B19*引込!B7+B28+B29+B30+B31*(B26-3)</f>
        <v>518.35440385928769</v>
      </c>
      <c r="C52"/>
      <c r="D52" t="s">
        <v>204</v>
      </c>
    </row>
    <row r="53" spans="1:4" x14ac:dyDescent="0.4">
      <c r="A53" t="s">
        <v>188</v>
      </c>
      <c r="B53" s="23">
        <f>PI()*B4/1000</f>
        <v>11.473096370909925</v>
      </c>
      <c r="D53" t="s">
        <v>189</v>
      </c>
    </row>
    <row r="54" spans="1:4" x14ac:dyDescent="0.4">
      <c r="A54" t="s">
        <v>186</v>
      </c>
      <c r="B54" s="24">
        <v>1000</v>
      </c>
      <c r="D54" t="s">
        <v>187</v>
      </c>
    </row>
    <row r="57" spans="1:4" x14ac:dyDescent="0.4">
      <c r="A57" t="s">
        <v>217</v>
      </c>
      <c r="B57">
        <f>(98.4-70)*4</f>
        <v>113.60000000000002</v>
      </c>
      <c r="D57" t="s">
        <v>216</v>
      </c>
    </row>
    <row r="58" spans="1:4" x14ac:dyDescent="0.4">
      <c r="A58" t="s">
        <v>218</v>
      </c>
      <c r="B58">
        <f>B57/(PI()*(主巻!B5+主巻!B28*5)/1000)</f>
        <v>43.469583141491007</v>
      </c>
      <c r="D58" t="s">
        <v>219</v>
      </c>
    </row>
    <row r="59" spans="1:4" x14ac:dyDescent="0.4">
      <c r="A59" t="s">
        <v>241</v>
      </c>
      <c r="B59">
        <f>B45+B58</f>
        <v>230.51039588312497</v>
      </c>
    </row>
    <row r="60" spans="1:4" x14ac:dyDescent="0.4">
      <c r="A60" t="s">
        <v>215</v>
      </c>
      <c r="B60" s="13">
        <f>10^8-B58*主巻!B16*主巻!B17*主巻!B4</f>
        <v>97228718.789403707</v>
      </c>
      <c r="D60" t="s">
        <v>225</v>
      </c>
    </row>
    <row r="61" spans="1:4" x14ac:dyDescent="0.4">
      <c r="A61" t="s">
        <v>222</v>
      </c>
      <c r="B61" s="13">
        <v>50000</v>
      </c>
      <c r="D61" t="s">
        <v>220</v>
      </c>
    </row>
    <row r="62" spans="1:4" x14ac:dyDescent="0.4">
      <c r="A62" t="s">
        <v>210</v>
      </c>
      <c r="B62">
        <f>B17</f>
        <v>52.808970176843545</v>
      </c>
    </row>
    <row r="63" spans="1:4" x14ac:dyDescent="0.4">
      <c r="A63" t="s">
        <v>211</v>
      </c>
      <c r="B63">
        <f>B52-B62*引込!B7</f>
        <v>201.50058279822645</v>
      </c>
    </row>
    <row r="64" spans="1:4" x14ac:dyDescent="0.4">
      <c r="A64" t="s">
        <v>212</v>
      </c>
      <c r="B64">
        <f>4*引込!B13+(B63-B28-B29-B30-B31)/B32*引込!B13</f>
        <v>84.656573525878983</v>
      </c>
      <c r="D64" t="s">
        <v>214</v>
      </c>
    </row>
    <row r="65" spans="1:4" x14ac:dyDescent="0.4">
      <c r="A65" t="s">
        <v>213</v>
      </c>
      <c r="B65" s="13">
        <f>86673*1000-B23*引込!B16*引込!B17*引込!B4</f>
        <v>85167878.370548725</v>
      </c>
      <c r="D65" t="s">
        <v>230</v>
      </c>
    </row>
    <row r="66" spans="1:4" x14ac:dyDescent="0.4">
      <c r="A66" t="s">
        <v>208</v>
      </c>
      <c r="B66" s="13">
        <v>15000000</v>
      </c>
      <c r="D66" t="s">
        <v>209</v>
      </c>
    </row>
    <row r="68" spans="1:4" x14ac:dyDescent="0.4">
      <c r="A68" t="s">
        <v>223</v>
      </c>
      <c r="B68">
        <f>走行!B25</f>
        <v>31.830988618379067</v>
      </c>
      <c r="D68" t="s">
        <v>221</v>
      </c>
    </row>
    <row r="69" spans="1:4" x14ac:dyDescent="0.4">
      <c r="A69" t="s">
        <v>224</v>
      </c>
      <c r="B69">
        <f>旋回!B19</f>
        <v>15000000</v>
      </c>
      <c r="D69" t="s">
        <v>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5C30-1852-48AC-87AC-AC21546EABAB}">
  <dimension ref="A1:F32"/>
  <sheetViews>
    <sheetView tabSelected="1" zoomScale="85" zoomScaleNormal="85" workbookViewId="0">
      <selection activeCell="D20" sqref="D20"/>
    </sheetView>
  </sheetViews>
  <sheetFormatPr defaultRowHeight="18.75" x14ac:dyDescent="0.4"/>
  <cols>
    <col min="1" max="1" width="42" customWidth="1"/>
    <col min="2" max="2" width="10.5" bestFit="1" customWidth="1"/>
    <col min="3" max="3" width="14" customWidth="1"/>
    <col min="4" max="4" width="35.625" customWidth="1"/>
    <col min="5" max="5" width="41.75" customWidth="1"/>
  </cols>
  <sheetData>
    <row r="1" spans="1:5" x14ac:dyDescent="0.4">
      <c r="A1" s="1" t="s">
        <v>97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750</v>
      </c>
      <c r="C2" s="2" t="s">
        <v>61</v>
      </c>
      <c r="D2" s="2" t="s">
        <v>16</v>
      </c>
      <c r="E2" s="2" t="s">
        <v>33</v>
      </c>
    </row>
    <row r="3" spans="1:5" x14ac:dyDescent="0.4">
      <c r="A3" s="2" t="s">
        <v>6</v>
      </c>
      <c r="B3" s="2">
        <v>220</v>
      </c>
      <c r="C3" s="2" t="s">
        <v>32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31.129000000000001</v>
      </c>
      <c r="C4" s="2" t="s">
        <v>35</v>
      </c>
      <c r="D4" s="2" t="s">
        <v>18</v>
      </c>
      <c r="E4" s="2" t="s">
        <v>36</v>
      </c>
    </row>
    <row r="5" spans="1:5" x14ac:dyDescent="0.4">
      <c r="A5" s="2" t="s">
        <v>85</v>
      </c>
      <c r="B5" s="3">
        <v>624</v>
      </c>
      <c r="C5" s="2" t="s">
        <v>54</v>
      </c>
      <c r="D5" s="2"/>
      <c r="E5" s="2" t="s">
        <v>41</v>
      </c>
    </row>
    <row r="6" spans="1:5" x14ac:dyDescent="0.4">
      <c r="A6" s="2" t="s">
        <v>86</v>
      </c>
      <c r="B6" s="3">
        <v>720</v>
      </c>
      <c r="C6" s="2" t="s">
        <v>84</v>
      </c>
      <c r="D6" s="2"/>
      <c r="E6" s="2" t="s">
        <v>28</v>
      </c>
    </row>
    <row r="7" spans="1:5" x14ac:dyDescent="0.4">
      <c r="A7" s="2" t="s">
        <v>176</v>
      </c>
      <c r="B7" s="2">
        <v>4</v>
      </c>
      <c r="C7" s="2" t="s">
        <v>178</v>
      </c>
      <c r="D7" s="2"/>
      <c r="E7" s="2" t="s">
        <v>40</v>
      </c>
    </row>
    <row r="8" spans="1:5" x14ac:dyDescent="0.4">
      <c r="A8" s="2" t="s">
        <v>177</v>
      </c>
      <c r="B8" s="2">
        <v>2</v>
      </c>
      <c r="C8" s="2" t="s">
        <v>179</v>
      </c>
      <c r="D8" s="2"/>
      <c r="E8" s="2" t="s">
        <v>40</v>
      </c>
    </row>
    <row r="9" spans="1:5" x14ac:dyDescent="0.4">
      <c r="A9" s="2" t="s">
        <v>78</v>
      </c>
      <c r="B9" s="2">
        <v>1.5</v>
      </c>
      <c r="C9" s="2" t="s">
        <v>77</v>
      </c>
      <c r="D9" s="2" t="s">
        <v>38</v>
      </c>
      <c r="E9" s="2" t="s">
        <v>37</v>
      </c>
    </row>
    <row r="10" spans="1:5" x14ac:dyDescent="0.4">
      <c r="A10" s="2" t="s">
        <v>79</v>
      </c>
      <c r="B10" s="2">
        <v>2.5</v>
      </c>
      <c r="C10" s="2" t="s">
        <v>82</v>
      </c>
      <c r="D10" s="2" t="s">
        <v>39</v>
      </c>
      <c r="E10" s="2" t="s">
        <v>37</v>
      </c>
    </row>
    <row r="11" spans="1:5" x14ac:dyDescent="0.4">
      <c r="A11" s="2" t="s">
        <v>80</v>
      </c>
      <c r="B11" s="2">
        <v>1.5</v>
      </c>
      <c r="C11" s="2" t="s">
        <v>51</v>
      </c>
      <c r="D11" s="2" t="s">
        <v>38</v>
      </c>
      <c r="E11" s="2" t="s">
        <v>37</v>
      </c>
    </row>
    <row r="12" spans="1:5" x14ac:dyDescent="0.4">
      <c r="A12" s="2" t="s">
        <v>81</v>
      </c>
      <c r="B12" s="2">
        <v>2.5</v>
      </c>
      <c r="C12" s="2" t="s">
        <v>83</v>
      </c>
      <c r="D12" s="2" t="s">
        <v>39</v>
      </c>
      <c r="E12" s="2" t="s">
        <v>37</v>
      </c>
    </row>
    <row r="13" spans="1:5" x14ac:dyDescent="0.4">
      <c r="A13" s="2" t="s">
        <v>87</v>
      </c>
      <c r="B13" s="2">
        <v>34</v>
      </c>
      <c r="C13" s="2" t="s">
        <v>53</v>
      </c>
      <c r="D13" s="2"/>
      <c r="E13" s="2" t="s">
        <v>41</v>
      </c>
    </row>
    <row r="14" spans="1:5" x14ac:dyDescent="0.4">
      <c r="A14" s="2" t="s">
        <v>88</v>
      </c>
      <c r="B14" s="2">
        <v>21</v>
      </c>
      <c r="C14" s="2" t="s">
        <v>46</v>
      </c>
      <c r="D14" s="2"/>
      <c r="E14" s="2" t="s">
        <v>28</v>
      </c>
    </row>
    <row r="15" spans="1:5" x14ac:dyDescent="0.4">
      <c r="A15" s="18" t="s">
        <v>26</v>
      </c>
      <c r="B15" s="18">
        <v>24</v>
      </c>
      <c r="C15" s="18" t="s">
        <v>45</v>
      </c>
      <c r="D15" s="18"/>
      <c r="E15" s="18" t="s">
        <v>40</v>
      </c>
    </row>
    <row r="16" spans="1:5" x14ac:dyDescent="0.4">
      <c r="A16" s="2" t="s">
        <v>89</v>
      </c>
      <c r="B16" s="11">
        <v>512</v>
      </c>
      <c r="C16" s="2" t="s">
        <v>49</v>
      </c>
      <c r="D16" s="2" t="s">
        <v>12</v>
      </c>
      <c r="E16" s="2" t="s">
        <v>34</v>
      </c>
    </row>
    <row r="17" spans="1:6" x14ac:dyDescent="0.4">
      <c r="A17" s="2" t="s">
        <v>11</v>
      </c>
      <c r="B17" s="11">
        <v>4</v>
      </c>
      <c r="C17" s="2" t="s">
        <v>50</v>
      </c>
      <c r="D17" s="2" t="s">
        <v>19</v>
      </c>
      <c r="E17" s="2" t="s">
        <v>34</v>
      </c>
    </row>
    <row r="18" spans="1:6" x14ac:dyDescent="0.4">
      <c r="A18" s="2" t="s">
        <v>228</v>
      </c>
      <c r="B18" s="2">
        <f>B16*4*B4</f>
        <v>63752.192000000003</v>
      </c>
      <c r="C18" s="2"/>
      <c r="D18" s="2" t="s">
        <v>229</v>
      </c>
      <c r="E18" s="2"/>
    </row>
    <row r="19" spans="1:6" x14ac:dyDescent="0.4">
      <c r="A19" s="2" t="s">
        <v>90</v>
      </c>
      <c r="B19" s="2">
        <v>100000000</v>
      </c>
      <c r="C19" s="2"/>
      <c r="D19" s="2" t="s">
        <v>236</v>
      </c>
      <c r="E19" s="2" t="s">
        <v>91</v>
      </c>
    </row>
    <row r="20" spans="1:6" x14ac:dyDescent="0.4">
      <c r="A20" s="2" t="s">
        <v>233</v>
      </c>
      <c r="B20" s="2">
        <v>230.51</v>
      </c>
      <c r="C20" s="2"/>
      <c r="D20" s="2"/>
      <c r="E20" s="2"/>
    </row>
    <row r="21" spans="1:6" x14ac:dyDescent="0.4">
      <c r="A21" s="18" t="s">
        <v>43</v>
      </c>
      <c r="B21" s="19">
        <v>2</v>
      </c>
      <c r="C21" s="18"/>
      <c r="D21" s="18"/>
      <c r="E21" s="18" t="s">
        <v>96</v>
      </c>
    </row>
    <row r="22" spans="1:6" x14ac:dyDescent="0.4">
      <c r="A22" s="18" t="s">
        <v>44</v>
      </c>
      <c r="B22" s="19">
        <v>128</v>
      </c>
      <c r="C22" s="18"/>
      <c r="D22" s="18"/>
      <c r="E22" s="18" t="s">
        <v>96</v>
      </c>
    </row>
    <row r="23" spans="1:6" x14ac:dyDescent="0.4">
      <c r="A23" s="2" t="s">
        <v>226</v>
      </c>
      <c r="B23" s="3">
        <v>512</v>
      </c>
      <c r="C23" s="2" t="s">
        <v>48</v>
      </c>
      <c r="D23" s="2" t="s">
        <v>227</v>
      </c>
      <c r="E23" s="2" t="s">
        <v>96</v>
      </c>
    </row>
    <row r="24" spans="1:6" x14ac:dyDescent="0.4">
      <c r="A24" s="2" t="s">
        <v>93</v>
      </c>
      <c r="B24" s="3">
        <v>50000</v>
      </c>
      <c r="C24" s="2"/>
      <c r="D24" s="2" t="s">
        <v>94</v>
      </c>
      <c r="E24" s="2" t="s">
        <v>96</v>
      </c>
    </row>
    <row r="25" spans="1:6" x14ac:dyDescent="0.4">
      <c r="A25" s="2" t="s">
        <v>239</v>
      </c>
      <c r="B25" s="3">
        <f>B13*2</f>
        <v>68</v>
      </c>
      <c r="C25" s="2"/>
      <c r="D25" s="2" t="s">
        <v>240</v>
      </c>
      <c r="E25" s="2" t="s">
        <v>96</v>
      </c>
    </row>
    <row r="26" spans="1:6" x14ac:dyDescent="0.4">
      <c r="A26" s="5"/>
      <c r="B26" s="6"/>
      <c r="C26" s="5"/>
      <c r="D26" s="5"/>
      <c r="E26" s="5"/>
      <c r="F26" s="5"/>
    </row>
    <row r="27" spans="1:6" x14ac:dyDescent="0.4">
      <c r="A27" s="7" t="s">
        <v>98</v>
      </c>
      <c r="B27" s="8" t="s">
        <v>99</v>
      </c>
      <c r="C27" s="7" t="s">
        <v>100</v>
      </c>
      <c r="D27" s="7" t="s">
        <v>101</v>
      </c>
      <c r="E27" s="7" t="s">
        <v>102</v>
      </c>
      <c r="F27" s="5"/>
    </row>
    <row r="28" spans="1:6" x14ac:dyDescent="0.4">
      <c r="A28" s="2" t="s">
        <v>184</v>
      </c>
      <c r="B28" s="2">
        <f>2*B15/2*SQRT(3)</f>
        <v>41.569219381653056</v>
      </c>
      <c r="C28" s="2" t="s">
        <v>47</v>
      </c>
      <c r="D28" s="2"/>
      <c r="E28" s="2" t="s">
        <v>40</v>
      </c>
    </row>
    <row r="29" spans="1:6" x14ac:dyDescent="0.4">
      <c r="A29" s="2" t="s">
        <v>151</v>
      </c>
      <c r="B29" s="2">
        <f>B3*1000/(2*PI()*B2/60)</f>
        <v>2801.1269984173578</v>
      </c>
      <c r="C29" s="2" t="s">
        <v>146</v>
      </c>
      <c r="D29" s="2"/>
      <c r="E29" s="2"/>
    </row>
    <row r="30" spans="1:6" ht="31.5" customHeight="1" x14ac:dyDescent="0.4">
      <c r="A30" s="2" t="s">
        <v>150</v>
      </c>
      <c r="B30" s="2">
        <f>70*1000*9.81*(PI()*B5/1000)*(B2/60/B4)/B8/1000</f>
        <v>270.28152312500987</v>
      </c>
      <c r="C30" s="2" t="s">
        <v>149</v>
      </c>
      <c r="D30" s="2"/>
      <c r="E30" s="2"/>
    </row>
    <row r="31" spans="1:6" x14ac:dyDescent="0.4">
      <c r="A31" s="2" t="s">
        <v>152</v>
      </c>
      <c r="B31" s="2">
        <f>70*1000*B5/1000/2/B8/B4</f>
        <v>350.79829098268493</v>
      </c>
      <c r="C31" s="2"/>
      <c r="D31" s="2"/>
      <c r="E31" s="2"/>
    </row>
    <row r="32" spans="1:6" x14ac:dyDescent="0.4">
      <c r="A32" s="2" t="s">
        <v>153</v>
      </c>
      <c r="B32" s="2">
        <f>B29*0.5/(2*PI()*B2/60/B9)</f>
        <v>26.748792481577169</v>
      </c>
      <c r="C32" s="2"/>
      <c r="D32" s="2" t="s">
        <v>154</v>
      </c>
      <c r="E32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0A8-C90F-4D71-844D-9736FC79A859}">
  <dimension ref="A1:E35"/>
  <sheetViews>
    <sheetView zoomScaleNormal="100" workbookViewId="0">
      <selection activeCell="B2" sqref="B2"/>
    </sheetView>
  </sheetViews>
  <sheetFormatPr defaultRowHeight="18.75" x14ac:dyDescent="0.4"/>
  <cols>
    <col min="1" max="1" width="36.375" customWidth="1"/>
    <col min="2" max="2" width="9.5" bestFit="1" customWidth="1"/>
    <col min="3" max="3" width="11.625" customWidth="1"/>
    <col min="4" max="4" width="35.625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7">
        <v>1650</v>
      </c>
      <c r="C2" s="2" t="s">
        <v>60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90</v>
      </c>
      <c r="C3" s="2" t="s">
        <v>14</v>
      </c>
      <c r="D3" s="2"/>
      <c r="E3" s="2" t="s">
        <v>34</v>
      </c>
    </row>
    <row r="4" spans="1:5" x14ac:dyDescent="0.4">
      <c r="A4" s="2" t="s">
        <v>7</v>
      </c>
      <c r="B4" s="2">
        <v>78.12</v>
      </c>
      <c r="C4" s="2" t="s">
        <v>15</v>
      </c>
      <c r="D4" s="2"/>
      <c r="E4" s="2" t="s">
        <v>123</v>
      </c>
    </row>
    <row r="5" spans="1:5" x14ac:dyDescent="0.4">
      <c r="A5" s="2" t="s">
        <v>85</v>
      </c>
      <c r="B5" s="2">
        <v>720</v>
      </c>
      <c r="C5" s="2" t="s">
        <v>118</v>
      </c>
      <c r="D5" s="2"/>
      <c r="E5" s="2" t="s">
        <v>124</v>
      </c>
    </row>
    <row r="6" spans="1:5" x14ac:dyDescent="0.4">
      <c r="A6" s="2" t="s">
        <v>86</v>
      </c>
      <c r="B6" s="2" t="s">
        <v>92</v>
      </c>
      <c r="C6" s="2" t="s">
        <v>84</v>
      </c>
      <c r="D6" s="2"/>
      <c r="E6" s="2"/>
    </row>
    <row r="7" spans="1:5" x14ac:dyDescent="0.4">
      <c r="A7" s="2" t="s">
        <v>176</v>
      </c>
      <c r="B7" s="2">
        <v>6</v>
      </c>
      <c r="C7" s="2" t="s">
        <v>180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181</v>
      </c>
      <c r="D8" s="2"/>
      <c r="E8" s="2" t="s">
        <v>125</v>
      </c>
    </row>
    <row r="9" spans="1:5" x14ac:dyDescent="0.4">
      <c r="A9" s="2" t="s">
        <v>78</v>
      </c>
      <c r="B9" s="2">
        <v>1.5</v>
      </c>
      <c r="C9" s="2" t="s">
        <v>120</v>
      </c>
      <c r="D9" s="2"/>
      <c r="E9" s="2" t="s">
        <v>37</v>
      </c>
    </row>
    <row r="10" spans="1:5" x14ac:dyDescent="0.4">
      <c r="A10" s="2" t="s">
        <v>79</v>
      </c>
      <c r="B10" s="2" t="s">
        <v>92</v>
      </c>
      <c r="C10" s="2" t="s">
        <v>119</v>
      </c>
      <c r="D10" s="2"/>
      <c r="E10" s="2" t="s">
        <v>37</v>
      </c>
    </row>
    <row r="11" spans="1:5" x14ac:dyDescent="0.4">
      <c r="A11" s="2" t="s">
        <v>80</v>
      </c>
      <c r="B11" s="2">
        <v>1.5</v>
      </c>
      <c r="C11" s="2" t="s">
        <v>52</v>
      </c>
      <c r="D11" s="2"/>
      <c r="E11" s="2" t="s">
        <v>37</v>
      </c>
    </row>
    <row r="12" spans="1:5" x14ac:dyDescent="0.4">
      <c r="A12" s="2" t="s">
        <v>81</v>
      </c>
      <c r="B12" s="2" t="s">
        <v>92</v>
      </c>
      <c r="C12" s="2" t="s">
        <v>121</v>
      </c>
      <c r="D12" s="2"/>
      <c r="E12" s="2" t="s">
        <v>37</v>
      </c>
    </row>
    <row r="13" spans="1:5" x14ac:dyDescent="0.4">
      <c r="A13" s="2" t="s">
        <v>87</v>
      </c>
      <c r="B13" s="2">
        <v>21</v>
      </c>
      <c r="C13" s="2" t="s">
        <v>122</v>
      </c>
      <c r="D13" s="2"/>
      <c r="E13" s="2" t="s">
        <v>125</v>
      </c>
    </row>
    <row r="14" spans="1:5" x14ac:dyDescent="0.4">
      <c r="A14" s="2" t="s">
        <v>88</v>
      </c>
      <c r="B14" s="2" t="s">
        <v>92</v>
      </c>
      <c r="C14" s="2" t="s">
        <v>122</v>
      </c>
      <c r="D14" s="2"/>
      <c r="E14" s="2"/>
    </row>
    <row r="15" spans="1:5" x14ac:dyDescent="0.4">
      <c r="A15" s="18" t="s">
        <v>26</v>
      </c>
      <c r="B15" s="18">
        <v>24</v>
      </c>
      <c r="C15" s="18" t="s">
        <v>55</v>
      </c>
      <c r="D15" s="18"/>
      <c r="E15" s="18" t="s">
        <v>125</v>
      </c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5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5" x14ac:dyDescent="0.4">
      <c r="A18" s="2" t="s">
        <v>228</v>
      </c>
      <c r="B18" s="2">
        <f>B16*4*B4</f>
        <v>159989.76000000001</v>
      </c>
      <c r="C18" s="2"/>
      <c r="D18" s="2" t="s">
        <v>229</v>
      </c>
      <c r="E18" s="2"/>
    </row>
    <row r="19" spans="1:5" x14ac:dyDescent="0.4">
      <c r="A19" s="2" t="s">
        <v>90</v>
      </c>
      <c r="B19" s="2">
        <v>86673000</v>
      </c>
      <c r="C19" s="2"/>
      <c r="D19" s="2" t="s">
        <v>21</v>
      </c>
      <c r="E19" s="2" t="s">
        <v>4</v>
      </c>
    </row>
    <row r="20" spans="1:5" x14ac:dyDescent="0.4">
      <c r="A20" s="2" t="s">
        <v>232</v>
      </c>
      <c r="B20" s="2">
        <f>B28</f>
        <v>83.3</v>
      </c>
      <c r="C20" s="2"/>
      <c r="D20" s="2"/>
      <c r="E20" s="2"/>
    </row>
    <row r="21" spans="1:5" x14ac:dyDescent="0.4">
      <c r="A21" s="18" t="s">
        <v>43</v>
      </c>
      <c r="B21" s="19" t="s">
        <v>66</v>
      </c>
      <c r="C21" s="18"/>
      <c r="D21" s="18"/>
      <c r="E21" s="18"/>
    </row>
    <row r="22" spans="1:5" x14ac:dyDescent="0.4">
      <c r="A22" s="18" t="s">
        <v>44</v>
      </c>
      <c r="B22" s="19" t="s">
        <v>66</v>
      </c>
      <c r="C22" s="18"/>
      <c r="D22" s="18"/>
      <c r="E22" s="18"/>
    </row>
    <row r="23" spans="1:5" x14ac:dyDescent="0.4">
      <c r="A23" s="2" t="s">
        <v>226</v>
      </c>
      <c r="B23" s="25" t="s">
        <v>66</v>
      </c>
      <c r="C23" s="2"/>
      <c r="D23" s="2"/>
      <c r="E23" s="2"/>
    </row>
    <row r="24" spans="1:5" x14ac:dyDescent="0.4">
      <c r="A24" s="2" t="s">
        <v>93</v>
      </c>
      <c r="B24" s="25" t="s">
        <v>66</v>
      </c>
      <c r="C24" s="2"/>
      <c r="D24" s="2"/>
      <c r="E24" s="2"/>
    </row>
    <row r="25" spans="1:5" x14ac:dyDescent="0.4">
      <c r="A25" s="2" t="s">
        <v>95</v>
      </c>
      <c r="B25" s="4" t="s">
        <v>66</v>
      </c>
      <c r="C25" s="2"/>
      <c r="D25" s="2"/>
      <c r="E25" s="2"/>
    </row>
    <row r="26" spans="1:5" x14ac:dyDescent="0.4">
      <c r="A26" s="2" t="s">
        <v>10</v>
      </c>
      <c r="B26" s="2">
        <v>0</v>
      </c>
      <c r="C26" s="2"/>
      <c r="D26" s="2"/>
      <c r="E26" s="2" t="s">
        <v>4</v>
      </c>
    </row>
    <row r="27" spans="1:5" x14ac:dyDescent="0.4">
      <c r="A27" s="2" t="s">
        <v>9</v>
      </c>
      <c r="B27" s="2">
        <v>44.3</v>
      </c>
      <c r="C27" s="2"/>
      <c r="D27" s="2" t="s">
        <v>20</v>
      </c>
      <c r="E27" s="2" t="s">
        <v>4</v>
      </c>
    </row>
    <row r="28" spans="1:5" x14ac:dyDescent="0.4">
      <c r="A28" s="2" t="s">
        <v>22</v>
      </c>
      <c r="B28" s="2">
        <v>83.3</v>
      </c>
      <c r="C28" s="2"/>
      <c r="D28" s="2" t="s">
        <v>29</v>
      </c>
      <c r="E28" s="2" t="s">
        <v>4</v>
      </c>
    </row>
    <row r="29" spans="1:5" x14ac:dyDescent="0.4">
      <c r="A29" s="5"/>
      <c r="B29" s="6"/>
      <c r="C29" s="5"/>
      <c r="D29" s="5"/>
      <c r="E29" s="5"/>
    </row>
    <row r="30" spans="1:5" x14ac:dyDescent="0.4">
      <c r="A30" s="7" t="s">
        <v>98</v>
      </c>
      <c r="B30" s="8" t="s">
        <v>99</v>
      </c>
      <c r="C30" s="7" t="s">
        <v>100</v>
      </c>
      <c r="D30" s="7" t="s">
        <v>101</v>
      </c>
      <c r="E30" s="7" t="s">
        <v>102</v>
      </c>
    </row>
    <row r="31" spans="1:5" x14ac:dyDescent="0.4">
      <c r="A31" s="2" t="s">
        <v>184</v>
      </c>
      <c r="B31" s="2">
        <f>2*B15/2*SQRT(3)</f>
        <v>41.569219381653056</v>
      </c>
      <c r="C31" s="2" t="s">
        <v>56</v>
      </c>
      <c r="D31" s="2"/>
      <c r="E31" s="2" t="s">
        <v>28</v>
      </c>
    </row>
    <row r="32" spans="1:5" x14ac:dyDescent="0.4">
      <c r="A32" s="2" t="s">
        <v>151</v>
      </c>
      <c r="B32" s="2">
        <f>B3*1000/(2*PI()*B2/60)</f>
        <v>520.87072284620285</v>
      </c>
      <c r="C32" s="2" t="s">
        <v>146</v>
      </c>
      <c r="D32" s="2"/>
      <c r="E32" s="2"/>
    </row>
    <row r="33" spans="1:5" ht="18.75" customHeight="1" x14ac:dyDescent="0.4">
      <c r="A33" s="2" t="s">
        <v>155</v>
      </c>
      <c r="B33" s="2" t="s">
        <v>156</v>
      </c>
      <c r="C33" s="2" t="s">
        <v>149</v>
      </c>
      <c r="D33" s="2"/>
      <c r="E33" s="2"/>
    </row>
    <row r="34" spans="1:5" x14ac:dyDescent="0.4">
      <c r="A34" s="2" t="s">
        <v>152</v>
      </c>
      <c r="B34" s="2" t="s">
        <v>156</v>
      </c>
      <c r="C34" s="2"/>
      <c r="D34" s="2"/>
      <c r="E34" s="2"/>
    </row>
    <row r="35" spans="1:5" x14ac:dyDescent="0.4">
      <c r="A35" s="2" t="s">
        <v>153</v>
      </c>
      <c r="B35" s="2">
        <f>B32*0.5/(2*PI()*B5/60/B11)</f>
        <v>5.1811968908013633</v>
      </c>
      <c r="C35" s="2"/>
      <c r="D35" s="2" t="s">
        <v>154</v>
      </c>
      <c r="E35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A1C-85C0-472C-BC65-E4606300F965}">
  <dimension ref="A1:G38"/>
  <sheetViews>
    <sheetView zoomScaleNormal="100" workbookViewId="0">
      <selection activeCell="B39" sqref="B39"/>
    </sheetView>
  </sheetViews>
  <sheetFormatPr defaultRowHeight="18.75" x14ac:dyDescent="0.4"/>
  <cols>
    <col min="1" max="1" width="41.875" customWidth="1"/>
    <col min="2" max="2" width="9.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1800</v>
      </c>
      <c r="C2" s="2" t="s">
        <v>62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33</v>
      </c>
      <c r="C3" s="2" t="s">
        <v>63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479.4</v>
      </c>
      <c r="C4" s="2" t="s">
        <v>64</v>
      </c>
      <c r="D4" s="2" t="s">
        <v>18</v>
      </c>
      <c r="E4" s="2" t="s">
        <v>57</v>
      </c>
    </row>
    <row r="5" spans="1:5" x14ac:dyDescent="0.4">
      <c r="A5" s="2" t="s">
        <v>85</v>
      </c>
      <c r="B5" s="2">
        <v>330</v>
      </c>
      <c r="C5" s="2" t="s">
        <v>163</v>
      </c>
      <c r="D5" s="2" t="s">
        <v>72</v>
      </c>
      <c r="E5" s="2" t="s">
        <v>67</v>
      </c>
    </row>
    <row r="6" spans="1:5" x14ac:dyDescent="0.4">
      <c r="A6" s="2" t="s">
        <v>86</v>
      </c>
      <c r="B6" s="2">
        <v>3652</v>
      </c>
      <c r="C6" s="2" t="s">
        <v>164</v>
      </c>
      <c r="D6" s="2" t="s">
        <v>165</v>
      </c>
      <c r="E6" s="2" t="s">
        <v>67</v>
      </c>
    </row>
    <row r="7" spans="1:5" x14ac:dyDescent="0.4">
      <c r="A7" s="2" t="s">
        <v>176</v>
      </c>
      <c r="B7" s="2">
        <v>1</v>
      </c>
      <c r="C7" s="2" t="s">
        <v>182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183</v>
      </c>
      <c r="D8" s="2"/>
      <c r="E8" s="2" t="s">
        <v>125</v>
      </c>
    </row>
    <row r="9" spans="1:5" x14ac:dyDescent="0.4">
      <c r="A9" s="2" t="s">
        <v>78</v>
      </c>
      <c r="B9" s="3">
        <v>12</v>
      </c>
      <c r="C9" s="2" t="s">
        <v>157</v>
      </c>
      <c r="D9" s="2" t="s">
        <v>161</v>
      </c>
      <c r="E9" s="2" t="s">
        <v>8</v>
      </c>
    </row>
    <row r="10" spans="1:5" x14ac:dyDescent="0.4">
      <c r="A10" s="2" t="s">
        <v>79</v>
      </c>
      <c r="B10" s="3">
        <v>20</v>
      </c>
      <c r="C10" s="2" t="s">
        <v>158</v>
      </c>
      <c r="D10" s="2" t="s">
        <v>162</v>
      </c>
      <c r="E10" s="2" t="s">
        <v>8</v>
      </c>
    </row>
    <row r="11" spans="1:5" x14ac:dyDescent="0.4">
      <c r="A11" s="2" t="s">
        <v>80</v>
      </c>
      <c r="B11" s="3">
        <v>12</v>
      </c>
      <c r="C11" s="2" t="s">
        <v>159</v>
      </c>
      <c r="D11" s="2" t="s">
        <v>161</v>
      </c>
      <c r="E11" s="2" t="s">
        <v>8</v>
      </c>
    </row>
    <row r="12" spans="1:5" x14ac:dyDescent="0.4">
      <c r="A12" s="2" t="s">
        <v>81</v>
      </c>
      <c r="B12" s="3">
        <v>20</v>
      </c>
      <c r="C12" s="2" t="s">
        <v>160</v>
      </c>
      <c r="D12" s="2" t="s">
        <v>162</v>
      </c>
      <c r="E12" s="2" t="s">
        <v>8</v>
      </c>
    </row>
    <row r="13" spans="1:5" x14ac:dyDescent="0.4">
      <c r="A13" s="2" t="s">
        <v>87</v>
      </c>
      <c r="B13" s="2" t="s">
        <v>66</v>
      </c>
      <c r="C13" s="2"/>
      <c r="D13" s="2"/>
      <c r="E13" s="2" t="s">
        <v>125</v>
      </c>
    </row>
    <row r="14" spans="1:5" x14ac:dyDescent="0.4">
      <c r="A14" s="2" t="s">
        <v>88</v>
      </c>
      <c r="B14" s="2" t="s">
        <v>66</v>
      </c>
      <c r="C14" s="2"/>
      <c r="D14" s="2"/>
      <c r="E14" s="2"/>
    </row>
    <row r="15" spans="1:5" x14ac:dyDescent="0.4">
      <c r="A15" s="18" t="s">
        <v>26</v>
      </c>
      <c r="B15" s="18" t="s">
        <v>156</v>
      </c>
      <c r="C15" s="18"/>
      <c r="D15" s="18"/>
      <c r="E15" s="18"/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7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7" x14ac:dyDescent="0.4">
      <c r="A18" s="2" t="s">
        <v>228</v>
      </c>
      <c r="B18" s="2">
        <f>B16*4*B4</f>
        <v>981811.19999999995</v>
      </c>
      <c r="C18" s="2"/>
      <c r="D18" s="2" t="s">
        <v>229</v>
      </c>
      <c r="E18" s="2"/>
    </row>
    <row r="19" spans="1:7" x14ac:dyDescent="0.4">
      <c r="A19" s="2" t="s">
        <v>90</v>
      </c>
      <c r="B19" s="2">
        <v>15000000</v>
      </c>
      <c r="C19" s="2"/>
      <c r="D19" s="2" t="s">
        <v>20</v>
      </c>
      <c r="E19" s="2" t="s">
        <v>4</v>
      </c>
    </row>
    <row r="20" spans="1:7" x14ac:dyDescent="0.4">
      <c r="A20" s="2" t="s">
        <v>233</v>
      </c>
      <c r="B20" s="2">
        <v>0</v>
      </c>
      <c r="C20" s="2"/>
      <c r="D20" s="2"/>
      <c r="E20" s="2"/>
    </row>
    <row r="21" spans="1:7" x14ac:dyDescent="0.4">
      <c r="A21" s="18" t="s">
        <v>43</v>
      </c>
      <c r="B21" s="19" t="s">
        <v>66</v>
      </c>
      <c r="C21" s="18"/>
      <c r="D21" s="18"/>
      <c r="E21" s="18"/>
    </row>
    <row r="22" spans="1:7" x14ac:dyDescent="0.4">
      <c r="A22" s="18" t="s">
        <v>44</v>
      </c>
      <c r="B22" s="19" t="s">
        <v>66</v>
      </c>
      <c r="C22" s="18"/>
      <c r="D22" s="18"/>
      <c r="E22" s="18"/>
    </row>
    <row r="23" spans="1:7" x14ac:dyDescent="0.4">
      <c r="A23" s="2" t="s">
        <v>226</v>
      </c>
      <c r="B23" s="25" t="s">
        <v>66</v>
      </c>
      <c r="C23" s="2"/>
      <c r="D23" s="2"/>
      <c r="E23" s="2"/>
    </row>
    <row r="24" spans="1:7" x14ac:dyDescent="0.4">
      <c r="A24" s="2" t="s">
        <v>93</v>
      </c>
      <c r="B24" s="25" t="s">
        <v>66</v>
      </c>
      <c r="C24" s="2"/>
      <c r="D24" s="2"/>
      <c r="E24" s="2"/>
    </row>
    <row r="25" spans="1:7" x14ac:dyDescent="0.4">
      <c r="A25" s="2" t="s">
        <v>95</v>
      </c>
      <c r="B25" s="4" t="s">
        <v>66</v>
      </c>
      <c r="C25" s="2"/>
      <c r="D25" s="2"/>
      <c r="E25" s="2"/>
    </row>
    <row r="26" spans="1:7" x14ac:dyDescent="0.4">
      <c r="A26" s="16"/>
      <c r="B26" s="16"/>
      <c r="C26" s="16"/>
      <c r="D26" s="16"/>
      <c r="E26" s="16"/>
      <c r="F26" s="5"/>
      <c r="G26" s="5"/>
    </row>
    <row r="27" spans="1:7" x14ac:dyDescent="0.4">
      <c r="A27" s="14" t="s">
        <v>98</v>
      </c>
      <c r="B27" s="15" t="s">
        <v>1</v>
      </c>
      <c r="C27" s="14" t="s">
        <v>100</v>
      </c>
      <c r="D27" s="14" t="s">
        <v>2</v>
      </c>
      <c r="E27" s="14" t="s">
        <v>3</v>
      </c>
    </row>
    <row r="28" spans="1:7" x14ac:dyDescent="0.4">
      <c r="A28" s="2" t="s">
        <v>27</v>
      </c>
      <c r="B28" s="2" t="s">
        <v>156</v>
      </c>
      <c r="C28" s="2"/>
      <c r="D28" s="2"/>
      <c r="E28" s="2" t="s">
        <v>28</v>
      </c>
    </row>
    <row r="29" spans="1:7" x14ac:dyDescent="0.4">
      <c r="A29" s="2" t="s">
        <v>151</v>
      </c>
      <c r="B29" s="2">
        <f>B3*1000/(2*PI()*B2/60)</f>
        <v>175.07043740108489</v>
      </c>
      <c r="C29" s="2" t="s">
        <v>146</v>
      </c>
      <c r="D29" s="2"/>
      <c r="E29" s="2"/>
    </row>
    <row r="30" spans="1:7" ht="18.75" customHeight="1" x14ac:dyDescent="0.4">
      <c r="A30" s="2" t="s">
        <v>155</v>
      </c>
      <c r="B30" s="2" t="s">
        <v>156</v>
      </c>
      <c r="C30" s="2"/>
      <c r="D30" s="2"/>
      <c r="E30" s="2"/>
    </row>
    <row r="31" spans="1:7" x14ac:dyDescent="0.4">
      <c r="A31" s="2" t="s">
        <v>152</v>
      </c>
      <c r="B31" s="2" t="s">
        <v>156</v>
      </c>
      <c r="C31" s="2"/>
      <c r="D31" s="2"/>
      <c r="E31" s="2"/>
    </row>
    <row r="32" spans="1:7" x14ac:dyDescent="0.4">
      <c r="A32" s="2" t="s">
        <v>153</v>
      </c>
      <c r="B32" s="2">
        <f>B29*0.5/(2*PI()*B5/60/B11)</f>
        <v>30.396355092701338</v>
      </c>
      <c r="C32" s="2" t="s">
        <v>166</v>
      </c>
      <c r="D32" s="2" t="s">
        <v>154</v>
      </c>
      <c r="E32" s="2"/>
    </row>
    <row r="36" spans="2:3" x14ac:dyDescent="0.4">
      <c r="B36">
        <f>1800/B4</f>
        <v>3.7546933667083855</v>
      </c>
      <c r="C36" t="s">
        <v>242</v>
      </c>
    </row>
    <row r="37" spans="2:3" x14ac:dyDescent="0.4">
      <c r="B37">
        <f>B6/B5</f>
        <v>11.066666666666666</v>
      </c>
      <c r="C37" t="s">
        <v>243</v>
      </c>
    </row>
    <row r="38" spans="2:3" x14ac:dyDescent="0.4">
      <c r="B38">
        <f>B37/B36</f>
        <v>2.9474222222222219</v>
      </c>
      <c r="C38" t="s">
        <v>244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90E-8CAC-4479-ACFA-40697550443D}">
  <dimension ref="A1:F32"/>
  <sheetViews>
    <sheetView zoomScaleNormal="100" workbookViewId="0">
      <selection activeCell="D25" sqref="D25"/>
    </sheetView>
  </sheetViews>
  <sheetFormatPr defaultRowHeight="18.75" x14ac:dyDescent="0.4"/>
  <cols>
    <col min="1" max="1" width="44.875" customWidth="1"/>
    <col min="2" max="2" width="11.62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6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6" x14ac:dyDescent="0.4">
      <c r="A2" s="2" t="s">
        <v>5</v>
      </c>
      <c r="B2" s="2">
        <v>1700</v>
      </c>
      <c r="C2" s="2" t="s">
        <v>69</v>
      </c>
      <c r="D2" s="2" t="s">
        <v>16</v>
      </c>
      <c r="E2" s="2" t="s">
        <v>76</v>
      </c>
      <c r="F2" t="e">
        <f>B2/60/B4*PI()*#REF!/1000</f>
        <v>#REF!</v>
      </c>
    </row>
    <row r="3" spans="1:6" x14ac:dyDescent="0.4">
      <c r="A3" s="2" t="s">
        <v>6</v>
      </c>
      <c r="B3" s="2">
        <f>5.5*8</f>
        <v>44</v>
      </c>
      <c r="C3" s="2" t="s">
        <v>70</v>
      </c>
      <c r="D3" s="2" t="s">
        <v>71</v>
      </c>
      <c r="E3" s="2" t="s">
        <v>34</v>
      </c>
    </row>
    <row r="4" spans="1:6" x14ac:dyDescent="0.4">
      <c r="A4" s="2" t="s">
        <v>7</v>
      </c>
      <c r="B4" s="2">
        <v>88</v>
      </c>
      <c r="C4" s="2" t="s">
        <v>73</v>
      </c>
      <c r="D4" s="2" t="s">
        <v>18</v>
      </c>
      <c r="E4" s="2" t="s">
        <v>75</v>
      </c>
    </row>
    <row r="5" spans="1:6" x14ac:dyDescent="0.4">
      <c r="A5" s="2" t="s">
        <v>85</v>
      </c>
      <c r="B5" s="2">
        <v>500</v>
      </c>
      <c r="C5" s="2"/>
      <c r="D5" s="2"/>
      <c r="E5" s="2" t="s">
        <v>74</v>
      </c>
    </row>
    <row r="6" spans="1:6" x14ac:dyDescent="0.4">
      <c r="A6" s="2" t="s">
        <v>86</v>
      </c>
      <c r="B6" s="2" t="s">
        <v>156</v>
      </c>
      <c r="C6" s="2"/>
      <c r="D6" s="2"/>
      <c r="E6" s="2"/>
    </row>
    <row r="7" spans="1:6" x14ac:dyDescent="0.4">
      <c r="A7" s="2" t="s">
        <v>176</v>
      </c>
      <c r="B7" s="2">
        <v>1</v>
      </c>
      <c r="C7" s="2"/>
      <c r="D7" s="2"/>
      <c r="E7" s="2"/>
    </row>
    <row r="8" spans="1:6" x14ac:dyDescent="0.4">
      <c r="A8" s="2" t="s">
        <v>177</v>
      </c>
      <c r="B8" s="2">
        <v>1</v>
      </c>
      <c r="C8" s="2"/>
      <c r="D8" s="2"/>
      <c r="E8" s="2"/>
    </row>
    <row r="9" spans="1:6" x14ac:dyDescent="0.4">
      <c r="A9" s="2" t="s">
        <v>78</v>
      </c>
      <c r="B9" s="3">
        <v>9</v>
      </c>
      <c r="C9" s="2"/>
      <c r="D9" s="2"/>
      <c r="E9" s="2" t="s">
        <v>167</v>
      </c>
    </row>
    <row r="10" spans="1:6" x14ac:dyDescent="0.4">
      <c r="A10" s="2" t="s">
        <v>79</v>
      </c>
      <c r="B10" s="3">
        <v>9</v>
      </c>
      <c r="C10" s="2"/>
      <c r="D10" s="2"/>
      <c r="E10" s="2" t="s">
        <v>167</v>
      </c>
    </row>
    <row r="11" spans="1:6" x14ac:dyDescent="0.4">
      <c r="A11" s="2" t="s">
        <v>80</v>
      </c>
      <c r="B11" s="3">
        <v>9</v>
      </c>
      <c r="C11" s="2"/>
      <c r="D11" s="2" t="s">
        <v>168</v>
      </c>
      <c r="E11" s="2" t="s">
        <v>167</v>
      </c>
    </row>
    <row r="12" spans="1:6" x14ac:dyDescent="0.4">
      <c r="A12" s="2" t="s">
        <v>81</v>
      </c>
      <c r="B12" s="3">
        <v>5</v>
      </c>
      <c r="C12" s="2"/>
      <c r="D12" s="2" t="s">
        <v>169</v>
      </c>
      <c r="E12" s="2" t="s">
        <v>167</v>
      </c>
    </row>
    <row r="13" spans="1:6" x14ac:dyDescent="0.4">
      <c r="A13" s="2" t="s">
        <v>87</v>
      </c>
      <c r="B13" s="2" t="s">
        <v>66</v>
      </c>
      <c r="C13" s="2"/>
      <c r="D13" s="2"/>
      <c r="E13" s="2"/>
    </row>
    <row r="14" spans="1:6" x14ac:dyDescent="0.4">
      <c r="A14" s="2" t="s">
        <v>88</v>
      </c>
      <c r="B14" s="2" t="s">
        <v>66</v>
      </c>
      <c r="C14" s="2"/>
      <c r="D14" s="2"/>
      <c r="E14" s="2"/>
    </row>
    <row r="15" spans="1:6" x14ac:dyDescent="0.4">
      <c r="A15" s="18" t="s">
        <v>26</v>
      </c>
      <c r="B15" s="18" t="s">
        <v>156</v>
      </c>
      <c r="C15" s="18"/>
      <c r="D15" s="18"/>
      <c r="E15" s="18"/>
    </row>
    <row r="16" spans="1:6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5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5" x14ac:dyDescent="0.4">
      <c r="A18" s="2" t="s">
        <v>228</v>
      </c>
      <c r="B18" s="2">
        <f>B16*4*B4</f>
        <v>180224</v>
      </c>
      <c r="C18" s="2"/>
      <c r="D18" s="2" t="s">
        <v>229</v>
      </c>
      <c r="E18" s="2"/>
    </row>
    <row r="19" spans="1:5" x14ac:dyDescent="0.4">
      <c r="A19" s="2" t="s">
        <v>90</v>
      </c>
      <c r="B19" s="2">
        <v>1000000000</v>
      </c>
      <c r="C19" s="2"/>
      <c r="D19" s="2" t="s">
        <v>234</v>
      </c>
      <c r="E19" s="2" t="s">
        <v>4</v>
      </c>
    </row>
    <row r="20" spans="1:5" x14ac:dyDescent="0.4">
      <c r="A20" s="2" t="s">
        <v>231</v>
      </c>
      <c r="B20" s="2">
        <v>0</v>
      </c>
      <c r="C20" s="2"/>
      <c r="D20" s="2"/>
      <c r="E20" s="2"/>
    </row>
    <row r="21" spans="1:5" x14ac:dyDescent="0.4">
      <c r="A21" s="18" t="s">
        <v>43</v>
      </c>
      <c r="B21" s="19" t="s">
        <v>66</v>
      </c>
      <c r="C21" s="18"/>
      <c r="D21" s="18"/>
      <c r="E21" s="18"/>
    </row>
    <row r="22" spans="1:5" x14ac:dyDescent="0.4">
      <c r="A22" s="18" t="s">
        <v>44</v>
      </c>
      <c r="B22" s="19" t="s">
        <v>66</v>
      </c>
      <c r="C22" s="18"/>
      <c r="D22" s="18"/>
      <c r="E22" s="18"/>
    </row>
    <row r="23" spans="1:5" x14ac:dyDescent="0.4">
      <c r="A23" s="2" t="s">
        <v>226</v>
      </c>
      <c r="B23" s="3">
        <v>1024</v>
      </c>
      <c r="C23" s="2"/>
      <c r="D23" s="2"/>
      <c r="E23" s="2"/>
    </row>
    <row r="24" spans="1:5" x14ac:dyDescent="0.4">
      <c r="A24" s="2" t="s">
        <v>93</v>
      </c>
      <c r="B24" s="25">
        <f>B23*B25</f>
        <v>32594.932345220164</v>
      </c>
      <c r="C24" s="2"/>
      <c r="D24" s="2" t="s">
        <v>221</v>
      </c>
      <c r="E24" s="2"/>
    </row>
    <row r="25" spans="1:5" x14ac:dyDescent="0.4">
      <c r="A25" s="2" t="s">
        <v>235</v>
      </c>
      <c r="B25" s="26">
        <f>50/(B5/1000*PI())</f>
        <v>31.830988618379067</v>
      </c>
      <c r="C25" s="2"/>
      <c r="D25" s="2" t="s">
        <v>221</v>
      </c>
      <c r="E25" s="2"/>
    </row>
    <row r="26" spans="1:5" x14ac:dyDescent="0.4">
      <c r="A26" s="16"/>
      <c r="B26" s="16"/>
      <c r="C26" s="16"/>
      <c r="D26" s="16"/>
      <c r="E26" s="16"/>
    </row>
    <row r="27" spans="1:5" x14ac:dyDescent="0.4">
      <c r="A27" s="14" t="s">
        <v>98</v>
      </c>
      <c r="B27" s="15" t="s">
        <v>1</v>
      </c>
      <c r="C27" s="14" t="s">
        <v>100</v>
      </c>
      <c r="D27" s="14" t="s">
        <v>2</v>
      </c>
      <c r="E27" s="14" t="s">
        <v>3</v>
      </c>
    </row>
    <row r="28" spans="1:5" x14ac:dyDescent="0.4">
      <c r="A28" s="2" t="s">
        <v>27</v>
      </c>
      <c r="B28" s="2" t="s">
        <v>156</v>
      </c>
      <c r="C28" s="2"/>
      <c r="D28" s="2"/>
      <c r="E28" s="2" t="s">
        <v>28</v>
      </c>
    </row>
    <row r="29" spans="1:5" x14ac:dyDescent="0.4">
      <c r="A29" s="2" t="s">
        <v>151</v>
      </c>
      <c r="B29" s="2">
        <f>B3*1000/(2*PI()*B2/60)</f>
        <v>247.15826456623751</v>
      </c>
      <c r="C29" s="2" t="s">
        <v>146</v>
      </c>
      <c r="D29" s="2"/>
      <c r="E29" s="2"/>
    </row>
    <row r="30" spans="1:5" x14ac:dyDescent="0.4">
      <c r="A30" s="2" t="s">
        <v>155</v>
      </c>
      <c r="B30" s="2" t="s">
        <v>156</v>
      </c>
      <c r="C30" s="2"/>
      <c r="D30" s="2"/>
      <c r="E30" s="2"/>
    </row>
    <row r="31" spans="1:5" x14ac:dyDescent="0.4">
      <c r="A31" s="2" t="s">
        <v>152</v>
      </c>
      <c r="B31" s="2" t="s">
        <v>156</v>
      </c>
      <c r="C31" s="2"/>
      <c r="D31" s="2"/>
      <c r="E31" s="2"/>
    </row>
    <row r="32" spans="1:5" x14ac:dyDescent="0.4">
      <c r="A32" s="2" t="s">
        <v>153</v>
      </c>
      <c r="B32" s="2">
        <f>B29*0.5/(2*PI()*B2/60/B11)</f>
        <v>6.2475553373925941</v>
      </c>
      <c r="C32" s="2" t="s">
        <v>166</v>
      </c>
      <c r="D32" s="2" t="s">
        <v>154</v>
      </c>
      <c r="E32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座標系・変数名</vt:lpstr>
      <vt:lpstr>構造＆初期値</vt:lpstr>
      <vt:lpstr>主巻</vt:lpstr>
      <vt:lpstr>引込</vt:lpstr>
      <vt:lpstr>旋回</vt:lpstr>
      <vt:lpstr>走行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SHI-MH MRD</cp:lastModifiedBy>
  <cp:lastPrinted>2025-06-24T04:06:46Z</cp:lastPrinted>
  <dcterms:created xsi:type="dcterms:W3CDTF">2015-06-05T18:17:20Z</dcterms:created>
  <dcterms:modified xsi:type="dcterms:W3CDTF">2025-07-04T00:02:28Z</dcterms:modified>
</cp:coreProperties>
</file>