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6" yWindow="1680" windowWidth="22176" windowHeight="7872"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B130" i="7"/>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6" i="7"/>
  <c r="B45" i="7"/>
  <c r="T45" i="7"/>
  <c r="T2" i="7"/>
  <c r="B142" i="7" l="1"/>
  <c r="B72" i="7"/>
  <c r="B58" i="7"/>
  <c r="B86" i="7"/>
  <c r="B100" i="7"/>
  <c r="B128" i="7"/>
  <c r="B114"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D2" i="7"/>
  <c r="B43" i="7" s="1"/>
  <c r="U45" i="7"/>
  <c r="E45" i="7" l="1"/>
  <c r="B44" i="7"/>
  <c r="Q3" i="7"/>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<sst xmlns="http://schemas.openxmlformats.org/spreadsheetml/2006/main" count="695" uniqueCount="276">
  <si>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</si>
  <si>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</si>
  <si>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</si>
  <si>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</si>
  <si>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</si>
  <si>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</si>
  <si>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</si>
  <si>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</si>
  <si>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</si>
  <si>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</si>
  <si>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</si>
  <si>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</si>
  <si>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</si>
  <si>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</si>
  <si>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</si>
  <si>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</si>
  <si>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</si>
  <si>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</si>
  <si>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</si>
  <si>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</si>
  <si>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</si>
  <si>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</si>
  <si>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</si>
  <si>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</si>
  <si>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</si>
  <si>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</si>
  <si>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</si>
  <si>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</si>
  <si>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</si>
  <si>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</si>
  <si>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</si>
  <si>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</si>
  <si>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</si>
  <si>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</si>
  <si>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</si>
  <si>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</si>
  <si>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</si>
  <si>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</si>
  <si>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</si>
  <si>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</si>
  <si>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</si>
  <si>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</si>
  <si>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</si>
  <si>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</si>
  <si>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</si>
  <si>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</si>
  <si>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</si>
  <si>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</si>
  <si>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</si>
  <si>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</si>
  <si>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</si>
  <si>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</si>
  <si>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</si>
  <si>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</si>
  <si>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</si>
  <si>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</si>
  <si>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</si>
  <si>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</si>
  <si>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</si>
  <si>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</si>
  <si>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</si>
  <si>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</si>
  <si>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</si>
  <si>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</si>
  <si>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</si>
  <si>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</si>
  <si>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</si>
  <si>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</si>
  <si>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</si>
  <si>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</si>
  <si>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</si>
  <si>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</si>
  <si>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</si>
  <si>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</si>
  <si>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</si>
  <si>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</si>
  <si>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</si>
  <si>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</si>
  <si>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</si>
  <si>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</si>
  <si>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</si>
  <si>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</si>
  <si>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</si>
  <si>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</si>
  <si>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</si>
  <si>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</si>
  <si>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</si>
  <si>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</si>
  <si>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</si>
  <si>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</si>
  <si>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</si>
  <si>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</si>
  <si>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</si>
  <si>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</si>
  <si>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</si>
  <si>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</si>
  <si>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</si>
  <si>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</si>
  <si>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</si>
  <si>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</si>
  <si>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</si>
  <si>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</si>
  <si>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</si>
  <si>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</si>
  <si>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</si>
  <si>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</si>
  <si>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</si>
  <si>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</si>
  <si>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</si>
  <si>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</si>
  <si>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</si>
  <si>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</si>
  <si>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</si>
  <si>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</si>
  <si>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</si>
  <si>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</si>
  <si>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</si>
  <si>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</si>
  <si>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</si>
  <si>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</si>
  <si>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</si>
  <si>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</si>
  <si>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</si>
  <si>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</si>
  <si>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</si>
  <si>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</si>
  <si>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</si>
  <si>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</si>
  <si>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</si>
  <si>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</si>
  <si>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</si>
  <si>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</si>
  <si>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</si>
  <si>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</si>
  <si>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</si>
  <si>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</si>
  <si>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</si>
  <si>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</si>
  <si>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</si>
  <si>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</si>
  <si>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</si>
  <si>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</si>
  <si>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</si>
  <si>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</si>
  <si>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</si>
  <si>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</si>
  <si>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</si>
  <si>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</si>
  <si>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</si>
  <si>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</si>
  <si>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</si>
  <si>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</si>
  <si>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</si>
  <si>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</si>
  <si>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</si>
  <si>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</si>
  <si>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</si>
  <si>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</si>
  <si>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</si>
  <si>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</si>
  <si>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</si>
  <si>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</si>
  <si>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</si>
  <si>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</si>
  <si>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</si>
  <si>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</si>
  <si>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</si>
  <si>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</si>
  <si>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</si>
  <si>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</si>
  <si>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</si>
  <si>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</si>
  <si>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</si>
  <si>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</si>
  <si>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User1</t>
  </si>
  <si>
    <t>User2</t>
  </si>
  <si>
    <t>User3</t>
  </si>
  <si>
    <t>User4</t>
  </si>
  <si>
    <t>User5</t>
  </si>
  <si>
    <t>User6</t>
  </si>
  <si>
    <t>User7</t>
  </si>
  <si>
    <t>User8</t>
  </si>
  <si>
    <t>User9</t>
  </si>
  <si>
    <t>User10</t>
  </si>
  <si>
    <t>User11</t>
  </si>
  <si>
    <t>User12</t>
  </si>
  <si>
    <t>User13</t>
  </si>
  <si>
    <t>User14</t>
  </si>
  <si>
    <t>User15</t>
  </si>
  <si>
    <t>User16</t>
  </si>
  <si>
    <t>User17</t>
  </si>
  <si>
    <t>User18</t>
  </si>
  <si>
    <t>User19</t>
  </si>
  <si>
    <t>User20</t>
  </si>
  <si>
    <t>User21</t>
  </si>
  <si>
    <t>User22</t>
  </si>
  <si>
    <t>User23</t>
  </si>
  <si>
    <t>User24</t>
  </si>
  <si>
    <t>User25</t>
  </si>
  <si>
    <t>User26</t>
  </si>
  <si>
    <t>User27</t>
  </si>
  <si>
    <t>User28</t>
  </si>
  <si>
    <t>User29</t>
  </si>
  <si>
    <t>User30</t>
  </si>
  <si>
    <t>User31</t>
  </si>
  <si>
    <t>User32</t>
  </si>
  <si>
    <t>Admin</t>
  </si>
  <si>
    <t>User33</t>
  </si>
  <si>
    <t>User34</t>
  </si>
  <si>
    <t>User35</t>
  </si>
  <si>
    <t>User36</t>
  </si>
  <si>
    <t>User37</t>
  </si>
  <si>
    <t>User38</t>
  </si>
  <si>
    <t>User39</t>
  </si>
  <si>
    <t>User40</t>
  </si>
  <si>
    <t>User41</t>
  </si>
  <si>
    <t>User42</t>
  </si>
  <si>
    <t>User43</t>
  </si>
  <si>
    <t>User44</t>
  </si>
  <si>
    <t>User45</t>
  </si>
  <si>
    <t>User46</t>
  </si>
  <si>
    <t>User47</t>
  </si>
  <si>
    <t>User48</t>
  </si>
  <si>
    <t>User49</t>
  </si>
  <si>
    <t>User50</t>
  </si>
  <si>
    <t>User51</t>
  </si>
  <si>
    <t>User52</t>
  </si>
  <si>
    <t>User53</t>
  </si>
  <si>
    <t>User54</t>
  </si>
  <si>
    <t>User55</t>
  </si>
  <si>
    <t>User56</t>
  </si>
  <si>
    <t>User57</t>
  </si>
  <si>
    <t>User58</t>
  </si>
  <si>
    <t>User59</t>
  </si>
  <si>
    <t>User60</t>
  </si>
  <si>
    <t>User61</t>
  </si>
  <si>
    <t>User62</t>
  </si>
  <si>
    <t>User63</t>
  </si>
  <si>
    <t>User64</t>
  </si>
  <si>
    <t>User65</t>
  </si>
  <si>
    <t>User66</t>
  </si>
  <si>
    <t>User67</t>
  </si>
  <si>
    <t>User68</t>
  </si>
  <si>
    <t>User69</t>
  </si>
  <si>
    <t>User70</t>
  </si>
  <si>
    <t>User71</t>
  </si>
  <si>
    <t>User72</t>
  </si>
  <si>
    <t>User73</t>
  </si>
  <si>
    <t>User74</t>
  </si>
  <si>
    <t>User75</t>
  </si>
  <si>
    <t>Graph History</t>
  </si>
  <si>
    <t>Graph Type</t>
  </si>
  <si>
    <t>Modularity</t>
  </si>
  <si>
    <t>NodeXL Version</t>
  </si>
  <si>
    <t>Not Applicable</t>
  </si>
  <si>
    <t>1.0.1.226</t>
  </si>
  <si>
    <t>Top Replied-To in Entire Graph</t>
  </si>
  <si>
    <t>Entire Graph Count</t>
  </si>
  <si>
    <t>Top Mentioned in Entire Graph</t>
  </si>
  <si>
    <t>Top Replied-To in Tweet</t>
  </si>
  <si>
    <t>Top Mentioned in Tweet</t>
  </si>
  <si>
    <t>Top URLs in Tweet in Entire Graph</t>
  </si>
  <si>
    <t>Top URLs in Tweet</t>
  </si>
  <si>
    <t>Top Domains in Tweet in Entire Graph</t>
  </si>
  <si>
    <t>Top Domains in Tweet</t>
  </si>
  <si>
    <t>Top Hashtags in Tweet in Entire Graph</t>
  </si>
  <si>
    <t>Top Hashtags in Tweet</t>
  </si>
  <si>
    <t>Top Words in Tweet in Entire Graph</t>
  </si>
  <si>
    <t>Top Words in Tweet</t>
  </si>
  <si>
    <t>Top Word Pairs in Tweet in Entire Graph</t>
  </si>
  <si>
    <t>Top Word Pairs in Tweet</t>
  </si>
  <si>
    <t>Top Tweeters in Entire Graph</t>
  </si>
  <si>
    <t>Top Tweeters</t>
  </si>
  <si>
    <t>Directed</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</si>
  <si>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</si>
  <si>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ReciprocatedVertexPairRatio&lt;/value&gt;_x000D_
      &lt;/setting&gt;_x000D_
    &lt;/GraphMetricUserSettings&gt;_x000D_
    &lt;LayoutUserSettings&gt;_x000D_
      &lt;setting name="Layout" serializeAs="String"&gt;_x000D_
        &lt;value&gt;HarelKorenFastMultiscale&lt;/value&gt;_x000D_
      &lt;/setting&gt;_x000D_
      &lt;setting name="LayoutStyle" serializeAs="String"&gt;_x000D_
        &lt;value&gt;UseBinning&lt;/value&gt;_x000D_
      &lt;/setting&gt;_x000D_
      &lt;setting name="FruchtermanReingoldC" serializeAs="String"&gt;_x000D_
        &lt;value&gt;3&lt;/value&gt;_x000D_
      &lt;/setting&gt;_x000D_
      &lt;setting name="MaximumVerticesPerBin" serializeAs="String"&gt;_x000D_
        &lt;value&gt;3&lt;/value&gt;_x000D_
      &lt;/setting&gt;_x000D_
      &lt;setting name="IntergroupEdgeStyle" serializeAs="String"&gt;_x000D_
        &lt;value&gt;Show&lt;/value&gt;_x000D_
      &lt;/setting&gt;_x000D_
      &lt;setting name="Margin" serializeAs="String"&gt;_x000D_
        &lt;value&gt;6&lt;/value&gt;_x000D_
      &lt;/setting&gt;_x000D_
      &lt;setting name="FruchtermanReingoldIterations" serializeAs="String"&gt;_x000D_
        &lt;value&gt;10&lt;/value&gt;_x000D_
      &lt;/setting&gt;_x000D_
      &lt;setting name="BinLength" serializeAs="String"&gt;_x000D_
        &lt;value&gt;16&lt;/value&gt;_x000D_
      &lt;/setting&gt;_x000D_
    &lt;/LayoutUserSettings&gt;_x000D_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</si>
</sst>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
    <numFmt numFmtId="166" formatCode="#,##0.000"/>
    <numFmt numFmtId="167" formatCode="0.000"/>
    <numFmt numFmtId="172" formatCode="_(* #,##0.000_);_(* \(#,##0.000\);_(* &quot;-&quot;??_);_(@_)"/>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43" fontId="5" fillId="0" borderId="0" applyFont="0" applyFill="0" applyBorder="0" applyAlignment="0" applyProtection="0"/>
  </cellStyleXfs>
  <cellXfs count="10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5" borderId="1" xfId="4" applyNumberFormat="1" applyFont="1" applyBorder="1"/>
    <xf numFmtId="164" fontId="0" fillId="5" borderId="1" xfId="4" applyNumberFormat="1" applyFont="1" applyBorder="1"/>
    <xf numFmtId="1" fontId="0" fillId="5" borderId="1" xfId="4" applyNumberFormat="1" applyFont="1" applyBorder="1"/>
    <xf numFmtId="49" fontId="6" fillId="6" borderId="1" xfId="6" applyNumberFormat="1" applyBorder="1"/>
    <xf numFmtId="0" fontId="6" fillId="6" borderId="1" xfId="6" applyNumberFormat="1" applyBorder="1"/>
    <xf numFmtId="164" fontId="0" fillId="3" borderId="1" xfId="7" applyNumberFormat="1" applyFont="1" applyBorder="1"/>
    <xf numFmtId="165" fontId="0" fillId="3" borderId="1" xfId="7" applyNumberFormat="1" applyFont="1" applyBorder="1"/>
    <xf numFmtId="0" fontId="0" fillId="3" borderId="1" xfId="7" applyNumberFormat="1" applyFont="1" applyBorder="1"/>
    <xf numFmtId="166" fontId="0" fillId="3" borderId="1" xfId="7" applyNumberFormat="1" applyFont="1" applyBorder="1"/>
    <xf numFmtId="0" fontId="0" fillId="2" borderId="1" xfId="1" applyNumberFormat="1" applyFont="1" applyBorder="1"/>
    <xf numFmtId="172" fontId="5" fillId="4" borderId="0" xfId="9" applyNumberFormat="1" applyFill="1" applyBorder="1"/>
  </cellXfs>
  <cellStyles count="10">
    <cellStyle name="Comma" xfId="9" builtinId="3"/>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37">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166" formatCode="#,##0.00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3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25</c:v>
                </c:pt>
              </c:strCache>
            </c:strRef>
          </c:tx>
          <c:spPr>
            <a:solidFill>
              <a:schemeClr val="accent1"/>
            </a:solidFill>
          </c:spPr>
          <c:invertIfNegative val="0"/>
          <c:cat>
            <c:numRef>
              <c:f>'Overall Metrics'!$D$2:$D$45</c:f>
              <c:numCache>
                <c:formatCode>#,##0.00</c:formatCode>
                <c:ptCount val="44"/>
                <c:pt idx="0">
                  <c:v>1</c:v>
                </c:pt>
                <c:pt idx="1">
                  <c:v>1.2558139534883721</c:v>
                </c:pt>
                <c:pt idx="2">
                  <c:v>1.5116279069767442</c:v>
                </c:pt>
                <c:pt idx="3">
                  <c:v>1.7674418604651163</c:v>
                </c:pt>
                <c:pt idx="4">
                  <c:v>2.0232558139534884</c:v>
                </c:pt>
                <c:pt idx="5">
                  <c:v>2.2790697674418605</c:v>
                </c:pt>
                <c:pt idx="6">
                  <c:v>2.5348837209302326</c:v>
                </c:pt>
                <c:pt idx="7">
                  <c:v>2.7906976744186047</c:v>
                </c:pt>
                <c:pt idx="8">
                  <c:v>3.0465116279069768</c:v>
                </c:pt>
                <c:pt idx="9">
                  <c:v>3.3023255813953489</c:v>
                </c:pt>
                <c:pt idx="10">
                  <c:v>3.558139534883721</c:v>
                </c:pt>
                <c:pt idx="11">
                  <c:v>3.8139534883720931</c:v>
                </c:pt>
                <c:pt idx="12">
                  <c:v>4.0697674418604652</c:v>
                </c:pt>
                <c:pt idx="13">
                  <c:v>4.3255813953488378</c:v>
                </c:pt>
                <c:pt idx="14">
                  <c:v>4.5813953488372103</c:v>
                </c:pt>
                <c:pt idx="15">
                  <c:v>4.8372093023255829</c:v>
                </c:pt>
                <c:pt idx="16">
                  <c:v>5.0930232558139554</c:v>
                </c:pt>
                <c:pt idx="17">
                  <c:v>5.348837209302328</c:v>
                </c:pt>
                <c:pt idx="18">
                  <c:v>5.6046511627907005</c:v>
                </c:pt>
                <c:pt idx="19">
                  <c:v>5.8604651162790731</c:v>
                </c:pt>
                <c:pt idx="20">
                  <c:v>6.1162790697674456</c:v>
                </c:pt>
                <c:pt idx="21">
                  <c:v>6.3720930232558182</c:v>
                </c:pt>
                <c:pt idx="22">
                  <c:v>6.6279069767441907</c:v>
                </c:pt>
                <c:pt idx="23">
                  <c:v>6.8837209302325633</c:v>
                </c:pt>
                <c:pt idx="24">
                  <c:v>7.1395348837209358</c:v>
                </c:pt>
                <c:pt idx="25">
                  <c:v>7.3953488372093084</c:v>
                </c:pt>
                <c:pt idx="26">
                  <c:v>7.6511627906976809</c:v>
                </c:pt>
                <c:pt idx="27">
                  <c:v>7.9069767441860535</c:v>
                </c:pt>
                <c:pt idx="28">
                  <c:v>8.162790697674426</c:v>
                </c:pt>
                <c:pt idx="29">
                  <c:v>8.4186046511627985</c:v>
                </c:pt>
                <c:pt idx="30">
                  <c:v>8.6744186046511711</c:v>
                </c:pt>
                <c:pt idx="31">
                  <c:v>8.9302325581395436</c:v>
                </c:pt>
                <c:pt idx="32">
                  <c:v>9.1860465116279162</c:v>
                </c:pt>
                <c:pt idx="33">
                  <c:v>9.4418604651162887</c:v>
                </c:pt>
                <c:pt idx="34">
                  <c:v>9.6976744186046613</c:v>
                </c:pt>
                <c:pt idx="35">
                  <c:v>9.9534883720930338</c:v>
                </c:pt>
                <c:pt idx="36">
                  <c:v>10.209302325581406</c:v>
                </c:pt>
                <c:pt idx="37">
                  <c:v>10.465116279069779</c:v>
                </c:pt>
                <c:pt idx="38">
                  <c:v>10.720930232558151</c:v>
                </c:pt>
                <c:pt idx="39">
                  <c:v>10.976744186046524</c:v>
                </c:pt>
                <c:pt idx="40">
                  <c:v>11.232558139534897</c:v>
                </c:pt>
                <c:pt idx="41">
                  <c:v>11.488372093023269</c:v>
                </c:pt>
                <c:pt idx="42">
                  <c:v>11.744186046511642</c:v>
                </c:pt>
                <c:pt idx="43">
                  <c:v>12</c:v>
                </c:pt>
              </c:numCache>
            </c:numRef>
          </c:cat>
          <c:val>
            <c:numRef>
              <c:f>'Overall Metrics'!$E$2:$E$45</c:f>
              <c:numCache>
                <c:formatCode>General</c:formatCode>
                <c:ptCount val="44"/>
                <c:pt idx="0">
                  <c:v>25</c:v>
                </c:pt>
                <c:pt idx="1">
                  <c:v>0</c:v>
                </c:pt>
                <c:pt idx="2">
                  <c:v>0</c:v>
                </c:pt>
                <c:pt idx="3">
                  <c:v>25</c:v>
                </c:pt>
                <c:pt idx="4">
                  <c:v>0</c:v>
                </c:pt>
                <c:pt idx="5">
                  <c:v>0</c:v>
                </c:pt>
                <c:pt idx="6">
                  <c:v>0</c:v>
                </c:pt>
                <c:pt idx="7">
                  <c:v>4</c:v>
                </c:pt>
                <c:pt idx="8">
                  <c:v>0</c:v>
                </c:pt>
                <c:pt idx="9">
                  <c:v>0</c:v>
                </c:pt>
                <c:pt idx="10">
                  <c:v>0</c:v>
                </c:pt>
                <c:pt idx="11">
                  <c:v>9</c:v>
                </c:pt>
                <c:pt idx="12">
                  <c:v>0</c:v>
                </c:pt>
                <c:pt idx="13">
                  <c:v>0</c:v>
                </c:pt>
                <c:pt idx="14">
                  <c:v>0</c:v>
                </c:pt>
                <c:pt idx="15">
                  <c:v>3</c:v>
                </c:pt>
                <c:pt idx="16">
                  <c:v>0</c:v>
                </c:pt>
                <c:pt idx="17">
                  <c:v>0</c:v>
                </c:pt>
                <c:pt idx="18">
                  <c:v>0</c:v>
                </c:pt>
                <c:pt idx="19">
                  <c:v>2</c:v>
                </c:pt>
                <c:pt idx="20">
                  <c:v>0</c:v>
                </c:pt>
                <c:pt idx="21">
                  <c:v>0</c:v>
                </c:pt>
                <c:pt idx="22">
                  <c:v>0</c:v>
                </c:pt>
                <c:pt idx="23">
                  <c:v>2</c:v>
                </c:pt>
                <c:pt idx="24">
                  <c:v>0</c:v>
                </c:pt>
                <c:pt idx="25">
                  <c:v>0</c:v>
                </c:pt>
                <c:pt idx="26">
                  <c:v>0</c:v>
                </c:pt>
                <c:pt idx="27">
                  <c:v>2</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14981888"/>
        <c:axId val="114984448"/>
      </c:barChart>
      <c:catAx>
        <c:axId val="1149818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4984448"/>
        <c:crosses val="autoZero"/>
        <c:auto val="1"/>
        <c:lblAlgn val="ctr"/>
        <c:lblOffset val="100"/>
        <c:noMultiLvlLbl val="0"/>
      </c:catAx>
      <c:valAx>
        <c:axId val="1149844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49818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11</c:v>
                </c:pt>
              </c:strCache>
            </c:strRef>
          </c:tx>
          <c:spPr>
            <a:solidFill>
              <a:schemeClr val="accent1"/>
            </a:solidFill>
          </c:spPr>
          <c:invertIfNegative val="0"/>
          <c:cat>
            <c:numRef>
              <c:f>'Overall Metrics'!$F$2:$F$45</c:f>
              <c:numCache>
                <c:formatCode>#,##0.00</c:formatCode>
                <c:ptCount val="44"/>
                <c:pt idx="0">
                  <c:v>0</c:v>
                </c:pt>
                <c:pt idx="1">
                  <c:v>0.16279069767441862</c:v>
                </c:pt>
                <c:pt idx="2">
                  <c:v>0.32558139534883723</c:v>
                </c:pt>
                <c:pt idx="3">
                  <c:v>0.48837209302325585</c:v>
                </c:pt>
                <c:pt idx="4">
                  <c:v>0.65116279069767447</c:v>
                </c:pt>
                <c:pt idx="5">
                  <c:v>0.81395348837209314</c:v>
                </c:pt>
                <c:pt idx="6">
                  <c:v>0.97674418604651181</c:v>
                </c:pt>
                <c:pt idx="7">
                  <c:v>1.1395348837209305</c:v>
                </c:pt>
                <c:pt idx="8">
                  <c:v>1.3023255813953492</c:v>
                </c:pt>
                <c:pt idx="9">
                  <c:v>1.4651162790697678</c:v>
                </c:pt>
                <c:pt idx="10">
                  <c:v>1.6279069767441865</c:v>
                </c:pt>
                <c:pt idx="11">
                  <c:v>1.7906976744186052</c:v>
                </c:pt>
                <c:pt idx="12">
                  <c:v>1.9534883720930238</c:v>
                </c:pt>
                <c:pt idx="13">
                  <c:v>2.1162790697674425</c:v>
                </c:pt>
                <c:pt idx="14">
                  <c:v>2.279069767441861</c:v>
                </c:pt>
                <c:pt idx="15">
                  <c:v>2.4418604651162794</c:v>
                </c:pt>
                <c:pt idx="16">
                  <c:v>2.6046511627906979</c:v>
                </c:pt>
                <c:pt idx="17">
                  <c:v>2.7674418604651163</c:v>
                </c:pt>
                <c:pt idx="18">
                  <c:v>2.9302325581395348</c:v>
                </c:pt>
                <c:pt idx="19">
                  <c:v>3.0930232558139532</c:v>
                </c:pt>
                <c:pt idx="20">
                  <c:v>3.2558139534883717</c:v>
                </c:pt>
                <c:pt idx="21">
                  <c:v>3.4186046511627901</c:v>
                </c:pt>
                <c:pt idx="22">
                  <c:v>3.5813953488372086</c:v>
                </c:pt>
                <c:pt idx="23">
                  <c:v>3.744186046511627</c:v>
                </c:pt>
                <c:pt idx="24">
                  <c:v>3.9069767441860455</c:v>
                </c:pt>
                <c:pt idx="25">
                  <c:v>4.0697674418604644</c:v>
                </c:pt>
                <c:pt idx="26">
                  <c:v>4.2325581395348832</c:v>
                </c:pt>
                <c:pt idx="27">
                  <c:v>4.3953488372093021</c:v>
                </c:pt>
                <c:pt idx="28">
                  <c:v>4.558139534883721</c:v>
                </c:pt>
                <c:pt idx="29">
                  <c:v>4.7209302325581399</c:v>
                </c:pt>
                <c:pt idx="30">
                  <c:v>4.8837209302325588</c:v>
                </c:pt>
                <c:pt idx="31">
                  <c:v>5.0465116279069777</c:v>
                </c:pt>
                <c:pt idx="32">
                  <c:v>5.2093023255813966</c:v>
                </c:pt>
                <c:pt idx="33">
                  <c:v>5.3720930232558155</c:v>
                </c:pt>
                <c:pt idx="34">
                  <c:v>5.5348837209302344</c:v>
                </c:pt>
                <c:pt idx="35">
                  <c:v>5.6976744186046533</c:v>
                </c:pt>
                <c:pt idx="36">
                  <c:v>5.8604651162790722</c:v>
                </c:pt>
                <c:pt idx="37">
                  <c:v>6.0232558139534911</c:v>
                </c:pt>
                <c:pt idx="38">
                  <c:v>6.18604651162791</c:v>
                </c:pt>
                <c:pt idx="39">
                  <c:v>6.3488372093023289</c:v>
                </c:pt>
                <c:pt idx="40">
                  <c:v>6.5116279069767478</c:v>
                </c:pt>
                <c:pt idx="41">
                  <c:v>6.6744186046511667</c:v>
                </c:pt>
                <c:pt idx="42">
                  <c:v>6.8372093023255855</c:v>
                </c:pt>
                <c:pt idx="43">
                  <c:v>7</c:v>
                </c:pt>
              </c:numCache>
            </c:numRef>
          </c:cat>
          <c:val>
            <c:numRef>
              <c:f>'Overall Metrics'!$G$2:$G$45</c:f>
              <c:numCache>
                <c:formatCode>General</c:formatCode>
                <c:ptCount val="44"/>
                <c:pt idx="0">
                  <c:v>11</c:v>
                </c:pt>
                <c:pt idx="1">
                  <c:v>0</c:v>
                </c:pt>
                <c:pt idx="2">
                  <c:v>0</c:v>
                </c:pt>
                <c:pt idx="3">
                  <c:v>0</c:v>
                </c:pt>
                <c:pt idx="4">
                  <c:v>0</c:v>
                </c:pt>
                <c:pt idx="5">
                  <c:v>0</c:v>
                </c:pt>
                <c:pt idx="6">
                  <c:v>39</c:v>
                </c:pt>
                <c:pt idx="7">
                  <c:v>0</c:v>
                </c:pt>
                <c:pt idx="8">
                  <c:v>0</c:v>
                </c:pt>
                <c:pt idx="9">
                  <c:v>0</c:v>
                </c:pt>
                <c:pt idx="10">
                  <c:v>0</c:v>
                </c:pt>
                <c:pt idx="11">
                  <c:v>0</c:v>
                </c:pt>
                <c:pt idx="12">
                  <c:v>12</c:v>
                </c:pt>
                <c:pt idx="13">
                  <c:v>0</c:v>
                </c:pt>
                <c:pt idx="14">
                  <c:v>0</c:v>
                </c:pt>
                <c:pt idx="15">
                  <c:v>0</c:v>
                </c:pt>
                <c:pt idx="16">
                  <c:v>0</c:v>
                </c:pt>
                <c:pt idx="17">
                  <c:v>0</c:v>
                </c:pt>
                <c:pt idx="18">
                  <c:v>3</c:v>
                </c:pt>
                <c:pt idx="19">
                  <c:v>0</c:v>
                </c:pt>
                <c:pt idx="20">
                  <c:v>0</c:v>
                </c:pt>
                <c:pt idx="21">
                  <c:v>0</c:v>
                </c:pt>
                <c:pt idx="22">
                  <c:v>0</c:v>
                </c:pt>
                <c:pt idx="23">
                  <c:v>0</c:v>
                </c:pt>
                <c:pt idx="24">
                  <c:v>4</c:v>
                </c:pt>
                <c:pt idx="25">
                  <c:v>0</c:v>
                </c:pt>
                <c:pt idx="26">
                  <c:v>0</c:v>
                </c:pt>
                <c:pt idx="27">
                  <c:v>0</c:v>
                </c:pt>
                <c:pt idx="28">
                  <c:v>0</c:v>
                </c:pt>
                <c:pt idx="29">
                  <c:v>0</c:v>
                </c:pt>
                <c:pt idx="30">
                  <c:v>4</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23224064"/>
        <c:axId val="123225984"/>
      </c:barChart>
      <c:catAx>
        <c:axId val="1232240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23225984"/>
        <c:crosses val="autoZero"/>
        <c:auto val="1"/>
        <c:lblAlgn val="ctr"/>
        <c:lblOffset val="100"/>
        <c:noMultiLvlLbl val="0"/>
      </c:catAx>
      <c:valAx>
        <c:axId val="123225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2240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14</c:v>
                </c:pt>
              </c:strCache>
            </c:strRef>
          </c:tx>
          <c:spPr>
            <a:solidFill>
              <a:schemeClr val="accent1"/>
            </a:solidFill>
          </c:spPr>
          <c:invertIfNegative val="0"/>
          <c:cat>
            <c:numRef>
              <c:f>'Overall Metrics'!$H$2:$H$45</c:f>
              <c:numCache>
                <c:formatCode>#,##0.00</c:formatCode>
                <c:ptCount val="44"/>
                <c:pt idx="0">
                  <c:v>0</c:v>
                </c:pt>
                <c:pt idx="1">
                  <c:v>0.16279069767441862</c:v>
                </c:pt>
                <c:pt idx="2">
                  <c:v>0.32558139534883723</c:v>
                </c:pt>
                <c:pt idx="3">
                  <c:v>0.48837209302325585</c:v>
                </c:pt>
                <c:pt idx="4">
                  <c:v>0.65116279069767447</c:v>
                </c:pt>
                <c:pt idx="5">
                  <c:v>0.81395348837209314</c:v>
                </c:pt>
                <c:pt idx="6">
                  <c:v>0.97674418604651181</c:v>
                </c:pt>
                <c:pt idx="7">
                  <c:v>1.1395348837209305</c:v>
                </c:pt>
                <c:pt idx="8">
                  <c:v>1.3023255813953492</c:v>
                </c:pt>
                <c:pt idx="9">
                  <c:v>1.4651162790697678</c:v>
                </c:pt>
                <c:pt idx="10">
                  <c:v>1.6279069767441865</c:v>
                </c:pt>
                <c:pt idx="11">
                  <c:v>1.7906976744186052</c:v>
                </c:pt>
                <c:pt idx="12">
                  <c:v>1.9534883720930238</c:v>
                </c:pt>
                <c:pt idx="13">
                  <c:v>2.1162790697674425</c:v>
                </c:pt>
                <c:pt idx="14">
                  <c:v>2.279069767441861</c:v>
                </c:pt>
                <c:pt idx="15">
                  <c:v>2.4418604651162794</c:v>
                </c:pt>
                <c:pt idx="16">
                  <c:v>2.6046511627906979</c:v>
                </c:pt>
                <c:pt idx="17">
                  <c:v>2.7674418604651163</c:v>
                </c:pt>
                <c:pt idx="18">
                  <c:v>2.9302325581395348</c:v>
                </c:pt>
                <c:pt idx="19">
                  <c:v>3.0930232558139532</c:v>
                </c:pt>
                <c:pt idx="20">
                  <c:v>3.2558139534883717</c:v>
                </c:pt>
                <c:pt idx="21">
                  <c:v>3.4186046511627901</c:v>
                </c:pt>
                <c:pt idx="22">
                  <c:v>3.5813953488372086</c:v>
                </c:pt>
                <c:pt idx="23">
                  <c:v>3.744186046511627</c:v>
                </c:pt>
                <c:pt idx="24">
                  <c:v>3.9069767441860455</c:v>
                </c:pt>
                <c:pt idx="25">
                  <c:v>4.0697674418604644</c:v>
                </c:pt>
                <c:pt idx="26">
                  <c:v>4.2325581395348832</c:v>
                </c:pt>
                <c:pt idx="27">
                  <c:v>4.3953488372093021</c:v>
                </c:pt>
                <c:pt idx="28">
                  <c:v>4.558139534883721</c:v>
                </c:pt>
                <c:pt idx="29">
                  <c:v>4.7209302325581399</c:v>
                </c:pt>
                <c:pt idx="30">
                  <c:v>4.8837209302325588</c:v>
                </c:pt>
                <c:pt idx="31">
                  <c:v>5.0465116279069777</c:v>
                </c:pt>
                <c:pt idx="32">
                  <c:v>5.2093023255813966</c:v>
                </c:pt>
                <c:pt idx="33">
                  <c:v>5.3720930232558155</c:v>
                </c:pt>
                <c:pt idx="34">
                  <c:v>5.5348837209302344</c:v>
                </c:pt>
                <c:pt idx="35">
                  <c:v>5.6976744186046533</c:v>
                </c:pt>
                <c:pt idx="36">
                  <c:v>5.8604651162790722</c:v>
                </c:pt>
                <c:pt idx="37">
                  <c:v>6.0232558139534911</c:v>
                </c:pt>
                <c:pt idx="38">
                  <c:v>6.18604651162791</c:v>
                </c:pt>
                <c:pt idx="39">
                  <c:v>6.3488372093023289</c:v>
                </c:pt>
                <c:pt idx="40">
                  <c:v>6.5116279069767478</c:v>
                </c:pt>
                <c:pt idx="41">
                  <c:v>6.6744186046511667</c:v>
                </c:pt>
                <c:pt idx="42">
                  <c:v>6.8372093023255855</c:v>
                </c:pt>
                <c:pt idx="43">
                  <c:v>7</c:v>
                </c:pt>
              </c:numCache>
            </c:numRef>
          </c:cat>
          <c:val>
            <c:numRef>
              <c:f>'Overall Metrics'!$I$2:$I$45</c:f>
              <c:numCache>
                <c:formatCode>General</c:formatCode>
                <c:ptCount val="44"/>
                <c:pt idx="0">
                  <c:v>14</c:v>
                </c:pt>
                <c:pt idx="1">
                  <c:v>0</c:v>
                </c:pt>
                <c:pt idx="2">
                  <c:v>0</c:v>
                </c:pt>
                <c:pt idx="3">
                  <c:v>0</c:v>
                </c:pt>
                <c:pt idx="4">
                  <c:v>0</c:v>
                </c:pt>
                <c:pt idx="5">
                  <c:v>0</c:v>
                </c:pt>
                <c:pt idx="6">
                  <c:v>34</c:v>
                </c:pt>
                <c:pt idx="7">
                  <c:v>0</c:v>
                </c:pt>
                <c:pt idx="8">
                  <c:v>0</c:v>
                </c:pt>
                <c:pt idx="9">
                  <c:v>0</c:v>
                </c:pt>
                <c:pt idx="10">
                  <c:v>0</c:v>
                </c:pt>
                <c:pt idx="11">
                  <c:v>0</c:v>
                </c:pt>
                <c:pt idx="12">
                  <c:v>12</c:v>
                </c:pt>
                <c:pt idx="13">
                  <c:v>0</c:v>
                </c:pt>
                <c:pt idx="14">
                  <c:v>0</c:v>
                </c:pt>
                <c:pt idx="15">
                  <c:v>0</c:v>
                </c:pt>
                <c:pt idx="16">
                  <c:v>0</c:v>
                </c:pt>
                <c:pt idx="17">
                  <c:v>0</c:v>
                </c:pt>
                <c:pt idx="18">
                  <c:v>6</c:v>
                </c:pt>
                <c:pt idx="19">
                  <c:v>0</c:v>
                </c:pt>
                <c:pt idx="20">
                  <c:v>0</c:v>
                </c:pt>
                <c:pt idx="21">
                  <c:v>0</c:v>
                </c:pt>
                <c:pt idx="22">
                  <c:v>0</c:v>
                </c:pt>
                <c:pt idx="23">
                  <c:v>0</c:v>
                </c:pt>
                <c:pt idx="24">
                  <c:v>4</c:v>
                </c:pt>
                <c:pt idx="25">
                  <c:v>0</c:v>
                </c:pt>
                <c:pt idx="26">
                  <c:v>0</c:v>
                </c:pt>
                <c:pt idx="27">
                  <c:v>0</c:v>
                </c:pt>
                <c:pt idx="28">
                  <c:v>0</c:v>
                </c:pt>
                <c:pt idx="29">
                  <c:v>0</c:v>
                </c:pt>
                <c:pt idx="30">
                  <c:v>2</c:v>
                </c:pt>
                <c:pt idx="31">
                  <c:v>0</c:v>
                </c:pt>
                <c:pt idx="32">
                  <c:v>0</c:v>
                </c:pt>
                <c:pt idx="33">
                  <c:v>0</c:v>
                </c:pt>
                <c:pt idx="34">
                  <c:v>0</c:v>
                </c:pt>
                <c:pt idx="35">
                  <c:v>0</c:v>
                </c:pt>
                <c:pt idx="36">
                  <c:v>1</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23253120"/>
        <c:axId val="123260928"/>
      </c:barChart>
      <c:catAx>
        <c:axId val="12325312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23260928"/>
        <c:crosses val="autoZero"/>
        <c:auto val="1"/>
        <c:lblAlgn val="ctr"/>
        <c:lblOffset val="100"/>
        <c:noMultiLvlLbl val="0"/>
      </c:catAx>
      <c:valAx>
        <c:axId val="123260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253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35</c:v>
                </c:pt>
              </c:strCache>
            </c:strRef>
          </c:tx>
          <c:spPr>
            <a:solidFill>
              <a:schemeClr val="accent1"/>
            </a:solidFill>
          </c:spPr>
          <c:invertIfNegative val="0"/>
          <c:cat>
            <c:numRef>
              <c:f>'Overall Metrics'!$J$2:$J$45</c:f>
              <c:numCache>
                <c:formatCode>#,##0.00</c:formatCode>
                <c:ptCount val="44"/>
                <c:pt idx="0">
                  <c:v>0</c:v>
                </c:pt>
                <c:pt idx="1">
                  <c:v>27.419213720930234</c:v>
                </c:pt>
                <c:pt idx="2">
                  <c:v>54.838427441860468</c:v>
                </c:pt>
                <c:pt idx="3">
                  <c:v>82.257641162790705</c:v>
                </c:pt>
                <c:pt idx="4">
                  <c:v>109.67685488372094</c:v>
                </c:pt>
                <c:pt idx="5">
                  <c:v>137.09606860465118</c:v>
                </c:pt>
                <c:pt idx="6">
                  <c:v>164.51528232558141</c:v>
                </c:pt>
                <c:pt idx="7">
                  <c:v>191.93449604651164</c:v>
                </c:pt>
                <c:pt idx="8">
                  <c:v>219.35370976744187</c:v>
                </c:pt>
                <c:pt idx="9">
                  <c:v>246.7729234883721</c:v>
                </c:pt>
                <c:pt idx="10">
                  <c:v>274.19213720930236</c:v>
                </c:pt>
                <c:pt idx="11">
                  <c:v>301.61135093023262</c:v>
                </c:pt>
                <c:pt idx="12">
                  <c:v>329.03056465116288</c:v>
                </c:pt>
                <c:pt idx="13">
                  <c:v>356.44977837209314</c:v>
                </c:pt>
                <c:pt idx="14">
                  <c:v>383.86899209302339</c:v>
                </c:pt>
                <c:pt idx="15">
                  <c:v>411.28820581395365</c:v>
                </c:pt>
                <c:pt idx="16">
                  <c:v>438.70741953488391</c:v>
                </c:pt>
                <c:pt idx="17">
                  <c:v>466.12663325581417</c:v>
                </c:pt>
                <c:pt idx="18">
                  <c:v>493.54584697674443</c:v>
                </c:pt>
                <c:pt idx="19">
                  <c:v>520.96506069767463</c:v>
                </c:pt>
                <c:pt idx="20">
                  <c:v>548.38427441860483</c:v>
                </c:pt>
                <c:pt idx="21">
                  <c:v>575.80348813953503</c:v>
                </c:pt>
                <c:pt idx="22">
                  <c:v>603.22270186046524</c:v>
                </c:pt>
                <c:pt idx="23">
                  <c:v>630.64191558139544</c:v>
                </c:pt>
                <c:pt idx="24">
                  <c:v>658.06112930232564</c:v>
                </c:pt>
                <c:pt idx="25">
                  <c:v>685.48034302325584</c:v>
                </c:pt>
                <c:pt idx="26">
                  <c:v>712.89955674418604</c:v>
                </c:pt>
                <c:pt idx="27">
                  <c:v>740.31877046511624</c:v>
                </c:pt>
                <c:pt idx="28">
                  <c:v>767.73798418604645</c:v>
                </c:pt>
                <c:pt idx="29">
                  <c:v>795.15719790697665</c:v>
                </c:pt>
                <c:pt idx="30">
                  <c:v>822.57641162790685</c:v>
                </c:pt>
                <c:pt idx="31">
                  <c:v>849.99562534883705</c:v>
                </c:pt>
                <c:pt idx="32">
                  <c:v>877.41483906976725</c:v>
                </c:pt>
                <c:pt idx="33">
                  <c:v>904.83405279069746</c:v>
                </c:pt>
                <c:pt idx="34">
                  <c:v>932.25326651162766</c:v>
                </c:pt>
                <c:pt idx="35">
                  <c:v>959.67248023255786</c:v>
                </c:pt>
                <c:pt idx="36">
                  <c:v>987.09169395348806</c:v>
                </c:pt>
                <c:pt idx="37">
                  <c:v>1014.5109076744183</c:v>
                </c:pt>
                <c:pt idx="38">
                  <c:v>1041.9301213953486</c:v>
                </c:pt>
                <c:pt idx="39">
                  <c:v>1069.3493351162788</c:v>
                </c:pt>
                <c:pt idx="40">
                  <c:v>1096.768548837209</c:v>
                </c:pt>
                <c:pt idx="41">
                  <c:v>1124.1877625581392</c:v>
                </c:pt>
                <c:pt idx="42">
                  <c:v>1151.6069762790694</c:v>
                </c:pt>
                <c:pt idx="43">
                  <c:v>1179.02619</c:v>
                </c:pt>
              </c:numCache>
            </c:numRef>
          </c:cat>
          <c:val>
            <c:numRef>
              <c:f>'Overall Metrics'!$K$2:$K$45</c:f>
              <c:numCache>
                <c:formatCode>General</c:formatCode>
                <c:ptCount val="44"/>
                <c:pt idx="0">
                  <c:v>35</c:v>
                </c:pt>
                <c:pt idx="1">
                  <c:v>7</c:v>
                </c:pt>
                <c:pt idx="2">
                  <c:v>5</c:v>
                </c:pt>
                <c:pt idx="3">
                  <c:v>3</c:v>
                </c:pt>
                <c:pt idx="4">
                  <c:v>4</c:v>
                </c:pt>
                <c:pt idx="5">
                  <c:v>0</c:v>
                </c:pt>
                <c:pt idx="6">
                  <c:v>3</c:v>
                </c:pt>
                <c:pt idx="7">
                  <c:v>1</c:v>
                </c:pt>
                <c:pt idx="8">
                  <c:v>3</c:v>
                </c:pt>
                <c:pt idx="9">
                  <c:v>1</c:v>
                </c:pt>
                <c:pt idx="10">
                  <c:v>2</c:v>
                </c:pt>
                <c:pt idx="11">
                  <c:v>0</c:v>
                </c:pt>
                <c:pt idx="12">
                  <c:v>1</c:v>
                </c:pt>
                <c:pt idx="13">
                  <c:v>2</c:v>
                </c:pt>
                <c:pt idx="14">
                  <c:v>0</c:v>
                </c:pt>
                <c:pt idx="15">
                  <c:v>0</c:v>
                </c:pt>
                <c:pt idx="16">
                  <c:v>0</c:v>
                </c:pt>
                <c:pt idx="17">
                  <c:v>0</c:v>
                </c:pt>
                <c:pt idx="18">
                  <c:v>0</c:v>
                </c:pt>
                <c:pt idx="19">
                  <c:v>0</c:v>
                </c:pt>
                <c:pt idx="20">
                  <c:v>1</c:v>
                </c:pt>
                <c:pt idx="21">
                  <c:v>0</c:v>
                </c:pt>
                <c:pt idx="22">
                  <c:v>0</c:v>
                </c:pt>
                <c:pt idx="23">
                  <c:v>0</c:v>
                </c:pt>
                <c:pt idx="24">
                  <c:v>0</c:v>
                </c:pt>
                <c:pt idx="25">
                  <c:v>1</c:v>
                </c:pt>
                <c:pt idx="26">
                  <c:v>1</c:v>
                </c:pt>
                <c:pt idx="27">
                  <c:v>0</c:v>
                </c:pt>
                <c:pt idx="28">
                  <c:v>0</c:v>
                </c:pt>
                <c:pt idx="29">
                  <c:v>0</c:v>
                </c:pt>
                <c:pt idx="30">
                  <c:v>0</c:v>
                </c:pt>
                <c:pt idx="31">
                  <c:v>2</c:v>
                </c:pt>
                <c:pt idx="32">
                  <c:v>0</c:v>
                </c:pt>
                <c:pt idx="33">
                  <c:v>0</c:v>
                </c:pt>
                <c:pt idx="34">
                  <c:v>0</c:v>
                </c:pt>
                <c:pt idx="35">
                  <c:v>0</c:v>
                </c:pt>
                <c:pt idx="36">
                  <c:v>0</c:v>
                </c:pt>
                <c:pt idx="37">
                  <c:v>0</c:v>
                </c:pt>
                <c:pt idx="38">
                  <c:v>0</c:v>
                </c:pt>
                <c:pt idx="39">
                  <c:v>0</c:v>
                </c:pt>
                <c:pt idx="40">
                  <c:v>0</c:v>
                </c:pt>
                <c:pt idx="41">
                  <c:v>1</c:v>
                </c:pt>
                <c:pt idx="42">
                  <c:v>0</c:v>
                </c:pt>
                <c:pt idx="43">
                  <c:v>1</c:v>
                </c:pt>
              </c:numCache>
            </c:numRef>
          </c:val>
        </c:ser>
        <c:dLbls>
          <c:showLegendKey val="0"/>
          <c:showVal val="0"/>
          <c:showCatName val="0"/>
          <c:showSerName val="0"/>
          <c:showPercent val="0"/>
          <c:showBubbleSize val="0"/>
        </c:dLbls>
        <c:gapWidth val="0"/>
        <c:axId val="123307904"/>
        <c:axId val="123329920"/>
      </c:barChart>
      <c:catAx>
        <c:axId val="12330790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23329920"/>
        <c:crosses val="autoZero"/>
        <c:auto val="1"/>
        <c:lblAlgn val="ctr"/>
        <c:lblOffset val="100"/>
        <c:noMultiLvlLbl val="0"/>
      </c:catAx>
      <c:valAx>
        <c:axId val="123329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3079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65</c:v>
                </c:pt>
              </c:strCache>
            </c:strRef>
          </c:tx>
          <c:spPr>
            <a:solidFill>
              <a:schemeClr val="accent1"/>
            </a:solidFill>
          </c:spPr>
          <c:invertIfNegative val="0"/>
          <c:cat>
            <c:numRef>
              <c:f>'Overall Metrics'!$L$2:$L$45</c:f>
              <c:numCache>
                <c:formatCode>#,##0.00</c:formatCode>
                <c:ptCount val="44"/>
                <c:pt idx="0">
                  <c:v>2.7399999999999998E-3</c:v>
                </c:pt>
                <c:pt idx="1">
                  <c:v>2.5932093023255814E-2</c:v>
                </c:pt>
                <c:pt idx="2">
                  <c:v>4.9124186046511628E-2</c:v>
                </c:pt>
                <c:pt idx="3">
                  <c:v>7.2316279069767439E-2</c:v>
                </c:pt>
                <c:pt idx="4">
                  <c:v>9.550837209302325E-2</c:v>
                </c:pt>
                <c:pt idx="5">
                  <c:v>0.11870046511627906</c:v>
                </c:pt>
                <c:pt idx="6">
                  <c:v>0.14189255813953489</c:v>
                </c:pt>
                <c:pt idx="7">
                  <c:v>0.1650846511627907</c:v>
                </c:pt>
                <c:pt idx="8">
                  <c:v>0.18827674418604651</c:v>
                </c:pt>
                <c:pt idx="9">
                  <c:v>0.21146883720930232</c:v>
                </c:pt>
                <c:pt idx="10">
                  <c:v>0.23466093023255813</c:v>
                </c:pt>
                <c:pt idx="11">
                  <c:v>0.25785302325581394</c:v>
                </c:pt>
                <c:pt idx="12">
                  <c:v>0.28104511627906975</c:v>
                </c:pt>
                <c:pt idx="13">
                  <c:v>0.30423720930232556</c:v>
                </c:pt>
                <c:pt idx="14">
                  <c:v>0.32742930232558137</c:v>
                </c:pt>
                <c:pt idx="15">
                  <c:v>0.35062139534883718</c:v>
                </c:pt>
                <c:pt idx="16">
                  <c:v>0.37381348837209299</c:v>
                </c:pt>
                <c:pt idx="17">
                  <c:v>0.39700558139534881</c:v>
                </c:pt>
                <c:pt idx="18">
                  <c:v>0.42019767441860462</c:v>
                </c:pt>
                <c:pt idx="19">
                  <c:v>0.44338976744186043</c:v>
                </c:pt>
                <c:pt idx="20">
                  <c:v>0.46658186046511624</c:v>
                </c:pt>
                <c:pt idx="21">
                  <c:v>0.48977395348837205</c:v>
                </c:pt>
                <c:pt idx="22">
                  <c:v>0.51296604651162792</c:v>
                </c:pt>
                <c:pt idx="23">
                  <c:v>0.53615813953488378</c:v>
                </c:pt>
                <c:pt idx="24">
                  <c:v>0.55935023255813965</c:v>
                </c:pt>
                <c:pt idx="25">
                  <c:v>0.58254232558139551</c:v>
                </c:pt>
                <c:pt idx="26">
                  <c:v>0.60573441860465138</c:v>
                </c:pt>
                <c:pt idx="27">
                  <c:v>0.62892651162790725</c:v>
                </c:pt>
                <c:pt idx="28">
                  <c:v>0.65211860465116311</c:v>
                </c:pt>
                <c:pt idx="29">
                  <c:v>0.67531069767441898</c:v>
                </c:pt>
                <c:pt idx="30">
                  <c:v>0.69850279069767485</c:v>
                </c:pt>
                <c:pt idx="31">
                  <c:v>0.72169488372093071</c:v>
                </c:pt>
                <c:pt idx="32">
                  <c:v>0.74488697674418658</c:v>
                </c:pt>
                <c:pt idx="33">
                  <c:v>0.76807906976744245</c:v>
                </c:pt>
                <c:pt idx="34">
                  <c:v>0.79127116279069831</c:v>
                </c:pt>
                <c:pt idx="35">
                  <c:v>0.81446325581395418</c:v>
                </c:pt>
                <c:pt idx="36">
                  <c:v>0.83765534883721005</c:v>
                </c:pt>
                <c:pt idx="37">
                  <c:v>0.86084744186046591</c:v>
                </c:pt>
                <c:pt idx="38">
                  <c:v>0.88403953488372178</c:v>
                </c:pt>
                <c:pt idx="39">
                  <c:v>0.90723162790697764</c:v>
                </c:pt>
                <c:pt idx="40">
                  <c:v>0.93042372093023351</c:v>
                </c:pt>
                <c:pt idx="41">
                  <c:v>0.95361581395348938</c:v>
                </c:pt>
                <c:pt idx="42">
                  <c:v>0.97680790697674524</c:v>
                </c:pt>
                <c:pt idx="43">
                  <c:v>1</c:v>
                </c:pt>
              </c:numCache>
            </c:numRef>
          </c:cat>
          <c:val>
            <c:numRef>
              <c:f>'Overall Metrics'!$M$2:$M$45</c:f>
              <c:numCache>
                <c:formatCode>General</c:formatCode>
                <c:ptCount val="44"/>
                <c:pt idx="0">
                  <c:v>65</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0</c:v>
                </c:pt>
                <c:pt idx="17">
                  <c:v>0</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6</c:v>
                </c:pt>
              </c:numCache>
            </c:numRef>
          </c:val>
        </c:ser>
        <c:dLbls>
          <c:showLegendKey val="0"/>
          <c:showVal val="0"/>
          <c:showCatName val="0"/>
          <c:showSerName val="0"/>
          <c:showPercent val="0"/>
          <c:showBubbleSize val="0"/>
        </c:dLbls>
        <c:gapWidth val="0"/>
        <c:axId val="123365248"/>
        <c:axId val="123397248"/>
      </c:barChart>
      <c:catAx>
        <c:axId val="1233652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23397248"/>
        <c:crosses val="autoZero"/>
        <c:auto val="1"/>
        <c:lblAlgn val="ctr"/>
        <c:lblOffset val="100"/>
        <c:noMultiLvlLbl val="0"/>
      </c:catAx>
      <c:valAx>
        <c:axId val="123397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365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15</c:v>
                </c:pt>
              </c:strCache>
            </c:strRef>
          </c:tx>
          <c:spPr>
            <a:solidFill>
              <a:schemeClr val="accent1"/>
            </a:solidFill>
          </c:spPr>
          <c:invertIfNegative val="0"/>
          <c:cat>
            <c:numRef>
              <c:f>'Overall Metrics'!$N$2:$N$45</c:f>
              <c:numCache>
                <c:formatCode>#,##0.00</c:formatCode>
                <c:ptCount val="44"/>
                <c:pt idx="0">
                  <c:v>0</c:v>
                </c:pt>
                <c:pt idx="1">
                  <c:v>1.8226046511627906E-3</c:v>
                </c:pt>
                <c:pt idx="2">
                  <c:v>3.6452093023255812E-3</c:v>
                </c:pt>
                <c:pt idx="3">
                  <c:v>5.4678139534883718E-3</c:v>
                </c:pt>
                <c:pt idx="4">
                  <c:v>7.2904186046511624E-3</c:v>
                </c:pt>
                <c:pt idx="5">
                  <c:v>9.113023255813953E-3</c:v>
                </c:pt>
                <c:pt idx="6">
                  <c:v>1.0935627906976744E-2</c:v>
                </c:pt>
                <c:pt idx="7">
                  <c:v>1.2758232558139534E-2</c:v>
                </c:pt>
                <c:pt idx="8">
                  <c:v>1.4580837209302325E-2</c:v>
                </c:pt>
                <c:pt idx="9">
                  <c:v>1.6403441860465114E-2</c:v>
                </c:pt>
                <c:pt idx="10">
                  <c:v>1.8226046511627902E-2</c:v>
                </c:pt>
                <c:pt idx="11">
                  <c:v>2.0048651162790691E-2</c:v>
                </c:pt>
                <c:pt idx="12">
                  <c:v>2.187125581395348E-2</c:v>
                </c:pt>
                <c:pt idx="13">
                  <c:v>2.3693860465116269E-2</c:v>
                </c:pt>
                <c:pt idx="14">
                  <c:v>2.5516465116279058E-2</c:v>
                </c:pt>
                <c:pt idx="15">
                  <c:v>2.7339069767441847E-2</c:v>
                </c:pt>
                <c:pt idx="16">
                  <c:v>2.9161674418604636E-2</c:v>
                </c:pt>
                <c:pt idx="17">
                  <c:v>3.0984279069767424E-2</c:v>
                </c:pt>
                <c:pt idx="18">
                  <c:v>3.2806883720930213E-2</c:v>
                </c:pt>
                <c:pt idx="19">
                  <c:v>3.4629488372093002E-2</c:v>
                </c:pt>
                <c:pt idx="20">
                  <c:v>3.6452093023255791E-2</c:v>
                </c:pt>
                <c:pt idx="21">
                  <c:v>3.827469767441858E-2</c:v>
                </c:pt>
                <c:pt idx="22">
                  <c:v>4.0097302325581369E-2</c:v>
                </c:pt>
                <c:pt idx="23">
                  <c:v>4.1919906976744158E-2</c:v>
                </c:pt>
                <c:pt idx="24">
                  <c:v>4.3742511627906946E-2</c:v>
                </c:pt>
                <c:pt idx="25">
                  <c:v>4.5565116279069735E-2</c:v>
                </c:pt>
                <c:pt idx="26">
                  <c:v>4.7387720930232524E-2</c:v>
                </c:pt>
                <c:pt idx="27">
                  <c:v>4.9210325581395313E-2</c:v>
                </c:pt>
                <c:pt idx="28">
                  <c:v>5.1032930232558102E-2</c:v>
                </c:pt>
                <c:pt idx="29">
                  <c:v>5.2855534883720891E-2</c:v>
                </c:pt>
                <c:pt idx="30">
                  <c:v>5.467813953488368E-2</c:v>
                </c:pt>
                <c:pt idx="31">
                  <c:v>5.6500744186046468E-2</c:v>
                </c:pt>
                <c:pt idx="32">
                  <c:v>5.8323348837209257E-2</c:v>
                </c:pt>
                <c:pt idx="33">
                  <c:v>6.0145953488372046E-2</c:v>
                </c:pt>
                <c:pt idx="34">
                  <c:v>6.1968558139534835E-2</c:v>
                </c:pt>
                <c:pt idx="35">
                  <c:v>6.3791162790697631E-2</c:v>
                </c:pt>
                <c:pt idx="36">
                  <c:v>6.5613767441860427E-2</c:v>
                </c:pt>
                <c:pt idx="37">
                  <c:v>6.7436372093023222E-2</c:v>
                </c:pt>
                <c:pt idx="38">
                  <c:v>6.9258976744186018E-2</c:v>
                </c:pt>
                <c:pt idx="39">
                  <c:v>7.1081581395348814E-2</c:v>
                </c:pt>
                <c:pt idx="40">
                  <c:v>7.290418604651161E-2</c:v>
                </c:pt>
                <c:pt idx="41">
                  <c:v>7.4726790697674406E-2</c:v>
                </c:pt>
                <c:pt idx="42">
                  <c:v>7.6549395348837201E-2</c:v>
                </c:pt>
                <c:pt idx="43">
                  <c:v>7.8371999999999997E-2</c:v>
                </c:pt>
              </c:numCache>
            </c:numRef>
          </c:cat>
          <c:val>
            <c:numRef>
              <c:f>'Overall Metrics'!$O$2:$O$45</c:f>
              <c:numCache>
                <c:formatCode>General</c:formatCode>
                <c:ptCount val="44"/>
                <c:pt idx="0">
                  <c:v>15</c:v>
                </c:pt>
                <c:pt idx="1">
                  <c:v>8</c:v>
                </c:pt>
                <c:pt idx="2">
                  <c:v>5</c:v>
                </c:pt>
                <c:pt idx="3">
                  <c:v>3</c:v>
                </c:pt>
                <c:pt idx="4">
                  <c:v>8</c:v>
                </c:pt>
                <c:pt idx="5">
                  <c:v>6</c:v>
                </c:pt>
                <c:pt idx="6">
                  <c:v>5</c:v>
                </c:pt>
                <c:pt idx="7">
                  <c:v>1</c:v>
                </c:pt>
                <c:pt idx="8">
                  <c:v>3</c:v>
                </c:pt>
                <c:pt idx="9">
                  <c:v>3</c:v>
                </c:pt>
                <c:pt idx="10">
                  <c:v>2</c:v>
                </c:pt>
                <c:pt idx="11">
                  <c:v>1</c:v>
                </c:pt>
                <c:pt idx="12">
                  <c:v>1</c:v>
                </c:pt>
                <c:pt idx="13">
                  <c:v>0</c:v>
                </c:pt>
                <c:pt idx="14">
                  <c:v>0</c:v>
                </c:pt>
                <c:pt idx="15">
                  <c:v>0</c:v>
                </c:pt>
                <c:pt idx="16">
                  <c:v>0</c:v>
                </c:pt>
                <c:pt idx="17">
                  <c:v>2</c:v>
                </c:pt>
                <c:pt idx="18">
                  <c:v>1</c:v>
                </c:pt>
                <c:pt idx="19">
                  <c:v>1</c:v>
                </c:pt>
                <c:pt idx="20">
                  <c:v>2</c:v>
                </c:pt>
                <c:pt idx="21">
                  <c:v>1</c:v>
                </c:pt>
                <c:pt idx="22">
                  <c:v>1</c:v>
                </c:pt>
                <c:pt idx="23">
                  <c:v>1</c:v>
                </c:pt>
                <c:pt idx="24">
                  <c:v>1</c:v>
                </c:pt>
                <c:pt idx="25">
                  <c:v>0</c:v>
                </c:pt>
                <c:pt idx="26">
                  <c:v>1</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23450880"/>
        <c:axId val="123601280"/>
      </c:barChart>
      <c:catAx>
        <c:axId val="1234508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23601280"/>
        <c:crosses val="autoZero"/>
        <c:auto val="1"/>
        <c:lblAlgn val="ctr"/>
        <c:lblOffset val="100"/>
        <c:noMultiLvlLbl val="0"/>
      </c:catAx>
      <c:valAx>
        <c:axId val="1236012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4508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56</c:v>
                </c:pt>
              </c:strCache>
            </c:strRef>
          </c:tx>
          <c:spPr>
            <a:solidFill>
              <a:schemeClr val="accent1"/>
            </a:solidFill>
          </c:spPr>
          <c:invertIfNegative val="0"/>
          <c:cat>
            <c:numRef>
              <c:f>'Overall Metrics'!$R$2:$R$45</c:f>
              <c:numCache>
                <c:formatCode>#,##0.00</c:formatCode>
                <c:ptCount val="44"/>
                <c:pt idx="0">
                  <c:v>0</c:v>
                </c:pt>
                <c:pt idx="1">
                  <c:v>1.1627906976744186E-2</c:v>
                </c:pt>
                <c:pt idx="2">
                  <c:v>2.3255813953488372E-2</c:v>
                </c:pt>
                <c:pt idx="3">
                  <c:v>3.4883720930232558E-2</c:v>
                </c:pt>
                <c:pt idx="4">
                  <c:v>4.6511627906976744E-2</c:v>
                </c:pt>
                <c:pt idx="5">
                  <c:v>5.8139534883720929E-2</c:v>
                </c:pt>
                <c:pt idx="6">
                  <c:v>6.9767441860465115E-2</c:v>
                </c:pt>
                <c:pt idx="7">
                  <c:v>8.1395348837209308E-2</c:v>
                </c:pt>
                <c:pt idx="8">
                  <c:v>9.3023255813953487E-2</c:v>
                </c:pt>
                <c:pt idx="9">
                  <c:v>0.10465116279069767</c:v>
                </c:pt>
                <c:pt idx="10">
                  <c:v>0.11627906976744184</c:v>
                </c:pt>
                <c:pt idx="11">
                  <c:v>0.12790697674418602</c:v>
                </c:pt>
                <c:pt idx="12">
                  <c:v>0.1395348837209302</c:v>
                </c:pt>
                <c:pt idx="13">
                  <c:v>0.15116279069767438</c:v>
                </c:pt>
                <c:pt idx="14">
                  <c:v>0.16279069767441856</c:v>
                </c:pt>
                <c:pt idx="15">
                  <c:v>0.17441860465116274</c:v>
                </c:pt>
                <c:pt idx="16">
                  <c:v>0.18604651162790692</c:v>
                </c:pt>
                <c:pt idx="17">
                  <c:v>0.1976744186046511</c:v>
                </c:pt>
                <c:pt idx="18">
                  <c:v>0.20930232558139528</c:v>
                </c:pt>
                <c:pt idx="19">
                  <c:v>0.22093023255813946</c:v>
                </c:pt>
                <c:pt idx="20">
                  <c:v>0.23255813953488363</c:v>
                </c:pt>
                <c:pt idx="21">
                  <c:v>0.24418604651162781</c:v>
                </c:pt>
                <c:pt idx="22">
                  <c:v>0.25581395348837199</c:v>
                </c:pt>
                <c:pt idx="23">
                  <c:v>0.2674418604651162</c:v>
                </c:pt>
                <c:pt idx="24">
                  <c:v>0.27906976744186041</c:v>
                </c:pt>
                <c:pt idx="25">
                  <c:v>0.29069767441860461</c:v>
                </c:pt>
                <c:pt idx="26">
                  <c:v>0.30232558139534882</c:v>
                </c:pt>
                <c:pt idx="27">
                  <c:v>0.31395348837209303</c:v>
                </c:pt>
                <c:pt idx="28">
                  <c:v>0.32558139534883723</c:v>
                </c:pt>
                <c:pt idx="29">
                  <c:v>0.33720930232558144</c:v>
                </c:pt>
                <c:pt idx="30">
                  <c:v>0.34883720930232565</c:v>
                </c:pt>
                <c:pt idx="31">
                  <c:v>0.36046511627906985</c:v>
                </c:pt>
                <c:pt idx="32">
                  <c:v>0.37209302325581406</c:v>
                </c:pt>
                <c:pt idx="33">
                  <c:v>0.38372093023255827</c:v>
                </c:pt>
                <c:pt idx="34">
                  <c:v>0.39534883720930247</c:v>
                </c:pt>
                <c:pt idx="35">
                  <c:v>0.40697674418604668</c:v>
                </c:pt>
                <c:pt idx="36">
                  <c:v>0.41860465116279089</c:v>
                </c:pt>
                <c:pt idx="37">
                  <c:v>0.43023255813953509</c:v>
                </c:pt>
                <c:pt idx="38">
                  <c:v>0.4418604651162793</c:v>
                </c:pt>
                <c:pt idx="39">
                  <c:v>0.45348837209302351</c:v>
                </c:pt>
                <c:pt idx="40">
                  <c:v>0.46511627906976771</c:v>
                </c:pt>
                <c:pt idx="41">
                  <c:v>0.47674418604651192</c:v>
                </c:pt>
                <c:pt idx="42">
                  <c:v>0.48837209302325613</c:v>
                </c:pt>
                <c:pt idx="43">
                  <c:v>0.5</c:v>
                </c:pt>
              </c:numCache>
            </c:numRef>
          </c:cat>
          <c:val>
            <c:numRef>
              <c:f>'Overall Metrics'!$S$2:$S$45</c:f>
              <c:numCache>
                <c:formatCode>General</c:formatCode>
                <c:ptCount val="44"/>
                <c:pt idx="0">
                  <c:v>56</c:v>
                </c:pt>
                <c:pt idx="1">
                  <c:v>2</c:v>
                </c:pt>
                <c:pt idx="2">
                  <c:v>2</c:v>
                </c:pt>
                <c:pt idx="3">
                  <c:v>0</c:v>
                </c:pt>
                <c:pt idx="4">
                  <c:v>1</c:v>
                </c:pt>
                <c:pt idx="5">
                  <c:v>0</c:v>
                </c:pt>
                <c:pt idx="6">
                  <c:v>2</c:v>
                </c:pt>
                <c:pt idx="7">
                  <c:v>0</c:v>
                </c:pt>
                <c:pt idx="8">
                  <c:v>2</c:v>
                </c:pt>
                <c:pt idx="9">
                  <c:v>0</c:v>
                </c:pt>
                <c:pt idx="10">
                  <c:v>0</c:v>
                </c:pt>
                <c:pt idx="11">
                  <c:v>0</c:v>
                </c:pt>
                <c:pt idx="12">
                  <c:v>0</c:v>
                </c:pt>
                <c:pt idx="13">
                  <c:v>0</c:v>
                </c:pt>
                <c:pt idx="14">
                  <c:v>3</c:v>
                </c:pt>
                <c:pt idx="15">
                  <c:v>0</c:v>
                </c:pt>
                <c:pt idx="16">
                  <c:v>0</c:v>
                </c:pt>
                <c:pt idx="17">
                  <c:v>1</c:v>
                </c:pt>
                <c:pt idx="18">
                  <c:v>0</c:v>
                </c:pt>
                <c:pt idx="19">
                  <c:v>0</c:v>
                </c:pt>
                <c:pt idx="20">
                  <c:v>0</c:v>
                </c:pt>
                <c:pt idx="21">
                  <c:v>0</c:v>
                </c:pt>
                <c:pt idx="22">
                  <c:v>0</c:v>
                </c:pt>
                <c:pt idx="23">
                  <c:v>0</c:v>
                </c:pt>
                <c:pt idx="24">
                  <c:v>0</c:v>
                </c:pt>
                <c:pt idx="25">
                  <c:v>0</c:v>
                </c:pt>
                <c:pt idx="26">
                  <c:v>0</c:v>
                </c:pt>
                <c:pt idx="27">
                  <c:v>0</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3</c:v>
                </c:pt>
              </c:numCache>
            </c:numRef>
          </c:val>
        </c:ser>
        <c:dLbls>
          <c:showLegendKey val="0"/>
          <c:showVal val="0"/>
          <c:showCatName val="0"/>
          <c:showSerName val="0"/>
          <c:showPercent val="0"/>
          <c:showBubbleSize val="0"/>
        </c:dLbls>
        <c:gapWidth val="0"/>
        <c:axId val="123640448"/>
        <c:axId val="123680640"/>
      </c:barChart>
      <c:catAx>
        <c:axId val="12364044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23680640"/>
        <c:crosses val="autoZero"/>
        <c:auto val="1"/>
        <c:lblAlgn val="ctr"/>
        <c:lblOffset val="100"/>
        <c:noMultiLvlLbl val="0"/>
      </c:catAx>
      <c:valAx>
        <c:axId val="1236806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23640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12</c:v>
                </c:pt>
              </c:strCache>
            </c:strRef>
          </c:tx>
          <c:spPr>
            <a:solidFill>
              <a:schemeClr val="accent1"/>
            </a:solidFill>
          </c:spPr>
          <c:invertIfNegative val="0"/>
          <c:cat>
            <c:numRef>
              <c:f>'Overall Metrics'!$R$2:$R$45</c:f>
              <c:numCache>
                <c:formatCode>#,##0.00</c:formatCode>
                <c:ptCount val="44"/>
                <c:pt idx="0">
                  <c:v>0</c:v>
                </c:pt>
                <c:pt idx="1">
                  <c:v>1.1627906976744186E-2</c:v>
                </c:pt>
                <c:pt idx="2">
                  <c:v>2.3255813953488372E-2</c:v>
                </c:pt>
                <c:pt idx="3">
                  <c:v>3.4883720930232558E-2</c:v>
                </c:pt>
                <c:pt idx="4">
                  <c:v>4.6511627906976744E-2</c:v>
                </c:pt>
                <c:pt idx="5">
                  <c:v>5.8139534883720929E-2</c:v>
                </c:pt>
                <c:pt idx="6">
                  <c:v>6.9767441860465115E-2</c:v>
                </c:pt>
                <c:pt idx="7">
                  <c:v>8.1395348837209308E-2</c:v>
                </c:pt>
                <c:pt idx="8">
                  <c:v>9.3023255813953487E-2</c:v>
                </c:pt>
                <c:pt idx="9">
                  <c:v>0.10465116279069767</c:v>
                </c:pt>
                <c:pt idx="10">
                  <c:v>0.11627906976744184</c:v>
                </c:pt>
                <c:pt idx="11">
                  <c:v>0.12790697674418602</c:v>
                </c:pt>
                <c:pt idx="12">
                  <c:v>0.1395348837209302</c:v>
                </c:pt>
                <c:pt idx="13">
                  <c:v>0.15116279069767438</c:v>
                </c:pt>
                <c:pt idx="14">
                  <c:v>0.16279069767441856</c:v>
                </c:pt>
                <c:pt idx="15">
                  <c:v>0.17441860465116274</c:v>
                </c:pt>
                <c:pt idx="16">
                  <c:v>0.18604651162790692</c:v>
                </c:pt>
                <c:pt idx="17">
                  <c:v>0.1976744186046511</c:v>
                </c:pt>
                <c:pt idx="18">
                  <c:v>0.20930232558139528</c:v>
                </c:pt>
                <c:pt idx="19">
                  <c:v>0.22093023255813946</c:v>
                </c:pt>
                <c:pt idx="20">
                  <c:v>0.23255813953488363</c:v>
                </c:pt>
                <c:pt idx="21">
                  <c:v>0.24418604651162781</c:v>
                </c:pt>
                <c:pt idx="22">
                  <c:v>0.25581395348837199</c:v>
                </c:pt>
                <c:pt idx="23">
                  <c:v>0.2674418604651162</c:v>
                </c:pt>
                <c:pt idx="24">
                  <c:v>0.27906976744186041</c:v>
                </c:pt>
                <c:pt idx="25">
                  <c:v>0.29069767441860461</c:v>
                </c:pt>
                <c:pt idx="26">
                  <c:v>0.30232558139534882</c:v>
                </c:pt>
                <c:pt idx="27">
                  <c:v>0.31395348837209303</c:v>
                </c:pt>
                <c:pt idx="28">
                  <c:v>0.32558139534883723</c:v>
                </c:pt>
                <c:pt idx="29">
                  <c:v>0.33720930232558144</c:v>
                </c:pt>
                <c:pt idx="30">
                  <c:v>0.34883720930232565</c:v>
                </c:pt>
                <c:pt idx="31">
                  <c:v>0.36046511627906985</c:v>
                </c:pt>
                <c:pt idx="32">
                  <c:v>0.37209302325581406</c:v>
                </c:pt>
                <c:pt idx="33">
                  <c:v>0.38372093023255827</c:v>
                </c:pt>
                <c:pt idx="34">
                  <c:v>0.39534883720930247</c:v>
                </c:pt>
                <c:pt idx="35">
                  <c:v>0.40697674418604668</c:v>
                </c:pt>
                <c:pt idx="36">
                  <c:v>0.41860465116279089</c:v>
                </c:pt>
                <c:pt idx="37">
                  <c:v>0.43023255813953509</c:v>
                </c:pt>
                <c:pt idx="38">
                  <c:v>0.4418604651162793</c:v>
                </c:pt>
                <c:pt idx="39">
                  <c:v>0.45348837209302351</c:v>
                </c:pt>
                <c:pt idx="40">
                  <c:v>0.46511627906976771</c:v>
                </c:pt>
                <c:pt idx="41">
                  <c:v>0.47674418604651192</c:v>
                </c:pt>
                <c:pt idx="42">
                  <c:v>0.48837209302325613</c:v>
                </c:pt>
                <c:pt idx="43">
                  <c:v>0.5</c:v>
                </c:pt>
              </c:numCache>
            </c:numRef>
          </c:cat>
          <c:val>
            <c:numRef>
              <c:f>'Overall Metrics'!$Q$2:$Q$45</c:f>
              <c:numCache>
                <c:formatCode>General</c:formatCode>
                <c:ptCount val="44"/>
                <c:pt idx="0">
                  <c:v>12</c:v>
                </c:pt>
                <c:pt idx="1">
                  <c:v>3</c:v>
                </c:pt>
                <c:pt idx="2">
                  <c:v>2</c:v>
                </c:pt>
                <c:pt idx="3">
                  <c:v>5</c:v>
                </c:pt>
                <c:pt idx="4">
                  <c:v>6</c:v>
                </c:pt>
                <c:pt idx="5">
                  <c:v>7</c:v>
                </c:pt>
                <c:pt idx="6">
                  <c:v>5</c:v>
                </c:pt>
                <c:pt idx="7">
                  <c:v>0</c:v>
                </c:pt>
                <c:pt idx="8">
                  <c:v>3</c:v>
                </c:pt>
                <c:pt idx="9">
                  <c:v>7</c:v>
                </c:pt>
                <c:pt idx="10">
                  <c:v>1</c:v>
                </c:pt>
                <c:pt idx="11">
                  <c:v>5</c:v>
                </c:pt>
                <c:pt idx="12">
                  <c:v>1</c:v>
                </c:pt>
                <c:pt idx="13">
                  <c:v>0</c:v>
                </c:pt>
                <c:pt idx="14">
                  <c:v>1</c:v>
                </c:pt>
                <c:pt idx="15">
                  <c:v>2</c:v>
                </c:pt>
                <c:pt idx="16">
                  <c:v>2</c:v>
                </c:pt>
                <c:pt idx="17">
                  <c:v>1</c:v>
                </c:pt>
                <c:pt idx="18">
                  <c:v>0</c:v>
                </c:pt>
                <c:pt idx="19">
                  <c:v>2</c:v>
                </c:pt>
                <c:pt idx="20">
                  <c:v>1</c:v>
                </c:pt>
                <c:pt idx="21">
                  <c:v>0</c:v>
                </c:pt>
                <c:pt idx="22">
                  <c:v>1</c:v>
                </c:pt>
                <c:pt idx="23">
                  <c:v>1</c:v>
                </c:pt>
                <c:pt idx="24">
                  <c:v>1</c:v>
                </c:pt>
                <c:pt idx="25">
                  <c:v>0</c:v>
                </c:pt>
                <c:pt idx="26">
                  <c:v>1</c:v>
                </c:pt>
                <c:pt idx="27">
                  <c:v>0</c:v>
                </c:pt>
                <c:pt idx="28">
                  <c:v>0</c:v>
                </c:pt>
                <c:pt idx="29">
                  <c:v>0</c:v>
                </c:pt>
                <c:pt idx="30">
                  <c:v>1</c:v>
                </c:pt>
                <c:pt idx="31">
                  <c:v>0</c:v>
                </c:pt>
                <c:pt idx="32">
                  <c:v>0</c:v>
                </c:pt>
                <c:pt idx="33">
                  <c:v>0</c:v>
                </c:pt>
                <c:pt idx="34">
                  <c:v>0</c:v>
                </c:pt>
                <c:pt idx="35">
                  <c:v>0</c:v>
                </c:pt>
                <c:pt idx="36">
                  <c:v>2</c:v>
                </c:pt>
                <c:pt idx="37">
                  <c:v>0</c:v>
                </c:pt>
                <c:pt idx="38">
                  <c:v>0</c:v>
                </c:pt>
                <c:pt idx="39">
                  <c:v>0</c:v>
                </c:pt>
                <c:pt idx="40">
                  <c:v>0</c:v>
                </c:pt>
                <c:pt idx="41">
                  <c:v>0</c:v>
                </c:pt>
                <c:pt idx="42">
                  <c:v>0</c:v>
                </c:pt>
                <c:pt idx="43">
                  <c:v>1</c:v>
                </c:pt>
              </c:numCache>
            </c:numRef>
          </c:val>
        </c:ser>
        <c:dLbls>
          <c:showLegendKey val="0"/>
          <c:showVal val="0"/>
          <c:showCatName val="0"/>
          <c:showSerName val="0"/>
          <c:showPercent val="0"/>
          <c:showBubbleSize val="0"/>
        </c:dLbls>
        <c:gapWidth val="0"/>
        <c:axId val="134529024"/>
        <c:axId val="134531712"/>
      </c:barChart>
      <c:catAx>
        <c:axId val="1345290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34531712"/>
        <c:crosses val="autoZero"/>
        <c:auto val="1"/>
        <c:lblAlgn val="ctr"/>
        <c:lblOffset val="100"/>
        <c:noMultiLvlLbl val="0"/>
      </c:catAx>
      <c:valAx>
        <c:axId val="1345317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45290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35182976"/>
        <c:axId val="137970048"/>
      </c:barChart>
      <c:catAx>
        <c:axId val="135182976"/>
        <c:scaling>
          <c:orientation val="minMax"/>
        </c:scaling>
        <c:delete val="1"/>
        <c:axPos val="b"/>
        <c:numFmt formatCode="#,##0.00" sourceLinked="1"/>
        <c:majorTickMark val="out"/>
        <c:minorTickMark val="none"/>
        <c:tickLblPos val="none"/>
        <c:crossAx val="137970048"/>
        <c:crosses val="autoZero"/>
        <c:auto val="1"/>
        <c:lblAlgn val="ctr"/>
        <c:lblOffset val="100"/>
        <c:noMultiLvlLbl val="0"/>
      </c:catAx>
      <c:valAx>
        <c:axId val="137970048"/>
        <c:scaling>
          <c:orientation val="minMax"/>
        </c:scaling>
        <c:delete val="1"/>
        <c:axPos val="l"/>
        <c:numFmt formatCode="General" sourceLinked="1"/>
        <c:majorTickMark val="out"/>
        <c:minorTickMark val="none"/>
        <c:tickLblPos val="none"/>
        <c:crossAx val="1351829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22" totalsRowShown="0" headerRowDxfId="135" dataDxfId="134">
  <autoFilter ref="A2:N122"/>
  <tableColumns count="14">
    <tableColumn id="1" name="Vertex 1" dataDxfId="133" dataCellStyle="NodeXL Required"/>
    <tableColumn id="2" name="Vertex 2" dataDxfId="132" dataCellStyle="NodeXL Required"/>
    <tableColumn id="3" name="Color" dataDxfId="131" dataCellStyle="NodeXL Visual Property"/>
    <tableColumn id="4" name="Width" dataDxfId="130" dataCellStyle="NodeXL Visual Property"/>
    <tableColumn id="11" name="Style" dataDxfId="129" dataCellStyle="NodeXL Visual Property"/>
    <tableColumn id="5" name="Opacity" dataDxfId="128" dataCellStyle="NodeXL Visual Property"/>
    <tableColumn id="6" name="Visibility" dataDxfId="53" dataCellStyle="NodeXL Visual Property">
      <calculatedColumnFormula>IF(Edges[[#This Row],[Vertex 1]]=Edges[[#This Row],[Vertex 2]],"Skip","Show")</calculatedColumnFormula>
    </tableColumn>
    <tableColumn id="10" name="Label" dataDxfId="127" dataCellStyle="NodeXL Label"/>
    <tableColumn id="12" name="Label Text Color" dataDxfId="126" dataCellStyle="NodeXL Label"/>
    <tableColumn id="13" name="Label Font Size" dataDxfId="125" dataCellStyle="NodeXL Label"/>
    <tableColumn id="14" name="Reciprocated?" dataDxfId="50" dataCellStyle="NodeXL Graph Metric"/>
    <tableColumn id="7" name="ID" dataDxfId="124" dataCellStyle="NodeXL Do Not Edit"/>
    <tableColumn id="9" name="Dynamic Filter" dataDxfId="123" dataCellStyle="NodeXL Do Not Edit"/>
    <tableColumn id="8" name="Add Your Own Columns Here" dataDxfId="122"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55">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27" name="TwitterSearchNetworkTopItems_1" displayName="TwitterSearchNetworkTopItems_1" ref="A1:B2" totalsRowShown="0" headerRowDxfId="48" dataDxfId="49" dataCellStyle="Normal">
  <autoFilter ref="A1:B2"/>
  <tableColumns count="2">
    <tableColumn id="1" name="Top Replied-To in Entire Graph" dataDxfId="47" dataCellStyle="Normal"/>
    <tableColumn id="2" name="Entire Graph Count" dataDxfId="46" dataCellStyle="Normal"/>
  </tableColumns>
  <tableStyleInfo name="NodeXL Table" showFirstColumn="0" showLastColumn="0" showRowStripes="1" showColumnStripes="0"/>
</table>
</file>

<file path=xl/tables/table12.xml><?xml version="1.0" encoding="utf-8"?>
<table xmlns="http://schemas.openxmlformats.org/spreadsheetml/2006/main" id="28" name="TwitterSearchNetworkTopItems_2" displayName="TwitterSearchNetworkTopItems_2" ref="A4:B5" totalsRowShown="0" headerRowDxfId="44" dataDxfId="45" dataCellStyle="Normal">
  <autoFilter ref="A4:B5"/>
  <tableColumns count="2">
    <tableColumn id="1" name="Top Mentioned in Entire Graph" dataDxfId="43" dataCellStyle="Normal"/>
    <tableColumn id="2" name="Entire Graph Count" dataDxfId="42" dataCellStyle="Normal"/>
  </tableColumns>
  <tableStyleInfo name="NodeXL Table" showFirstColumn="0" showLastColumn="0" showRowStripes="1" showColumnStripes="0"/>
</table>
</file>

<file path=xl/tables/table13.xml><?xml version="1.0" encoding="utf-8"?>
<table xmlns="http://schemas.openxmlformats.org/spreadsheetml/2006/main" id="29" name="TwitterSearchNetworkTopItems_3" displayName="TwitterSearchNetworkTopItems_3" ref="A7:B8" totalsRowShown="0" headerRowDxfId="38" dataDxfId="39" dataCellStyle="Normal">
  <autoFilter ref="A7:B8"/>
  <tableColumns count="2">
    <tableColumn id="1" name="Top URLs in Tweet in Entire Graph" dataDxfId="37" dataCellStyle="Normal"/>
    <tableColumn id="2" name="Entire Graph Count" dataDxfId="36" dataCellStyle="Normal"/>
  </tableColumns>
  <tableStyleInfo name="NodeXL Table" showFirstColumn="0" showLastColumn="0" showRowStripes="1" showColumnStripes="0"/>
</table>
</file>

<file path=xl/tables/table14.xml><?xml version="1.0" encoding="utf-8"?>
<table xmlns="http://schemas.openxmlformats.org/spreadsheetml/2006/main" id="30" name="TwitterSearchNetworkTopItems_4" displayName="TwitterSearchNetworkTopItems_4" ref="A10:B11" totalsRowShown="0" headerRowDxfId="33" dataDxfId="34" dataCellStyle="Normal">
  <autoFilter ref="A10:B11"/>
  <tableColumns count="2">
    <tableColumn id="1" name="Top Domains in Tweet in Entire Graph" dataDxfId="32" dataCellStyle="Normal"/>
    <tableColumn id="2" name="Entire Graph Count" dataDxfId="31" dataCellStyle="Normal"/>
  </tableColumns>
  <tableStyleInfo name="NodeXL Table" showFirstColumn="0" showLastColumn="0" showRowStripes="1" showColumnStripes="0"/>
</table>
</file>

<file path=xl/tables/table15.xml><?xml version="1.0" encoding="utf-8"?>
<table xmlns="http://schemas.openxmlformats.org/spreadsheetml/2006/main" id="31" name="TwitterSearchNetworkTopItems_5" displayName="TwitterSearchNetworkTopItems_5" ref="A13:B14" totalsRowShown="0" headerRowDxfId="28" dataDxfId="29" dataCellStyle="Normal">
  <autoFilter ref="A13:B14"/>
  <tableColumns count="2">
    <tableColumn id="1" name="Top Hashtags in Tweet in Entire Graph" dataDxfId="27" dataCellStyle="Normal"/>
    <tableColumn id="2" name="Entire Graph Count" dataDxfId="26" dataCellStyle="Normal"/>
  </tableColumns>
  <tableStyleInfo name="NodeXL Table" showFirstColumn="0" showLastColumn="0" showRowStripes="1" showColumnStripes="0"/>
</table>
</file>

<file path=xl/tables/table16.xml><?xml version="1.0" encoding="utf-8"?>
<table xmlns="http://schemas.openxmlformats.org/spreadsheetml/2006/main" id="32" name="TwitterSearchNetworkTopItems_6" displayName="TwitterSearchNetworkTopItems_6" ref="A16:B17" totalsRowShown="0" headerRowDxfId="23" dataDxfId="24" dataCellStyle="Normal">
  <autoFilter ref="A16:B17"/>
  <tableColumns count="2">
    <tableColumn id="1" name="Top Words in Tweet in Entire Graph" dataDxfId="22" dataCellStyle="Normal"/>
    <tableColumn id="2" name="Entire Graph Count" dataDxfId="21" dataCellStyle="Normal"/>
  </tableColumns>
  <tableStyleInfo name="NodeXL Table" showFirstColumn="0" showLastColumn="0" showRowStripes="1" showColumnStripes="0"/>
</table>
</file>

<file path=xl/tables/table17.xml><?xml version="1.0" encoding="utf-8"?>
<table xmlns="http://schemas.openxmlformats.org/spreadsheetml/2006/main" id="33" name="TwitterSearchNetworkTopItems_7" displayName="TwitterSearchNetworkTopItems_7" ref="A19:B20" totalsRowShown="0" headerRowDxfId="18" dataDxfId="19" dataCellStyle="Normal">
  <autoFilter ref="A19:B20"/>
  <tableColumns count="2">
    <tableColumn id="1" name="Top Word Pairs in Tweet in Entire Graph" dataDxfId="17" dataCellStyle="Normal"/>
    <tableColumn id="2" name="Entire Graph Count" dataDxfId="16" dataCellStyle="Normal"/>
  </tableColumns>
  <tableStyleInfo name="NodeXL Table" showFirstColumn="0" showLastColumn="0" showRowStripes="1" showColumnStripes="0"/>
</table>
</file>

<file path=xl/tables/table18.xml><?xml version="1.0" encoding="utf-8"?>
<table xmlns="http://schemas.openxmlformats.org/spreadsheetml/2006/main" id="34" name="TwitterSearchNetworkTopItems_8" displayName="TwitterSearchNetworkTopItems_8" ref="A22:B23" totalsRowShown="0" headerRowDxfId="13" dataDxfId="14" dataCellStyle="Normal">
  <autoFilter ref="A22:B23"/>
  <tableColumns count="2">
    <tableColumn id="1" name="Top Tweeters in Entire Graph" dataDxfId="12" dataCellStyle="Normal"/>
    <tableColumn id="2" name="Entire Graph Count" dataDxfId="11"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AC78" totalsRowShown="0" headerRowDxfId="121" dataDxfId="120">
  <autoFilter ref="A2:AC78"/>
  <sortState ref="A3:AC78">
    <sortCondition descending="1" ref="W2:W78"/>
  </sortState>
  <tableColumns count="29">
    <tableColumn id="1" name="Vertex" dataDxfId="119" dataCellStyle="NodeXL Required"/>
    <tableColumn id="2" name="Color" dataDxfId="118" dataCellStyle="NodeXL Visual Property"/>
    <tableColumn id="5" name="Shape" dataDxfId="117" dataCellStyle="NodeXL Visual Property"/>
    <tableColumn id="6" name="Size" dataDxfId="116" dataCellStyle="NodeXL Visual Property"/>
    <tableColumn id="4" name="Opacity" dataDxfId="115" dataCellStyle="NodeXL Visual Property"/>
    <tableColumn id="7" name="Image File" dataDxfId="114" dataCellStyle="NodeXL Visual Property"/>
    <tableColumn id="3" name="Visibility" dataDxfId="113" dataCellStyle="NodeXL Visual Property"/>
    <tableColumn id="10" name="Label" dataDxfId="112" dataCellStyle="NodeXL Label"/>
    <tableColumn id="16" name="Label Fill Color" dataDxfId="111" dataCellStyle="NodeXL Label"/>
    <tableColumn id="9" name="Label Position" dataDxfId="110" dataCellStyle="NodeXL Label"/>
    <tableColumn id="8" name="Tooltip" dataDxfId="109" dataCellStyle="NodeXL Label"/>
    <tableColumn id="18" name="Layout Order" dataDxfId="108" dataCellStyle="NodeXL Layout"/>
    <tableColumn id="13" name="X" dataDxfId="107" dataCellStyle="NodeXL Layout"/>
    <tableColumn id="14" name="Y" dataDxfId="106" dataCellStyle="NodeXL Layout"/>
    <tableColumn id="12" name="Locked?" dataDxfId="105" dataCellStyle="NodeXL Layout"/>
    <tableColumn id="19" name="Polar R" dataDxfId="104" dataCellStyle="NodeXL Layout"/>
    <tableColumn id="20" name="Polar Angle" dataDxfId="54" dataCellStyle="NodeXL Layout"/>
    <tableColumn id="21" name="Degree" dataDxfId="6" dataCellStyle="NodeXL Graph Metric"/>
    <tableColumn id="22" name="In-Degree" dataDxfId="5" dataCellStyle="NodeXL Graph Metric"/>
    <tableColumn id="23" name="Out-Degree" dataDxfId="3" dataCellStyle="NodeXL Graph Metric"/>
    <tableColumn id="24" name="Betweenness Centrality" dataDxfId="4" dataCellStyle="NodeXL Graph Metric"/>
    <tableColumn id="25" name="Closeness Centrality" dataDxfId="8" dataCellStyle="NodeXL Graph Metric"/>
    <tableColumn id="26" name="Eigenvector Centrality" dataDxfId="7" dataCellStyle="NodeXL Graph Metric"/>
    <tableColumn id="15" name="PageRank" dataDxfId="2" dataCellStyle="NodeXL Graph Metric"/>
    <tableColumn id="27" name="Clustering Coefficient" dataDxfId="0" dataCellStyle="NodeXL Graph Metric"/>
    <tableColumn id="29" name="Reciprocated Vertex Pair Ratio" dataDxfId="1" dataCellStyle="NodeXL Graph Metric"/>
    <tableColumn id="11" name="ID" dataDxfId="103" dataCellStyle="NodeXL Do Not Edit"/>
    <tableColumn id="28" name="Dynamic Filter" dataDxfId="102" dataCellStyle="NodeXL Do Not Edit"/>
    <tableColumn id="17" name="Add Your Own Columns Here" dataDxfId="101"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100">
  <autoFilter ref="A2:AF3"/>
  <tableColumns count="32">
    <tableColumn id="1" name="Group" dataDxfId="99" dataCellStyle="NodeXL Required"/>
    <tableColumn id="2" name="Vertex Color" dataDxfId="98" dataCellStyle="NodeXL Visual Property"/>
    <tableColumn id="3" name="Vertex Shape" dataDxfId="97" dataCellStyle="NodeXL Visual Property"/>
    <tableColumn id="22" name="Visibility" dataDxfId="96" dataCellStyle="NodeXL Visual Property"/>
    <tableColumn id="4" name="Collapsed?" dataCellStyle="NodeXL Visual Property"/>
    <tableColumn id="18" name="Label" dataDxfId="95" dataCellStyle="NodeXL Label"/>
    <tableColumn id="20" name="Collapsed X" dataCellStyle="NodeXL Layout"/>
    <tableColumn id="21" name="Collapsed Y" dataCellStyle="NodeXL Layout"/>
    <tableColumn id="6" name="ID" dataDxfId="94" dataCellStyle="NodeXL Do Not Edit"/>
    <tableColumn id="19" name="Collapsed Properties" dataDxfId="93" dataCellStyle="NodeXL Do Not Edit"/>
    <tableColumn id="5" name="Vertices" dataDxfId="92" dataCellStyle="NodeXL Graph Metric"/>
    <tableColumn id="7" name="Unique Edges" dataDxfId="91" dataCellStyle="NodeXL Graph Metric"/>
    <tableColumn id="8" name="Edges With Duplicates" dataDxfId="90" dataCellStyle="NodeXL Graph Metric"/>
    <tableColumn id="9" name="Total Edges" dataDxfId="89" dataCellStyle="NodeXL Graph Metric"/>
    <tableColumn id="10" name="Self-Loops" dataDxfId="88" dataCellStyle="NodeXL Graph Metric"/>
    <tableColumn id="24" name="Reciprocated Vertex Pair Ratio" dataDxfId="87" dataCellStyle="NodeXL Graph Metric"/>
    <tableColumn id="25" name="Reciprocated Edge Ratio" dataDxfId="86" dataCellStyle="NodeXL Graph Metric"/>
    <tableColumn id="11" name="Connected Components" dataDxfId="85" dataCellStyle="NodeXL Graph Metric"/>
    <tableColumn id="12" name="Single-Vertex Connected Components" dataDxfId="84" dataCellStyle="NodeXL Graph Metric"/>
    <tableColumn id="13" name="Maximum Vertices in a Connected Component" dataDxfId="83" dataCellStyle="NodeXL Graph Metric"/>
    <tableColumn id="14" name="Maximum Edges in a Connected Component" dataDxfId="82" dataCellStyle="NodeXL Graph Metric"/>
    <tableColumn id="15" name="Maximum Geodesic Distance (Diameter)" dataDxfId="81" dataCellStyle="NodeXL Graph Metric"/>
    <tableColumn id="16" name="Average Geodesic Distance" dataDxfId="80" dataCellStyle="NodeXL Graph Metric"/>
    <tableColumn id="17" name="Graph Density" dataDxfId="41" dataCellStyle="NodeXL Graph Metric"/>
    <tableColumn id="23" name="Top Replied-To in Tweet" dataDxfId="40" dataCellStyle="Normal"/>
    <tableColumn id="26" name="Top Mentioned in Tweet" dataDxfId="35" dataCellStyle="Normal"/>
    <tableColumn id="27" name="Top URLs in Tweet" dataDxfId="30" dataCellStyle="Normal"/>
    <tableColumn id="28" name="Top Domains in Tweet" dataDxfId="25" dataCellStyle="Normal"/>
    <tableColumn id="29" name="Top Hashtags in Tweet" dataDxfId="20" dataCellStyle="Normal"/>
    <tableColumn id="30" name="Top Words in Tweet" dataDxfId="15" dataCellStyle="Normal"/>
    <tableColumn id="31" name="Top Word Pairs in Tweet" dataDxfId="10" dataCellStyle="Normal"/>
    <tableColumn id="32" name="Top Tweeters" dataDxfId="9"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79" dataDxfId="78">
  <autoFilter ref="A1:C2"/>
  <tableColumns count="3">
    <tableColumn id="1" name="Group" dataDxfId="77"/>
    <tableColumn id="2" name="Vertex" dataDxfId="76"/>
    <tableColumn id="3" name="Vertex ID" dataDxfId="75"/>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2" dataCellStyle="NodeXL Graph Metric"/>
    <tableColumn id="2" name="Value" dataDxfId="5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74"/>
    <tableColumn id="2" name="Degree Frequency" dataDxfId="73">
      <calculatedColumnFormula>COUNTIF(Vertices[Degree], "&gt;= " &amp; D2) - COUNTIF(Vertices[Degree], "&gt;=" &amp; D3)</calculatedColumnFormula>
    </tableColumn>
    <tableColumn id="3" name="In-Degree Bin" dataDxfId="72"/>
    <tableColumn id="4" name="In-Degree Frequency" dataDxfId="71">
      <calculatedColumnFormula>COUNTIF(Vertices[In-Degree], "&gt;= " &amp; F2) - COUNTIF(Vertices[In-Degree], "&gt;=" &amp; F3)</calculatedColumnFormula>
    </tableColumn>
    <tableColumn id="5" name="Out-Degree Bin" dataDxfId="70"/>
    <tableColumn id="6" name="Out-Degree Frequency" dataDxfId="69">
      <calculatedColumnFormula>COUNTIF(Vertices[Out-Degree], "&gt;= " &amp; H2) - COUNTIF(Vertices[Out-Degree], "&gt;=" &amp; H3)</calculatedColumnFormula>
    </tableColumn>
    <tableColumn id="7" name="Betweenness Centrality Bin" dataDxfId="68"/>
    <tableColumn id="8" name="Betweenness Centrality Frequency" dataDxfId="67">
      <calculatedColumnFormula>COUNTIF(Vertices[Betweenness Centrality], "&gt;= " &amp; J2) - COUNTIF(Vertices[Betweenness Centrality], "&gt;=" &amp; J3)</calculatedColumnFormula>
    </tableColumn>
    <tableColumn id="9" name="Closeness Centrality Bin" dataDxfId="66"/>
    <tableColumn id="10" name="Closeness Centrality Frequency" dataDxfId="65">
      <calculatedColumnFormula>COUNTIF(Vertices[Closeness Centrality], "&gt;= " &amp; L2) - COUNTIF(Vertices[Closeness Centrality], "&gt;=" &amp; L3)</calculatedColumnFormula>
    </tableColumn>
    <tableColumn id="11" name="Eigenvector Centrality Bin" dataDxfId="64"/>
    <tableColumn id="12" name="Eigenvector Centrality Frequency" dataDxfId="63">
      <calculatedColumnFormula>COUNTIF(Vertices[Eigenvector Centrality], "&gt;= " &amp; N2) - COUNTIF(Vertices[Eigenvector Centrality], "&gt;=" &amp; N3)</calculatedColumnFormula>
    </tableColumn>
    <tableColumn id="18" name="PageRank Bin" dataDxfId="62"/>
    <tableColumn id="17" name="PageRank Frequency" dataDxfId="61">
      <calculatedColumnFormula>COUNTIF(Vertices[Eigenvector Centrality], "&gt;= " &amp; P2) - COUNTIF(Vertices[Eigenvector Centrality], "&gt;=" &amp; P3)</calculatedColumnFormula>
    </tableColumn>
    <tableColumn id="13" name="Clustering Coefficient Bin" dataDxfId="60"/>
    <tableColumn id="14" name="Clustering Coefficient Frequency" dataDxfId="59">
      <calculatedColumnFormula>COUNTIF(Vertices[Clustering Coefficient], "&gt;= " &amp; R2) - COUNTIF(Vertices[Clustering Coefficient], "&gt;=" &amp; R3)</calculatedColumnFormula>
    </tableColumn>
    <tableColumn id="15" name="Dynamic Filter Bin" dataDxfId="58"/>
    <tableColumn id="16" name="Dynamic Filter Frequency" dataDxfId="57">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56">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22"/>
  <sheetViews>
    <sheetView workbookViewId="0">
      <pane xSplit="2" ySplit="2" topLeftCell="C3" activePane="bottomRight" state="frozen"/>
      <selection pane="topRight" activeCell="C1" sqref="C1"/>
      <selection pane="bottomLeft" activeCell="A3" sqref="A3"/>
      <selection pane="bottomRight" activeCell="D23" sqref="D23"/>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s>
  <sheetData>
    <row r="1" spans="1:14" x14ac:dyDescent="0.3">
      <c r="C1" s="18" t="s">
        <v>39</v>
      </c>
      <c r="D1" s="19"/>
      <c r="E1" s="19"/>
      <c r="F1" s="19"/>
      <c r="G1" s="18"/>
      <c r="H1" s="16" t="s">
        <v>43</v>
      </c>
      <c r="I1" s="64"/>
      <c r="J1" s="64"/>
      <c r="K1" s="34" t="s">
        <v>42</v>
      </c>
      <c r="L1" s="20" t="s">
        <v>40</v>
      </c>
      <c r="M1" s="20"/>
      <c r="N1" s="17" t="s">
        <v>41</v>
      </c>
    </row>
    <row r="2" spans="1:14"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
      <c r="A3" s="49" t="s">
        <v>174</v>
      </c>
      <c r="B3" s="49" t="s">
        <v>175</v>
      </c>
      <c r="C3" s="52"/>
      <c r="D3" s="53"/>
      <c r="E3" s="65"/>
      <c r="F3" s="54"/>
      <c r="G3" s="52" t="str">
        <f>IF(Edges[[#This Row],[Vertex 1]]=Edges[[#This Row],[Vertex 2]],"Skip","Show")</f>
        <v>Show</v>
      </c>
      <c r="H3" s="56"/>
      <c r="I3" s="55"/>
      <c r="J3" s="55"/>
      <c r="K3" s="35" t="s">
        <v>65</v>
      </c>
      <c r="L3" s="61">
        <v>3</v>
      </c>
      <c r="M3" s="61"/>
      <c r="N3" s="62"/>
    </row>
    <row r="4" spans="1:14" ht="15" customHeight="1" x14ac:dyDescent="0.3">
      <c r="A4" s="49" t="s">
        <v>174</v>
      </c>
      <c r="B4" s="49" t="s">
        <v>176</v>
      </c>
      <c r="C4" s="52"/>
      <c r="D4" s="53"/>
      <c r="E4" s="52"/>
      <c r="F4" s="54"/>
      <c r="G4" s="52" t="str">
        <f>IF(Edges[[#This Row],[Vertex 1]]=Edges[[#This Row],[Vertex 2]],"Skip","Show")</f>
        <v>Show</v>
      </c>
      <c r="H4" s="56"/>
      <c r="I4" s="55"/>
      <c r="J4" s="55"/>
      <c r="K4" s="35" t="s">
        <v>65</v>
      </c>
      <c r="L4" s="61">
        <v>4</v>
      </c>
      <c r="M4" s="61"/>
      <c r="N4" s="62"/>
    </row>
    <row r="5" spans="1:14" x14ac:dyDescent="0.3">
      <c r="A5" s="49" t="s">
        <v>174</v>
      </c>
      <c r="B5" s="49" t="s">
        <v>177</v>
      </c>
      <c r="C5" s="52"/>
      <c r="D5" s="53"/>
      <c r="E5" s="52"/>
      <c r="F5" s="54"/>
      <c r="G5" s="52" t="str">
        <f>IF(Edges[[#This Row],[Vertex 1]]=Edges[[#This Row],[Vertex 2]],"Skip","Show")</f>
        <v>Show</v>
      </c>
      <c r="H5" s="56"/>
      <c r="I5" s="55"/>
      <c r="J5" s="55"/>
      <c r="K5" s="35" t="s">
        <v>65</v>
      </c>
      <c r="L5" s="61">
        <v>5</v>
      </c>
      <c r="M5" s="61"/>
      <c r="N5" s="62"/>
    </row>
    <row r="6" spans="1:14" x14ac:dyDescent="0.3">
      <c r="A6" s="49" t="s">
        <v>174</v>
      </c>
      <c r="B6" s="49" t="s">
        <v>178</v>
      </c>
      <c r="C6" s="52"/>
      <c r="D6" s="53"/>
      <c r="E6" s="52"/>
      <c r="F6" s="54"/>
      <c r="G6" s="52" t="str">
        <f>IF(Edges[[#This Row],[Vertex 1]]=Edges[[#This Row],[Vertex 2]],"Skip","Show")</f>
        <v>Show</v>
      </c>
      <c r="H6" s="56"/>
      <c r="I6" s="55"/>
      <c r="J6" s="55"/>
      <c r="K6" s="35" t="s">
        <v>65</v>
      </c>
      <c r="L6" s="61">
        <v>6</v>
      </c>
      <c r="M6" s="61"/>
      <c r="N6" s="62"/>
    </row>
    <row r="7" spans="1:14" x14ac:dyDescent="0.3">
      <c r="A7" s="49" t="s">
        <v>174</v>
      </c>
      <c r="B7" s="49" t="s">
        <v>179</v>
      </c>
      <c r="C7" s="52"/>
      <c r="D7" s="53"/>
      <c r="E7" s="52"/>
      <c r="F7" s="54"/>
      <c r="G7" s="52" t="str">
        <f>IF(Edges[[#This Row],[Vertex 1]]=Edges[[#This Row],[Vertex 2]],"Skip","Show")</f>
        <v>Show</v>
      </c>
      <c r="H7" s="56"/>
      <c r="I7" s="55"/>
      <c r="J7" s="55"/>
      <c r="K7" s="35" t="s">
        <v>65</v>
      </c>
      <c r="L7" s="61">
        <v>7</v>
      </c>
      <c r="M7" s="61"/>
      <c r="N7" s="62"/>
    </row>
    <row r="8" spans="1:14" x14ac:dyDescent="0.3">
      <c r="A8" s="49" t="s">
        <v>180</v>
      </c>
      <c r="B8" s="49" t="s">
        <v>181</v>
      </c>
      <c r="C8" s="52"/>
      <c r="D8" s="53"/>
      <c r="E8" s="52"/>
      <c r="F8" s="54"/>
      <c r="G8" s="52" t="str">
        <f>IF(Edges[[#This Row],[Vertex 1]]=Edges[[#This Row],[Vertex 2]],"Skip","Show")</f>
        <v>Show</v>
      </c>
      <c r="H8" s="56"/>
      <c r="I8" s="55"/>
      <c r="J8" s="55"/>
      <c r="K8" s="35" t="s">
        <v>65</v>
      </c>
      <c r="L8" s="61">
        <v>8</v>
      </c>
      <c r="M8" s="61"/>
      <c r="N8" s="62"/>
    </row>
    <row r="9" spans="1:14" x14ac:dyDescent="0.3">
      <c r="A9" s="49" t="s">
        <v>181</v>
      </c>
      <c r="B9" s="49" t="s">
        <v>182</v>
      </c>
      <c r="C9" s="52"/>
      <c r="D9" s="53"/>
      <c r="E9" s="52"/>
      <c r="F9" s="54"/>
      <c r="G9" s="52" t="str">
        <f>IF(Edges[[#This Row],[Vertex 1]]=Edges[[#This Row],[Vertex 2]],"Skip","Show")</f>
        <v>Show</v>
      </c>
      <c r="H9" s="56"/>
      <c r="I9" s="55"/>
      <c r="J9" s="55"/>
      <c r="K9" s="35" t="s">
        <v>65</v>
      </c>
      <c r="L9" s="61">
        <v>9</v>
      </c>
      <c r="M9" s="61"/>
      <c r="N9" s="62"/>
    </row>
    <row r="10" spans="1:14" x14ac:dyDescent="0.3">
      <c r="A10" s="49" t="s">
        <v>183</v>
      </c>
      <c r="B10" s="49" t="s">
        <v>179</v>
      </c>
      <c r="C10" s="52"/>
      <c r="D10" s="53"/>
      <c r="E10" s="52"/>
      <c r="F10" s="54"/>
      <c r="G10" s="52" t="str">
        <f>IF(Edges[[#This Row],[Vertex 1]]=Edges[[#This Row],[Vertex 2]],"Skip","Show")</f>
        <v>Show</v>
      </c>
      <c r="H10" s="56"/>
      <c r="I10" s="55"/>
      <c r="J10" s="55"/>
      <c r="K10" s="35" t="s">
        <v>66</v>
      </c>
      <c r="L10" s="61">
        <v>10</v>
      </c>
      <c r="M10" s="61"/>
      <c r="N10" s="62"/>
    </row>
    <row r="11" spans="1:14" x14ac:dyDescent="0.3">
      <c r="A11" s="49" t="s">
        <v>179</v>
      </c>
      <c r="B11" s="49" t="s">
        <v>183</v>
      </c>
      <c r="C11" s="52"/>
      <c r="D11" s="53"/>
      <c r="E11" s="52"/>
      <c r="F11" s="54"/>
      <c r="G11" s="52" t="str">
        <f>IF(Edges[[#This Row],[Vertex 1]]=Edges[[#This Row],[Vertex 2]],"Skip","Show")</f>
        <v>Show</v>
      </c>
      <c r="H11" s="56"/>
      <c r="I11" s="55"/>
      <c r="J11" s="55"/>
      <c r="K11" s="35" t="s">
        <v>66</v>
      </c>
      <c r="L11" s="61">
        <v>11</v>
      </c>
      <c r="M11" s="61"/>
      <c r="N11" s="62"/>
    </row>
    <row r="12" spans="1:14" x14ac:dyDescent="0.3">
      <c r="A12" s="49" t="s">
        <v>184</v>
      </c>
      <c r="B12" s="49" t="s">
        <v>185</v>
      </c>
      <c r="C12" s="52"/>
      <c r="D12" s="53"/>
      <c r="E12" s="52"/>
      <c r="F12" s="54"/>
      <c r="G12" s="52" t="str">
        <f>IF(Edges[[#This Row],[Vertex 1]]=Edges[[#This Row],[Vertex 2]],"Skip","Show")</f>
        <v>Show</v>
      </c>
      <c r="H12" s="56"/>
      <c r="I12" s="55"/>
      <c r="J12" s="55"/>
      <c r="K12" s="35" t="s">
        <v>65</v>
      </c>
      <c r="L12" s="61">
        <v>12</v>
      </c>
      <c r="M12" s="61"/>
      <c r="N12" s="62"/>
    </row>
    <row r="13" spans="1:14" x14ac:dyDescent="0.3">
      <c r="A13" s="49" t="s">
        <v>185</v>
      </c>
      <c r="B13" s="49" t="s">
        <v>186</v>
      </c>
      <c r="C13" s="52"/>
      <c r="D13" s="53"/>
      <c r="E13" s="52"/>
      <c r="F13" s="54"/>
      <c r="G13" s="52" t="str">
        <f>IF(Edges[[#This Row],[Vertex 1]]=Edges[[#This Row],[Vertex 2]],"Skip","Show")</f>
        <v>Show</v>
      </c>
      <c r="H13" s="56"/>
      <c r="I13" s="55"/>
      <c r="J13" s="55"/>
      <c r="K13" s="35" t="s">
        <v>65</v>
      </c>
      <c r="L13" s="61">
        <v>13</v>
      </c>
      <c r="M13" s="61"/>
      <c r="N13" s="62"/>
    </row>
    <row r="14" spans="1:14" x14ac:dyDescent="0.3">
      <c r="A14" s="49" t="s">
        <v>186</v>
      </c>
      <c r="B14" s="49" t="s">
        <v>187</v>
      </c>
      <c r="C14" s="52"/>
      <c r="D14" s="53"/>
      <c r="E14" s="52"/>
      <c r="F14" s="54"/>
      <c r="G14" s="52" t="str">
        <f>IF(Edges[[#This Row],[Vertex 1]]=Edges[[#This Row],[Vertex 2]],"Skip","Show")</f>
        <v>Show</v>
      </c>
      <c r="H14" s="56"/>
      <c r="I14" s="55"/>
      <c r="J14" s="55"/>
      <c r="K14" s="35" t="s">
        <v>65</v>
      </c>
      <c r="L14" s="61">
        <v>14</v>
      </c>
      <c r="M14" s="61"/>
      <c r="N14" s="62"/>
    </row>
    <row r="15" spans="1:14" x14ac:dyDescent="0.3">
      <c r="A15" s="49" t="s">
        <v>187</v>
      </c>
      <c r="B15" s="49" t="s">
        <v>188</v>
      </c>
      <c r="C15" s="52"/>
      <c r="D15" s="53"/>
      <c r="E15" s="52"/>
      <c r="F15" s="54"/>
      <c r="G15" s="52" t="str">
        <f>IF(Edges[[#This Row],[Vertex 1]]=Edges[[#This Row],[Vertex 2]],"Skip","Show")</f>
        <v>Show</v>
      </c>
      <c r="H15" s="56"/>
      <c r="I15" s="55"/>
      <c r="J15" s="55"/>
      <c r="K15" s="35" t="s">
        <v>65</v>
      </c>
      <c r="L15" s="61">
        <v>15</v>
      </c>
      <c r="M15" s="61"/>
      <c r="N15" s="62"/>
    </row>
    <row r="16" spans="1:14" x14ac:dyDescent="0.3">
      <c r="A16" s="49" t="s">
        <v>188</v>
      </c>
      <c r="B16" s="49" t="s">
        <v>189</v>
      </c>
      <c r="C16" s="52"/>
      <c r="D16" s="53"/>
      <c r="E16" s="52"/>
      <c r="F16" s="54"/>
      <c r="G16" s="52" t="str">
        <f>IF(Edges[[#This Row],[Vertex 1]]=Edges[[#This Row],[Vertex 2]],"Skip","Show")</f>
        <v>Show</v>
      </c>
      <c r="H16" s="56"/>
      <c r="I16" s="55"/>
      <c r="J16" s="55"/>
      <c r="K16" s="35" t="s">
        <v>65</v>
      </c>
      <c r="L16" s="61">
        <v>16</v>
      </c>
      <c r="M16" s="61"/>
      <c r="N16" s="62"/>
    </row>
    <row r="17" spans="1:14" x14ac:dyDescent="0.3">
      <c r="A17" s="49" t="s">
        <v>184</v>
      </c>
      <c r="B17" s="49" t="s">
        <v>190</v>
      </c>
      <c r="C17" s="52"/>
      <c r="D17" s="53"/>
      <c r="E17" s="52"/>
      <c r="F17" s="54"/>
      <c r="G17" s="52" t="str">
        <f>IF(Edges[[#This Row],[Vertex 1]]=Edges[[#This Row],[Vertex 2]],"Skip","Show")</f>
        <v>Show</v>
      </c>
      <c r="H17" s="56"/>
      <c r="I17" s="55"/>
      <c r="J17" s="55"/>
      <c r="K17" s="35" t="s">
        <v>65</v>
      </c>
      <c r="L17" s="61">
        <v>17</v>
      </c>
      <c r="M17" s="61"/>
      <c r="N17" s="62"/>
    </row>
    <row r="18" spans="1:14" x14ac:dyDescent="0.3">
      <c r="A18" s="49" t="s">
        <v>191</v>
      </c>
      <c r="B18" s="49" t="s">
        <v>192</v>
      </c>
      <c r="C18" s="52"/>
      <c r="D18" s="53"/>
      <c r="E18" s="52"/>
      <c r="F18" s="54"/>
      <c r="G18" s="52" t="str">
        <f>IF(Edges[[#This Row],[Vertex 1]]=Edges[[#This Row],[Vertex 2]],"Skip","Show")</f>
        <v>Show</v>
      </c>
      <c r="H18" s="56"/>
      <c r="I18" s="55"/>
      <c r="J18" s="55"/>
      <c r="K18" s="35" t="s">
        <v>65</v>
      </c>
      <c r="L18" s="61">
        <v>18</v>
      </c>
      <c r="M18" s="61"/>
      <c r="N18" s="62"/>
    </row>
    <row r="19" spans="1:14" x14ac:dyDescent="0.3">
      <c r="A19" s="49" t="s">
        <v>193</v>
      </c>
      <c r="B19" s="49" t="s">
        <v>194</v>
      </c>
      <c r="C19" s="52"/>
      <c r="D19" s="53"/>
      <c r="E19" s="52"/>
      <c r="F19" s="54"/>
      <c r="G19" s="52" t="str">
        <f>IF(Edges[[#This Row],[Vertex 1]]=Edges[[#This Row],[Vertex 2]],"Skip","Show")</f>
        <v>Show</v>
      </c>
      <c r="H19" s="56"/>
      <c r="I19" s="55"/>
      <c r="J19" s="55"/>
      <c r="K19" s="35" t="s">
        <v>65</v>
      </c>
      <c r="L19" s="61">
        <v>19</v>
      </c>
      <c r="M19" s="61"/>
      <c r="N19" s="62"/>
    </row>
    <row r="20" spans="1:14" x14ac:dyDescent="0.3">
      <c r="A20" s="49" t="s">
        <v>194</v>
      </c>
      <c r="B20" s="49" t="s">
        <v>195</v>
      </c>
      <c r="C20" s="52"/>
      <c r="D20" s="53"/>
      <c r="E20" s="52"/>
      <c r="F20" s="54"/>
      <c r="G20" s="52" t="str">
        <f>IF(Edges[[#This Row],[Vertex 1]]=Edges[[#This Row],[Vertex 2]],"Skip","Show")</f>
        <v>Show</v>
      </c>
      <c r="H20" s="56"/>
      <c r="I20" s="55"/>
      <c r="J20" s="55"/>
      <c r="K20" s="35" t="s">
        <v>65</v>
      </c>
      <c r="L20" s="61">
        <v>20</v>
      </c>
      <c r="M20" s="61"/>
      <c r="N20" s="62"/>
    </row>
    <row r="21" spans="1:14" x14ac:dyDescent="0.3">
      <c r="A21" s="49" t="s">
        <v>196</v>
      </c>
      <c r="B21" s="49" t="s">
        <v>197</v>
      </c>
      <c r="C21" s="52"/>
      <c r="D21" s="53"/>
      <c r="E21" s="52"/>
      <c r="F21" s="54"/>
      <c r="G21" s="52" t="str">
        <f>IF(Edges[[#This Row],[Vertex 1]]=Edges[[#This Row],[Vertex 2]],"Skip","Show")</f>
        <v>Show</v>
      </c>
      <c r="H21" s="56"/>
      <c r="I21" s="55"/>
      <c r="J21" s="55"/>
      <c r="K21" s="35" t="s">
        <v>66</v>
      </c>
      <c r="L21" s="61">
        <v>21</v>
      </c>
      <c r="M21" s="61"/>
      <c r="N21" s="62"/>
    </row>
    <row r="22" spans="1:14" x14ac:dyDescent="0.3">
      <c r="A22" s="49" t="s">
        <v>197</v>
      </c>
      <c r="B22" s="49" t="s">
        <v>196</v>
      </c>
      <c r="C22" s="52"/>
      <c r="D22" s="53"/>
      <c r="E22" s="52"/>
      <c r="F22" s="54"/>
      <c r="G22" s="52" t="str">
        <f>IF(Edges[[#This Row],[Vertex 1]]=Edges[[#This Row],[Vertex 2]],"Skip","Show")</f>
        <v>Show</v>
      </c>
      <c r="H22" s="56"/>
      <c r="I22" s="55"/>
      <c r="J22" s="55"/>
      <c r="K22" s="35" t="s">
        <v>66</v>
      </c>
      <c r="L22" s="61">
        <v>22</v>
      </c>
      <c r="M22" s="61"/>
      <c r="N22" s="62"/>
    </row>
    <row r="23" spans="1:14" x14ac:dyDescent="0.3">
      <c r="A23" s="49" t="s">
        <v>196</v>
      </c>
      <c r="B23" s="49" t="s">
        <v>198</v>
      </c>
      <c r="C23" s="52"/>
      <c r="D23" s="53"/>
      <c r="E23" s="52"/>
      <c r="F23" s="54"/>
      <c r="G23" s="52" t="str">
        <f>IF(Edges[[#This Row],[Vertex 1]]=Edges[[#This Row],[Vertex 2]],"Skip","Show")</f>
        <v>Show</v>
      </c>
      <c r="H23" s="56"/>
      <c r="I23" s="55"/>
      <c r="J23" s="55"/>
      <c r="K23" s="35" t="s">
        <v>65</v>
      </c>
      <c r="L23" s="61">
        <v>23</v>
      </c>
      <c r="M23" s="61"/>
      <c r="N23" s="62"/>
    </row>
    <row r="24" spans="1:14" x14ac:dyDescent="0.3">
      <c r="A24" s="49" t="s">
        <v>198</v>
      </c>
      <c r="B24" s="49" t="s">
        <v>177</v>
      </c>
      <c r="C24" s="52"/>
      <c r="D24" s="53"/>
      <c r="E24" s="52"/>
      <c r="F24" s="54"/>
      <c r="G24" s="52" t="str">
        <f>IF(Edges[[#This Row],[Vertex 1]]=Edges[[#This Row],[Vertex 2]],"Skip","Show")</f>
        <v>Show</v>
      </c>
      <c r="H24" s="56"/>
      <c r="I24" s="55"/>
      <c r="J24" s="55"/>
      <c r="K24" s="35" t="s">
        <v>65</v>
      </c>
      <c r="L24" s="61">
        <v>24</v>
      </c>
      <c r="M24" s="61"/>
      <c r="N24" s="62"/>
    </row>
    <row r="25" spans="1:14" x14ac:dyDescent="0.3">
      <c r="A25" s="49" t="s">
        <v>177</v>
      </c>
      <c r="B25" s="49" t="s">
        <v>188</v>
      </c>
      <c r="C25" s="52"/>
      <c r="D25" s="53"/>
      <c r="E25" s="52"/>
      <c r="F25" s="54"/>
      <c r="G25" s="52" t="str">
        <f>IF(Edges[[#This Row],[Vertex 1]]=Edges[[#This Row],[Vertex 2]],"Skip","Show")</f>
        <v>Show</v>
      </c>
      <c r="H25" s="56"/>
      <c r="I25" s="55"/>
      <c r="J25" s="55"/>
      <c r="K25" s="35" t="s">
        <v>65</v>
      </c>
      <c r="L25" s="61">
        <v>25</v>
      </c>
      <c r="M25" s="61"/>
      <c r="N25" s="62"/>
    </row>
    <row r="26" spans="1:14" x14ac:dyDescent="0.3">
      <c r="A26" s="49" t="s">
        <v>199</v>
      </c>
      <c r="B26" s="49" t="s">
        <v>200</v>
      </c>
      <c r="C26" s="52"/>
      <c r="D26" s="53"/>
      <c r="E26" s="52"/>
      <c r="F26" s="54"/>
      <c r="G26" s="52" t="str">
        <f>IF(Edges[[#This Row],[Vertex 1]]=Edges[[#This Row],[Vertex 2]],"Skip","Show")</f>
        <v>Show</v>
      </c>
      <c r="H26" s="56"/>
      <c r="I26" s="55"/>
      <c r="J26" s="55"/>
      <c r="K26" s="35" t="s">
        <v>65</v>
      </c>
      <c r="L26" s="61">
        <v>26</v>
      </c>
      <c r="M26" s="61"/>
      <c r="N26" s="62"/>
    </row>
    <row r="27" spans="1:14" x14ac:dyDescent="0.3">
      <c r="A27" s="49" t="s">
        <v>200</v>
      </c>
      <c r="B27" s="49" t="s">
        <v>201</v>
      </c>
      <c r="C27" s="52"/>
      <c r="D27" s="53"/>
      <c r="E27" s="52"/>
      <c r="F27" s="54"/>
      <c r="G27" s="52" t="str">
        <f>IF(Edges[[#This Row],[Vertex 1]]=Edges[[#This Row],[Vertex 2]],"Skip","Show")</f>
        <v>Show</v>
      </c>
      <c r="H27" s="56"/>
      <c r="I27" s="55"/>
      <c r="J27" s="55"/>
      <c r="K27" s="35" t="s">
        <v>65</v>
      </c>
      <c r="L27" s="61">
        <v>27</v>
      </c>
      <c r="M27" s="61"/>
      <c r="N27" s="62"/>
    </row>
    <row r="28" spans="1:14" x14ac:dyDescent="0.3">
      <c r="A28" s="49" t="s">
        <v>201</v>
      </c>
      <c r="B28" s="49" t="s">
        <v>202</v>
      </c>
      <c r="C28" s="52"/>
      <c r="D28" s="53"/>
      <c r="E28" s="52"/>
      <c r="F28" s="54"/>
      <c r="G28" s="52" t="str">
        <f>IF(Edges[[#This Row],[Vertex 1]]=Edges[[#This Row],[Vertex 2]],"Skip","Show")</f>
        <v>Show</v>
      </c>
      <c r="H28" s="56"/>
      <c r="I28" s="55"/>
      <c r="J28" s="55"/>
      <c r="K28" s="35" t="s">
        <v>65</v>
      </c>
      <c r="L28" s="61">
        <v>28</v>
      </c>
      <c r="M28" s="61"/>
      <c r="N28" s="62"/>
    </row>
    <row r="29" spans="1:14" x14ac:dyDescent="0.3">
      <c r="A29" s="49" t="s">
        <v>202</v>
      </c>
      <c r="B29" s="49" t="s">
        <v>203</v>
      </c>
      <c r="C29" s="52"/>
      <c r="D29" s="53"/>
      <c r="E29" s="52"/>
      <c r="F29" s="54"/>
      <c r="G29" s="52" t="str">
        <f>IF(Edges[[#This Row],[Vertex 1]]=Edges[[#This Row],[Vertex 2]],"Skip","Show")</f>
        <v>Show</v>
      </c>
      <c r="H29" s="56"/>
      <c r="I29" s="55"/>
      <c r="J29" s="55"/>
      <c r="K29" s="35" t="s">
        <v>65</v>
      </c>
      <c r="L29" s="61">
        <v>29</v>
      </c>
      <c r="M29" s="61"/>
      <c r="N29" s="62"/>
    </row>
    <row r="30" spans="1:14" x14ac:dyDescent="0.3">
      <c r="A30" s="49" t="s">
        <v>203</v>
      </c>
      <c r="B30" s="49" t="s">
        <v>204</v>
      </c>
      <c r="C30" s="52"/>
      <c r="D30" s="53"/>
      <c r="E30" s="52"/>
      <c r="F30" s="54"/>
      <c r="G30" s="52" t="str">
        <f>IF(Edges[[#This Row],[Vertex 1]]=Edges[[#This Row],[Vertex 2]],"Skip","Show")</f>
        <v>Show</v>
      </c>
      <c r="H30" s="56"/>
      <c r="I30" s="55"/>
      <c r="J30" s="55"/>
      <c r="K30" s="35" t="s">
        <v>65</v>
      </c>
      <c r="L30" s="61">
        <v>30</v>
      </c>
      <c r="M30" s="61"/>
      <c r="N30" s="62"/>
    </row>
    <row r="31" spans="1:14" x14ac:dyDescent="0.3">
      <c r="A31" s="49" t="s">
        <v>204</v>
      </c>
      <c r="B31" s="49" t="s">
        <v>205</v>
      </c>
      <c r="C31" s="52"/>
      <c r="D31" s="53"/>
      <c r="E31" s="52"/>
      <c r="F31" s="54"/>
      <c r="G31" s="52" t="str">
        <f>IF(Edges[[#This Row],[Vertex 1]]=Edges[[#This Row],[Vertex 2]],"Skip","Show")</f>
        <v>Show</v>
      </c>
      <c r="H31" s="56"/>
      <c r="I31" s="55"/>
      <c r="J31" s="55"/>
      <c r="K31" s="35" t="s">
        <v>65</v>
      </c>
      <c r="L31" s="61">
        <v>31</v>
      </c>
      <c r="M31" s="61"/>
      <c r="N31" s="62"/>
    </row>
    <row r="32" spans="1:14" x14ac:dyDescent="0.3">
      <c r="A32" s="49" t="s">
        <v>205</v>
      </c>
      <c r="B32" s="49" t="s">
        <v>202</v>
      </c>
      <c r="C32" s="52"/>
      <c r="D32" s="53"/>
      <c r="E32" s="52"/>
      <c r="F32" s="54"/>
      <c r="G32" s="52" t="str">
        <f>IF(Edges[[#This Row],[Vertex 1]]=Edges[[#This Row],[Vertex 2]],"Skip","Show")</f>
        <v>Show</v>
      </c>
      <c r="H32" s="56"/>
      <c r="I32" s="55"/>
      <c r="J32" s="55"/>
      <c r="K32" s="35" t="s">
        <v>65</v>
      </c>
      <c r="L32" s="61">
        <v>32</v>
      </c>
      <c r="M32" s="61"/>
      <c r="N32" s="62"/>
    </row>
    <row r="33" spans="1:14" x14ac:dyDescent="0.3">
      <c r="A33" s="49" t="s">
        <v>206</v>
      </c>
      <c r="B33" s="49" t="s">
        <v>207</v>
      </c>
      <c r="C33" s="52"/>
      <c r="D33" s="53"/>
      <c r="E33" s="52"/>
      <c r="F33" s="54"/>
      <c r="G33" s="52" t="str">
        <f>IF(Edges[[#This Row],[Vertex 1]]=Edges[[#This Row],[Vertex 2]],"Skip","Show")</f>
        <v>Show</v>
      </c>
      <c r="H33" s="56"/>
      <c r="I33" s="55"/>
      <c r="J33" s="55"/>
      <c r="K33" s="35" t="s">
        <v>65</v>
      </c>
      <c r="L33" s="61">
        <v>33</v>
      </c>
      <c r="M33" s="61"/>
      <c r="N33" s="62"/>
    </row>
    <row r="34" spans="1:14" x14ac:dyDescent="0.3">
      <c r="A34" s="49" t="s">
        <v>207</v>
      </c>
      <c r="B34" s="49" t="s">
        <v>177</v>
      </c>
      <c r="C34" s="52"/>
      <c r="D34" s="53"/>
      <c r="E34" s="52"/>
      <c r="F34" s="54"/>
      <c r="G34" s="52" t="str">
        <f>IF(Edges[[#This Row],[Vertex 1]]=Edges[[#This Row],[Vertex 2]],"Skip","Show")</f>
        <v>Show</v>
      </c>
      <c r="H34" s="56"/>
      <c r="I34" s="55"/>
      <c r="J34" s="55"/>
      <c r="K34" s="35" t="s">
        <v>65</v>
      </c>
      <c r="L34" s="61">
        <v>34</v>
      </c>
      <c r="M34" s="61"/>
      <c r="N34" s="62"/>
    </row>
    <row r="35" spans="1:14" x14ac:dyDescent="0.3">
      <c r="A35" s="49" t="s">
        <v>189</v>
      </c>
      <c r="B35" s="49" t="s">
        <v>208</v>
      </c>
      <c r="C35" s="52"/>
      <c r="D35" s="53"/>
      <c r="E35" s="52"/>
      <c r="F35" s="54"/>
      <c r="G35" s="52" t="str">
        <f>IF(Edges[[#This Row],[Vertex 1]]=Edges[[#This Row],[Vertex 2]],"Skip","Show")</f>
        <v>Show</v>
      </c>
      <c r="H35" s="56"/>
      <c r="I35" s="55"/>
      <c r="J35" s="55"/>
      <c r="K35" s="35" t="s">
        <v>65</v>
      </c>
      <c r="L35" s="61">
        <v>35</v>
      </c>
      <c r="M35" s="61"/>
      <c r="N35" s="62"/>
    </row>
    <row r="36" spans="1:14" x14ac:dyDescent="0.3">
      <c r="A36" s="49" t="s">
        <v>209</v>
      </c>
      <c r="B36" s="49" t="s">
        <v>206</v>
      </c>
      <c r="C36" s="52"/>
      <c r="D36" s="53"/>
      <c r="E36" s="52"/>
      <c r="F36" s="54"/>
      <c r="G36" s="52" t="str">
        <f>IF(Edges[[#This Row],[Vertex 1]]=Edges[[#This Row],[Vertex 2]],"Skip","Show")</f>
        <v>Show</v>
      </c>
      <c r="H36" s="56"/>
      <c r="I36" s="55"/>
      <c r="J36" s="55"/>
      <c r="K36" s="35" t="s">
        <v>65</v>
      </c>
      <c r="L36" s="61">
        <v>36</v>
      </c>
      <c r="M36" s="61"/>
      <c r="N36" s="62"/>
    </row>
    <row r="37" spans="1:14" x14ac:dyDescent="0.3">
      <c r="A37" s="49" t="s">
        <v>206</v>
      </c>
      <c r="B37" s="49" t="s">
        <v>177</v>
      </c>
      <c r="C37" s="52"/>
      <c r="D37" s="53"/>
      <c r="E37" s="52"/>
      <c r="F37" s="54"/>
      <c r="G37" s="52" t="str">
        <f>IF(Edges[[#This Row],[Vertex 1]]=Edges[[#This Row],[Vertex 2]],"Skip","Show")</f>
        <v>Show</v>
      </c>
      <c r="H37" s="56"/>
      <c r="I37" s="55"/>
      <c r="J37" s="55"/>
      <c r="K37" s="35" t="s">
        <v>65</v>
      </c>
      <c r="L37" s="61">
        <v>37</v>
      </c>
      <c r="M37" s="61"/>
      <c r="N37" s="62"/>
    </row>
    <row r="38" spans="1:14" x14ac:dyDescent="0.3">
      <c r="A38" s="49" t="s">
        <v>177</v>
      </c>
      <c r="B38" s="49" t="s">
        <v>210</v>
      </c>
      <c r="C38" s="52"/>
      <c r="D38" s="53"/>
      <c r="E38" s="52"/>
      <c r="F38" s="54"/>
      <c r="G38" s="52" t="str">
        <f>IF(Edges[[#This Row],[Vertex 1]]=Edges[[#This Row],[Vertex 2]],"Skip","Show")</f>
        <v>Show</v>
      </c>
      <c r="H38" s="56"/>
      <c r="I38" s="55"/>
      <c r="J38" s="55"/>
      <c r="K38" s="35" t="s">
        <v>65</v>
      </c>
      <c r="L38" s="61">
        <v>38</v>
      </c>
      <c r="M38" s="61"/>
      <c r="N38" s="62"/>
    </row>
    <row r="39" spans="1:14" x14ac:dyDescent="0.3">
      <c r="A39" s="49" t="s">
        <v>210</v>
      </c>
      <c r="B39" s="49" t="s">
        <v>211</v>
      </c>
      <c r="C39" s="52"/>
      <c r="D39" s="53"/>
      <c r="E39" s="52"/>
      <c r="F39" s="54"/>
      <c r="G39" s="52" t="str">
        <f>IF(Edges[[#This Row],[Vertex 1]]=Edges[[#This Row],[Vertex 2]],"Skip","Show")</f>
        <v>Show</v>
      </c>
      <c r="H39" s="56"/>
      <c r="I39" s="55"/>
      <c r="J39" s="55"/>
      <c r="K39" s="35" t="s">
        <v>65</v>
      </c>
      <c r="L39" s="61">
        <v>39</v>
      </c>
      <c r="M39" s="61"/>
      <c r="N39" s="62"/>
    </row>
    <row r="40" spans="1:14" x14ac:dyDescent="0.3">
      <c r="A40" s="49" t="s">
        <v>211</v>
      </c>
      <c r="B40" s="49" t="s">
        <v>177</v>
      </c>
      <c r="C40" s="52"/>
      <c r="D40" s="53"/>
      <c r="E40" s="52"/>
      <c r="F40" s="54"/>
      <c r="G40" s="52" t="str">
        <f>IF(Edges[[#This Row],[Vertex 1]]=Edges[[#This Row],[Vertex 2]],"Skip","Show")</f>
        <v>Show</v>
      </c>
      <c r="H40" s="56"/>
      <c r="I40" s="55"/>
      <c r="J40" s="55"/>
      <c r="K40" s="35" t="s">
        <v>66</v>
      </c>
      <c r="L40" s="61">
        <v>40</v>
      </c>
      <c r="M40" s="61"/>
      <c r="N40" s="62"/>
    </row>
    <row r="41" spans="1:14" x14ac:dyDescent="0.3">
      <c r="A41" s="49" t="s">
        <v>177</v>
      </c>
      <c r="B41" s="49" t="s">
        <v>211</v>
      </c>
      <c r="C41" s="52"/>
      <c r="D41" s="53"/>
      <c r="E41" s="52"/>
      <c r="F41" s="54"/>
      <c r="G41" s="52" t="str">
        <f>IF(Edges[[#This Row],[Vertex 1]]=Edges[[#This Row],[Vertex 2]],"Skip","Show")</f>
        <v>Show</v>
      </c>
      <c r="H41" s="56"/>
      <c r="I41" s="55"/>
      <c r="J41" s="55"/>
      <c r="K41" s="35" t="s">
        <v>66</v>
      </c>
      <c r="L41" s="61">
        <v>41</v>
      </c>
      <c r="M41" s="61"/>
      <c r="N41" s="62"/>
    </row>
    <row r="42" spans="1:14" x14ac:dyDescent="0.3">
      <c r="A42" s="49" t="s">
        <v>212</v>
      </c>
      <c r="B42" s="49" t="s">
        <v>205</v>
      </c>
      <c r="C42" s="52"/>
      <c r="D42" s="53"/>
      <c r="E42" s="52"/>
      <c r="F42" s="54"/>
      <c r="G42" s="52" t="str">
        <f>IF(Edges[[#This Row],[Vertex 1]]=Edges[[#This Row],[Vertex 2]],"Skip","Show")</f>
        <v>Show</v>
      </c>
      <c r="H42" s="56"/>
      <c r="I42" s="55"/>
      <c r="J42" s="55"/>
      <c r="K42" s="35" t="s">
        <v>65</v>
      </c>
      <c r="L42" s="61">
        <v>42</v>
      </c>
      <c r="M42" s="61"/>
      <c r="N42" s="62"/>
    </row>
    <row r="43" spans="1:14" x14ac:dyDescent="0.3">
      <c r="A43" s="49" t="s">
        <v>205</v>
      </c>
      <c r="B43" s="49" t="s">
        <v>213</v>
      </c>
      <c r="C43" s="52"/>
      <c r="D43" s="53"/>
      <c r="E43" s="52"/>
      <c r="F43" s="54"/>
      <c r="G43" s="52" t="str">
        <f>IF(Edges[[#This Row],[Vertex 1]]=Edges[[#This Row],[Vertex 2]],"Skip","Show")</f>
        <v>Show</v>
      </c>
      <c r="H43" s="56"/>
      <c r="I43" s="55"/>
      <c r="J43" s="55"/>
      <c r="K43" s="35" t="s">
        <v>65</v>
      </c>
      <c r="L43" s="61">
        <v>43</v>
      </c>
      <c r="M43" s="61"/>
      <c r="N43" s="62"/>
    </row>
    <row r="44" spans="1:14" x14ac:dyDescent="0.3">
      <c r="A44" s="49" t="s">
        <v>213</v>
      </c>
      <c r="B44" s="49" t="s">
        <v>179</v>
      </c>
      <c r="C44" s="52"/>
      <c r="D44" s="53"/>
      <c r="E44" s="52"/>
      <c r="F44" s="54"/>
      <c r="G44" s="52" t="str">
        <f>IF(Edges[[#This Row],[Vertex 1]]=Edges[[#This Row],[Vertex 2]],"Skip","Show")</f>
        <v>Show</v>
      </c>
      <c r="H44" s="56"/>
      <c r="I44" s="55"/>
      <c r="J44" s="55"/>
      <c r="K44" s="35" t="s">
        <v>65</v>
      </c>
      <c r="L44" s="61">
        <v>44</v>
      </c>
      <c r="M44" s="61"/>
      <c r="N44" s="62"/>
    </row>
    <row r="45" spans="1:14" x14ac:dyDescent="0.3">
      <c r="A45" s="49" t="s">
        <v>214</v>
      </c>
      <c r="B45" s="49" t="s">
        <v>179</v>
      </c>
      <c r="C45" s="52"/>
      <c r="D45" s="53"/>
      <c r="E45" s="52"/>
      <c r="F45" s="54"/>
      <c r="G45" s="52" t="str">
        <f>IF(Edges[[#This Row],[Vertex 1]]=Edges[[#This Row],[Vertex 2]],"Skip","Show")</f>
        <v>Show</v>
      </c>
      <c r="H45" s="56"/>
      <c r="I45" s="55"/>
      <c r="J45" s="55"/>
      <c r="K45" s="35" t="s">
        <v>65</v>
      </c>
      <c r="L45" s="61">
        <v>45</v>
      </c>
      <c r="M45" s="61"/>
      <c r="N45" s="62"/>
    </row>
    <row r="46" spans="1:14" x14ac:dyDescent="0.3">
      <c r="A46" s="49" t="s">
        <v>179</v>
      </c>
      <c r="B46" s="49" t="s">
        <v>215</v>
      </c>
      <c r="C46" s="52"/>
      <c r="D46" s="53"/>
      <c r="E46" s="52"/>
      <c r="F46" s="54"/>
      <c r="G46" s="52" t="str">
        <f>IF(Edges[[#This Row],[Vertex 1]]=Edges[[#This Row],[Vertex 2]],"Skip","Show")</f>
        <v>Show</v>
      </c>
      <c r="H46" s="56"/>
      <c r="I46" s="55"/>
      <c r="J46" s="55"/>
      <c r="K46" s="35" t="s">
        <v>65</v>
      </c>
      <c r="L46" s="61">
        <v>46</v>
      </c>
      <c r="M46" s="61"/>
      <c r="N46" s="62"/>
    </row>
    <row r="47" spans="1:14" x14ac:dyDescent="0.3">
      <c r="A47" s="49" t="s">
        <v>215</v>
      </c>
      <c r="B47" s="49" t="s">
        <v>202</v>
      </c>
      <c r="C47" s="52"/>
      <c r="D47" s="53"/>
      <c r="E47" s="52"/>
      <c r="F47" s="54"/>
      <c r="G47" s="52" t="str">
        <f>IF(Edges[[#This Row],[Vertex 1]]=Edges[[#This Row],[Vertex 2]],"Skip","Show")</f>
        <v>Show</v>
      </c>
      <c r="H47" s="56"/>
      <c r="I47" s="55"/>
      <c r="J47" s="55"/>
      <c r="K47" s="35" t="s">
        <v>65</v>
      </c>
      <c r="L47" s="61">
        <v>47</v>
      </c>
      <c r="M47" s="61"/>
      <c r="N47" s="62"/>
    </row>
    <row r="48" spans="1:14" x14ac:dyDescent="0.3">
      <c r="A48" s="49" t="s">
        <v>202</v>
      </c>
      <c r="B48" s="49" t="s">
        <v>184</v>
      </c>
      <c r="C48" s="52"/>
      <c r="D48" s="53"/>
      <c r="E48" s="52"/>
      <c r="F48" s="54"/>
      <c r="G48" s="52" t="str">
        <f>IF(Edges[[#This Row],[Vertex 1]]=Edges[[#This Row],[Vertex 2]],"Skip","Show")</f>
        <v>Show</v>
      </c>
      <c r="H48" s="56"/>
      <c r="I48" s="55"/>
      <c r="J48" s="55"/>
      <c r="K48" s="35" t="s">
        <v>65</v>
      </c>
      <c r="L48" s="61">
        <v>48</v>
      </c>
      <c r="M48" s="61"/>
      <c r="N48" s="62"/>
    </row>
    <row r="49" spans="1:14" x14ac:dyDescent="0.3">
      <c r="A49" s="49" t="s">
        <v>184</v>
      </c>
      <c r="B49" s="49" t="s">
        <v>214</v>
      </c>
      <c r="C49" s="52"/>
      <c r="D49" s="53"/>
      <c r="E49" s="52"/>
      <c r="F49" s="54"/>
      <c r="G49" s="52" t="str">
        <f>IF(Edges[[#This Row],[Vertex 1]]=Edges[[#This Row],[Vertex 2]],"Skip","Show")</f>
        <v>Show</v>
      </c>
      <c r="H49" s="56"/>
      <c r="I49" s="55"/>
      <c r="J49" s="55"/>
      <c r="K49" s="35" t="s">
        <v>65</v>
      </c>
      <c r="L49" s="61">
        <v>49</v>
      </c>
      <c r="M49" s="61"/>
      <c r="N49" s="62"/>
    </row>
    <row r="50" spans="1:14" x14ac:dyDescent="0.3">
      <c r="A50" s="49" t="s">
        <v>214</v>
      </c>
      <c r="B50" s="49" t="s">
        <v>206</v>
      </c>
      <c r="C50" s="52"/>
      <c r="D50" s="53"/>
      <c r="E50" s="52"/>
      <c r="F50" s="54"/>
      <c r="G50" s="52" t="str">
        <f>IF(Edges[[#This Row],[Vertex 1]]=Edges[[#This Row],[Vertex 2]],"Skip","Show")</f>
        <v>Show</v>
      </c>
      <c r="H50" s="56"/>
      <c r="I50" s="55"/>
      <c r="J50" s="55"/>
      <c r="K50" s="35" t="s">
        <v>65</v>
      </c>
      <c r="L50" s="61">
        <v>50</v>
      </c>
      <c r="M50" s="61"/>
      <c r="N50" s="62"/>
    </row>
    <row r="51" spans="1:14" x14ac:dyDescent="0.3">
      <c r="A51" s="49" t="s">
        <v>206</v>
      </c>
      <c r="B51" s="49" t="s">
        <v>216</v>
      </c>
      <c r="C51" s="52"/>
      <c r="D51" s="53"/>
      <c r="E51" s="52"/>
      <c r="F51" s="54"/>
      <c r="G51" s="52" t="str">
        <f>IF(Edges[[#This Row],[Vertex 1]]=Edges[[#This Row],[Vertex 2]],"Skip","Show")</f>
        <v>Show</v>
      </c>
      <c r="H51" s="56"/>
      <c r="I51" s="55"/>
      <c r="J51" s="55"/>
      <c r="K51" s="35" t="s">
        <v>65</v>
      </c>
      <c r="L51" s="61">
        <v>51</v>
      </c>
      <c r="M51" s="61"/>
      <c r="N51" s="62"/>
    </row>
    <row r="52" spans="1:14" x14ac:dyDescent="0.3">
      <c r="A52" s="49" t="s">
        <v>216</v>
      </c>
      <c r="B52" s="49" t="s">
        <v>217</v>
      </c>
      <c r="C52" s="52"/>
      <c r="D52" s="53"/>
      <c r="E52" s="52"/>
      <c r="F52" s="54"/>
      <c r="G52" s="52" t="str">
        <f>IF(Edges[[#This Row],[Vertex 1]]=Edges[[#This Row],[Vertex 2]],"Skip","Show")</f>
        <v>Show</v>
      </c>
      <c r="H52" s="56"/>
      <c r="I52" s="55"/>
      <c r="J52" s="55"/>
      <c r="K52" s="35" t="s">
        <v>65</v>
      </c>
      <c r="L52" s="61">
        <v>52</v>
      </c>
      <c r="M52" s="61"/>
      <c r="N52" s="62"/>
    </row>
    <row r="53" spans="1:14" x14ac:dyDescent="0.3">
      <c r="A53" s="49" t="s">
        <v>217</v>
      </c>
      <c r="B53" s="49" t="s">
        <v>202</v>
      </c>
      <c r="C53" s="52"/>
      <c r="D53" s="53"/>
      <c r="E53" s="52"/>
      <c r="F53" s="54"/>
      <c r="G53" s="52" t="str">
        <f>IF(Edges[[#This Row],[Vertex 1]]=Edges[[#This Row],[Vertex 2]],"Skip","Show")</f>
        <v>Show</v>
      </c>
      <c r="H53" s="56"/>
      <c r="I53" s="55"/>
      <c r="J53" s="55"/>
      <c r="K53" s="35" t="s">
        <v>65</v>
      </c>
      <c r="L53" s="61">
        <v>53</v>
      </c>
      <c r="M53" s="61"/>
      <c r="N53" s="62"/>
    </row>
    <row r="54" spans="1:14" x14ac:dyDescent="0.3">
      <c r="A54" s="49" t="s">
        <v>218</v>
      </c>
      <c r="B54" s="49" t="s">
        <v>186</v>
      </c>
      <c r="C54" s="52"/>
      <c r="D54" s="53"/>
      <c r="E54" s="52"/>
      <c r="F54" s="54"/>
      <c r="G54" s="52" t="str">
        <f>IF(Edges[[#This Row],[Vertex 1]]=Edges[[#This Row],[Vertex 2]],"Skip","Show")</f>
        <v>Show</v>
      </c>
      <c r="H54" s="56"/>
      <c r="I54" s="55"/>
      <c r="J54" s="55"/>
      <c r="K54" s="35" t="s">
        <v>65</v>
      </c>
      <c r="L54" s="61">
        <v>54</v>
      </c>
      <c r="M54" s="61"/>
      <c r="N54" s="62"/>
    </row>
    <row r="55" spans="1:14" x14ac:dyDescent="0.3">
      <c r="A55" s="49" t="s">
        <v>186</v>
      </c>
      <c r="B55" s="49" t="s">
        <v>207</v>
      </c>
      <c r="C55" s="52"/>
      <c r="D55" s="53"/>
      <c r="E55" s="52"/>
      <c r="F55" s="54"/>
      <c r="G55" s="52" t="str">
        <f>IF(Edges[[#This Row],[Vertex 1]]=Edges[[#This Row],[Vertex 2]],"Skip","Show")</f>
        <v>Show</v>
      </c>
      <c r="H55" s="56"/>
      <c r="I55" s="55"/>
      <c r="J55" s="55"/>
      <c r="K55" s="35" t="s">
        <v>66</v>
      </c>
      <c r="L55" s="61">
        <v>55</v>
      </c>
      <c r="M55" s="61"/>
      <c r="N55" s="62"/>
    </row>
    <row r="56" spans="1:14" x14ac:dyDescent="0.3">
      <c r="A56" s="49" t="s">
        <v>207</v>
      </c>
      <c r="B56" s="49" t="s">
        <v>186</v>
      </c>
      <c r="C56" s="52"/>
      <c r="D56" s="53"/>
      <c r="E56" s="52"/>
      <c r="F56" s="54"/>
      <c r="G56" s="52" t="str">
        <f>IF(Edges[[#This Row],[Vertex 1]]=Edges[[#This Row],[Vertex 2]],"Skip","Show")</f>
        <v>Show</v>
      </c>
      <c r="H56" s="56"/>
      <c r="I56" s="55"/>
      <c r="J56" s="55"/>
      <c r="K56" s="35" t="s">
        <v>66</v>
      </c>
      <c r="L56" s="61">
        <v>56</v>
      </c>
      <c r="M56" s="61"/>
      <c r="N56" s="62"/>
    </row>
    <row r="57" spans="1:14" x14ac:dyDescent="0.3">
      <c r="A57" s="49" t="s">
        <v>195</v>
      </c>
      <c r="B57" s="49" t="s">
        <v>206</v>
      </c>
      <c r="C57" s="52"/>
      <c r="D57" s="53"/>
      <c r="E57" s="52"/>
      <c r="F57" s="54"/>
      <c r="G57" s="52" t="str">
        <f>IF(Edges[[#This Row],[Vertex 1]]=Edges[[#This Row],[Vertex 2]],"Skip","Show")</f>
        <v>Show</v>
      </c>
      <c r="H57" s="56"/>
      <c r="I57" s="55"/>
      <c r="J57" s="55"/>
      <c r="K57" s="35" t="s">
        <v>66</v>
      </c>
      <c r="L57" s="61">
        <v>57</v>
      </c>
      <c r="M57" s="61"/>
      <c r="N57" s="62"/>
    </row>
    <row r="58" spans="1:14" x14ac:dyDescent="0.3">
      <c r="A58" s="49" t="s">
        <v>206</v>
      </c>
      <c r="B58" s="49" t="s">
        <v>195</v>
      </c>
      <c r="C58" s="52"/>
      <c r="D58" s="53"/>
      <c r="E58" s="52"/>
      <c r="F58" s="54"/>
      <c r="G58" s="52" t="str">
        <f>IF(Edges[[#This Row],[Vertex 1]]=Edges[[#This Row],[Vertex 2]],"Skip","Show")</f>
        <v>Show</v>
      </c>
      <c r="H58" s="56"/>
      <c r="I58" s="55"/>
      <c r="J58" s="55"/>
      <c r="K58" s="35" t="s">
        <v>66</v>
      </c>
      <c r="L58" s="61">
        <v>58</v>
      </c>
      <c r="M58" s="61"/>
      <c r="N58" s="62"/>
    </row>
    <row r="59" spans="1:14" x14ac:dyDescent="0.3">
      <c r="A59" s="49" t="s">
        <v>195</v>
      </c>
      <c r="B59" s="49" t="s">
        <v>186</v>
      </c>
      <c r="C59" s="52"/>
      <c r="D59" s="53"/>
      <c r="E59" s="52"/>
      <c r="F59" s="54"/>
      <c r="G59" s="52" t="str">
        <f>IF(Edges[[#This Row],[Vertex 1]]=Edges[[#This Row],[Vertex 2]],"Skip","Show")</f>
        <v>Show</v>
      </c>
      <c r="H59" s="56"/>
      <c r="I59" s="55"/>
      <c r="J59" s="55"/>
      <c r="K59" s="35" t="s">
        <v>65</v>
      </c>
      <c r="L59" s="61">
        <v>59</v>
      </c>
      <c r="M59" s="61"/>
      <c r="N59" s="62"/>
    </row>
    <row r="60" spans="1:14" x14ac:dyDescent="0.3">
      <c r="A60" s="49" t="s">
        <v>186</v>
      </c>
      <c r="B60" s="49" t="s">
        <v>210</v>
      </c>
      <c r="C60" s="52"/>
      <c r="D60" s="53"/>
      <c r="E60" s="52"/>
      <c r="F60" s="54"/>
      <c r="G60" s="52" t="str">
        <f>IF(Edges[[#This Row],[Vertex 1]]=Edges[[#This Row],[Vertex 2]],"Skip","Show")</f>
        <v>Show</v>
      </c>
      <c r="H60" s="56"/>
      <c r="I60" s="55"/>
      <c r="J60" s="55"/>
      <c r="K60" s="35" t="s">
        <v>65</v>
      </c>
      <c r="L60" s="61">
        <v>60</v>
      </c>
      <c r="M60" s="61"/>
      <c r="N60" s="62"/>
    </row>
    <row r="61" spans="1:14" x14ac:dyDescent="0.3">
      <c r="A61" s="49" t="s">
        <v>219</v>
      </c>
      <c r="B61" s="49" t="s">
        <v>220</v>
      </c>
      <c r="C61" s="52"/>
      <c r="D61" s="53"/>
      <c r="E61" s="52"/>
      <c r="F61" s="54"/>
      <c r="G61" s="52" t="str">
        <f>IF(Edges[[#This Row],[Vertex 1]]=Edges[[#This Row],[Vertex 2]],"Skip","Show")</f>
        <v>Show</v>
      </c>
      <c r="H61" s="56"/>
      <c r="I61" s="55"/>
      <c r="J61" s="55"/>
      <c r="K61" s="35" t="s">
        <v>65</v>
      </c>
      <c r="L61" s="61">
        <v>61</v>
      </c>
      <c r="M61" s="61"/>
      <c r="N61" s="62"/>
    </row>
    <row r="62" spans="1:14" x14ac:dyDescent="0.3">
      <c r="A62" s="49" t="s">
        <v>221</v>
      </c>
      <c r="B62" s="49" t="s">
        <v>222</v>
      </c>
      <c r="C62" s="52"/>
      <c r="D62" s="53"/>
      <c r="E62" s="52"/>
      <c r="F62" s="54"/>
      <c r="G62" s="52" t="str">
        <f>IF(Edges[[#This Row],[Vertex 1]]=Edges[[#This Row],[Vertex 2]],"Skip","Show")</f>
        <v>Show</v>
      </c>
      <c r="H62" s="56"/>
      <c r="I62" s="55"/>
      <c r="J62" s="55"/>
      <c r="K62" s="35" t="s">
        <v>65</v>
      </c>
      <c r="L62" s="61">
        <v>62</v>
      </c>
      <c r="M62" s="61"/>
      <c r="N62" s="62"/>
    </row>
    <row r="63" spans="1:14" x14ac:dyDescent="0.3">
      <c r="A63" s="49" t="s">
        <v>223</v>
      </c>
      <c r="B63" s="49" t="s">
        <v>205</v>
      </c>
      <c r="C63" s="52"/>
      <c r="D63" s="53"/>
      <c r="E63" s="52"/>
      <c r="F63" s="54"/>
      <c r="G63" s="52" t="str">
        <f>IF(Edges[[#This Row],[Vertex 1]]=Edges[[#This Row],[Vertex 2]],"Skip","Show")</f>
        <v>Show</v>
      </c>
      <c r="H63" s="56"/>
      <c r="I63" s="55"/>
      <c r="J63" s="55"/>
      <c r="K63" s="35" t="s">
        <v>65</v>
      </c>
      <c r="L63" s="61">
        <v>63</v>
      </c>
      <c r="M63" s="61"/>
      <c r="N63" s="62"/>
    </row>
    <row r="64" spans="1:14" x14ac:dyDescent="0.3">
      <c r="A64" s="49" t="s">
        <v>205</v>
      </c>
      <c r="B64" s="49" t="s">
        <v>216</v>
      </c>
      <c r="C64" s="52"/>
      <c r="D64" s="53"/>
      <c r="E64" s="52"/>
      <c r="F64" s="54"/>
      <c r="G64" s="52" t="str">
        <f>IF(Edges[[#This Row],[Vertex 1]]=Edges[[#This Row],[Vertex 2]],"Skip","Show")</f>
        <v>Show</v>
      </c>
      <c r="H64" s="56"/>
      <c r="I64" s="55"/>
      <c r="J64" s="55"/>
      <c r="K64" s="35" t="s">
        <v>65</v>
      </c>
      <c r="L64" s="61">
        <v>64</v>
      </c>
      <c r="M64" s="61"/>
      <c r="N64" s="62"/>
    </row>
    <row r="65" spans="1:14" x14ac:dyDescent="0.3">
      <c r="A65" s="49" t="s">
        <v>216</v>
      </c>
      <c r="B65" s="49" t="s">
        <v>195</v>
      </c>
      <c r="C65" s="52"/>
      <c r="D65" s="53"/>
      <c r="E65" s="52"/>
      <c r="F65" s="54"/>
      <c r="G65" s="52" t="str">
        <f>IF(Edges[[#This Row],[Vertex 1]]=Edges[[#This Row],[Vertex 2]],"Skip","Show")</f>
        <v>Show</v>
      </c>
      <c r="H65" s="56"/>
      <c r="I65" s="55"/>
      <c r="J65" s="55"/>
      <c r="K65" s="35" t="s">
        <v>65</v>
      </c>
      <c r="L65" s="61">
        <v>65</v>
      </c>
      <c r="M65" s="61"/>
      <c r="N65" s="62"/>
    </row>
    <row r="66" spans="1:14" x14ac:dyDescent="0.3">
      <c r="A66" s="49" t="s">
        <v>195</v>
      </c>
      <c r="B66" s="49" t="s">
        <v>205</v>
      </c>
      <c r="C66" s="52"/>
      <c r="D66" s="53"/>
      <c r="E66" s="52"/>
      <c r="F66" s="54"/>
      <c r="G66" s="52" t="str">
        <f>IF(Edges[[#This Row],[Vertex 1]]=Edges[[#This Row],[Vertex 2]],"Skip","Show")</f>
        <v>Show</v>
      </c>
      <c r="H66" s="56"/>
      <c r="I66" s="55"/>
      <c r="J66" s="55"/>
      <c r="K66" s="35" t="s">
        <v>66</v>
      </c>
      <c r="L66" s="61">
        <v>66</v>
      </c>
      <c r="M66" s="61"/>
      <c r="N66" s="62"/>
    </row>
    <row r="67" spans="1:14" x14ac:dyDescent="0.3">
      <c r="A67" s="49" t="s">
        <v>205</v>
      </c>
      <c r="B67" s="49" t="s">
        <v>195</v>
      </c>
      <c r="C67" s="52"/>
      <c r="D67" s="53"/>
      <c r="E67" s="52"/>
      <c r="F67" s="54"/>
      <c r="G67" s="52" t="str">
        <f>IF(Edges[[#This Row],[Vertex 1]]=Edges[[#This Row],[Vertex 2]],"Skip","Show")</f>
        <v>Show</v>
      </c>
      <c r="H67" s="56"/>
      <c r="I67" s="55"/>
      <c r="J67" s="55"/>
      <c r="K67" s="35" t="s">
        <v>66</v>
      </c>
      <c r="L67" s="61">
        <v>67</v>
      </c>
      <c r="M67" s="61"/>
      <c r="N67" s="62"/>
    </row>
    <row r="68" spans="1:14" x14ac:dyDescent="0.3">
      <c r="A68" s="49" t="s">
        <v>205</v>
      </c>
      <c r="B68" s="49" t="s">
        <v>224</v>
      </c>
      <c r="C68" s="52"/>
      <c r="D68" s="53"/>
      <c r="E68" s="52"/>
      <c r="F68" s="54"/>
      <c r="G68" s="52" t="str">
        <f>IF(Edges[[#This Row],[Vertex 1]]=Edges[[#This Row],[Vertex 2]],"Skip","Show")</f>
        <v>Show</v>
      </c>
      <c r="H68" s="56"/>
      <c r="I68" s="55"/>
      <c r="J68" s="55"/>
      <c r="K68" s="35" t="s">
        <v>66</v>
      </c>
      <c r="L68" s="61">
        <v>68</v>
      </c>
      <c r="M68" s="61"/>
      <c r="N68" s="62"/>
    </row>
    <row r="69" spans="1:14" x14ac:dyDescent="0.3">
      <c r="A69" s="49" t="s">
        <v>224</v>
      </c>
      <c r="B69" s="49" t="s">
        <v>225</v>
      </c>
      <c r="C69" s="52"/>
      <c r="D69" s="53"/>
      <c r="E69" s="52"/>
      <c r="F69" s="54"/>
      <c r="G69" s="52" t="str">
        <f>IF(Edges[[#This Row],[Vertex 1]]=Edges[[#This Row],[Vertex 2]],"Skip","Show")</f>
        <v>Show</v>
      </c>
      <c r="H69" s="56"/>
      <c r="I69" s="55"/>
      <c r="J69" s="55"/>
      <c r="K69" s="35" t="s">
        <v>65</v>
      </c>
      <c r="L69" s="61">
        <v>69</v>
      </c>
      <c r="M69" s="61"/>
      <c r="N69" s="62"/>
    </row>
    <row r="70" spans="1:14" x14ac:dyDescent="0.3">
      <c r="A70" s="49" t="s">
        <v>225</v>
      </c>
      <c r="B70" s="49" t="s">
        <v>226</v>
      </c>
      <c r="C70" s="52"/>
      <c r="D70" s="53"/>
      <c r="E70" s="52"/>
      <c r="F70" s="54"/>
      <c r="G70" s="52" t="str">
        <f>IF(Edges[[#This Row],[Vertex 1]]=Edges[[#This Row],[Vertex 2]],"Skip","Show")</f>
        <v>Show</v>
      </c>
      <c r="H70" s="56"/>
      <c r="I70" s="55"/>
      <c r="J70" s="55"/>
      <c r="K70" s="35" t="s">
        <v>65</v>
      </c>
      <c r="L70" s="61">
        <v>70</v>
      </c>
      <c r="M70" s="61"/>
      <c r="N70" s="62"/>
    </row>
    <row r="71" spans="1:14" x14ac:dyDescent="0.3">
      <c r="A71" s="49" t="s">
        <v>226</v>
      </c>
      <c r="B71" s="49" t="s">
        <v>227</v>
      </c>
      <c r="C71" s="52"/>
      <c r="D71" s="53"/>
      <c r="E71" s="52"/>
      <c r="F71" s="54"/>
      <c r="G71" s="52" t="str">
        <f>IF(Edges[[#This Row],[Vertex 1]]=Edges[[#This Row],[Vertex 2]],"Skip","Show")</f>
        <v>Show</v>
      </c>
      <c r="H71" s="56"/>
      <c r="I71" s="55"/>
      <c r="J71" s="55"/>
      <c r="K71" s="35" t="s">
        <v>65</v>
      </c>
      <c r="L71" s="61">
        <v>71</v>
      </c>
      <c r="M71" s="61"/>
      <c r="N71" s="62"/>
    </row>
    <row r="72" spans="1:14" x14ac:dyDescent="0.3">
      <c r="A72" s="49" t="s">
        <v>227</v>
      </c>
      <c r="B72" s="49" t="s">
        <v>195</v>
      </c>
      <c r="C72" s="52"/>
      <c r="D72" s="53"/>
      <c r="E72" s="52"/>
      <c r="F72" s="54"/>
      <c r="G72" s="52" t="str">
        <f>IF(Edges[[#This Row],[Vertex 1]]=Edges[[#This Row],[Vertex 2]],"Skip","Show")</f>
        <v>Show</v>
      </c>
      <c r="H72" s="56"/>
      <c r="I72" s="55"/>
      <c r="J72" s="55"/>
      <c r="K72" s="35" t="s">
        <v>65</v>
      </c>
      <c r="L72" s="61">
        <v>72</v>
      </c>
      <c r="M72" s="61"/>
      <c r="N72" s="62"/>
    </row>
    <row r="73" spans="1:14" x14ac:dyDescent="0.3">
      <c r="A73" s="49" t="s">
        <v>195</v>
      </c>
      <c r="B73" s="49" t="s">
        <v>195</v>
      </c>
      <c r="C73" s="52"/>
      <c r="D73" s="53"/>
      <c r="E73" s="52"/>
      <c r="F73" s="54"/>
      <c r="G73" s="52" t="str">
        <f>IF(Edges[[#This Row],[Vertex 1]]=Edges[[#This Row],[Vertex 2]],"Skip","Show")</f>
        <v>Skip</v>
      </c>
      <c r="H73" s="56"/>
      <c r="I73" s="55"/>
      <c r="J73" s="55"/>
      <c r="K73" s="35"/>
      <c r="L73" s="61">
        <v>73</v>
      </c>
      <c r="M73" s="61"/>
      <c r="N73" s="62"/>
    </row>
    <row r="74" spans="1:14" x14ac:dyDescent="0.3">
      <c r="A74" s="49" t="s">
        <v>195</v>
      </c>
      <c r="B74" s="49" t="s">
        <v>223</v>
      </c>
      <c r="C74" s="52"/>
      <c r="D74" s="53"/>
      <c r="E74" s="52"/>
      <c r="F74" s="54"/>
      <c r="G74" s="52" t="str">
        <f>IF(Edges[[#This Row],[Vertex 1]]=Edges[[#This Row],[Vertex 2]],"Skip","Show")</f>
        <v>Show</v>
      </c>
      <c r="H74" s="56"/>
      <c r="I74" s="55"/>
      <c r="J74" s="55"/>
      <c r="K74" s="35" t="s">
        <v>65</v>
      </c>
      <c r="L74" s="61">
        <v>74</v>
      </c>
      <c r="M74" s="61"/>
      <c r="N74" s="62"/>
    </row>
    <row r="75" spans="1:14" x14ac:dyDescent="0.3">
      <c r="A75" s="49" t="s">
        <v>223</v>
      </c>
      <c r="B75" s="49" t="s">
        <v>226</v>
      </c>
      <c r="C75" s="52"/>
      <c r="D75" s="53"/>
      <c r="E75" s="52"/>
      <c r="F75" s="54"/>
      <c r="G75" s="52" t="str">
        <f>IF(Edges[[#This Row],[Vertex 1]]=Edges[[#This Row],[Vertex 2]],"Skip","Show")</f>
        <v>Show</v>
      </c>
      <c r="H75" s="56"/>
      <c r="I75" s="55"/>
      <c r="J75" s="55"/>
      <c r="K75" s="35" t="s">
        <v>65</v>
      </c>
      <c r="L75" s="61">
        <v>75</v>
      </c>
      <c r="M75" s="61"/>
      <c r="N75" s="62"/>
    </row>
    <row r="76" spans="1:14" x14ac:dyDescent="0.3">
      <c r="A76" s="49" t="s">
        <v>226</v>
      </c>
      <c r="B76" s="49" t="s">
        <v>228</v>
      </c>
      <c r="C76" s="52"/>
      <c r="D76" s="53"/>
      <c r="E76" s="52"/>
      <c r="F76" s="54"/>
      <c r="G76" s="52" t="str">
        <f>IF(Edges[[#This Row],[Vertex 1]]=Edges[[#This Row],[Vertex 2]],"Skip","Show")</f>
        <v>Show</v>
      </c>
      <c r="H76" s="56"/>
      <c r="I76" s="55"/>
      <c r="J76" s="55"/>
      <c r="K76" s="35" t="s">
        <v>65</v>
      </c>
      <c r="L76" s="61">
        <v>76</v>
      </c>
      <c r="M76" s="61"/>
      <c r="N76" s="62"/>
    </row>
    <row r="77" spans="1:14" x14ac:dyDescent="0.3">
      <c r="A77" s="49" t="s">
        <v>223</v>
      </c>
      <c r="B77" s="49" t="s">
        <v>202</v>
      </c>
      <c r="C77" s="52"/>
      <c r="D77" s="53"/>
      <c r="E77" s="52"/>
      <c r="F77" s="54"/>
      <c r="G77" s="52" t="str">
        <f>IF(Edges[[#This Row],[Vertex 1]]=Edges[[#This Row],[Vertex 2]],"Skip","Show")</f>
        <v>Show</v>
      </c>
      <c r="H77" s="56"/>
      <c r="I77" s="55"/>
      <c r="J77" s="55"/>
      <c r="K77" s="35" t="s">
        <v>65</v>
      </c>
      <c r="L77" s="61">
        <v>77</v>
      </c>
      <c r="M77" s="61"/>
      <c r="N77" s="62"/>
    </row>
    <row r="78" spans="1:14" x14ac:dyDescent="0.3">
      <c r="A78" s="49" t="s">
        <v>202</v>
      </c>
      <c r="B78" s="49" t="s">
        <v>229</v>
      </c>
      <c r="C78" s="52"/>
      <c r="D78" s="53"/>
      <c r="E78" s="52"/>
      <c r="F78" s="54"/>
      <c r="G78" s="52" t="str">
        <f>IF(Edges[[#This Row],[Vertex 1]]=Edges[[#This Row],[Vertex 2]],"Skip","Show")</f>
        <v>Show</v>
      </c>
      <c r="H78" s="56"/>
      <c r="I78" s="55"/>
      <c r="J78" s="55"/>
      <c r="K78" s="35" t="s">
        <v>65</v>
      </c>
      <c r="L78" s="61">
        <v>78</v>
      </c>
      <c r="M78" s="61"/>
      <c r="N78" s="62"/>
    </row>
    <row r="79" spans="1:14" x14ac:dyDescent="0.3">
      <c r="A79" s="49" t="s">
        <v>230</v>
      </c>
      <c r="B79" s="49" t="s">
        <v>224</v>
      </c>
      <c r="C79" s="52"/>
      <c r="D79" s="53"/>
      <c r="E79" s="52"/>
      <c r="F79" s="54"/>
      <c r="G79" s="52" t="str">
        <f>IF(Edges[[#This Row],[Vertex 1]]=Edges[[#This Row],[Vertex 2]],"Skip","Show")</f>
        <v>Show</v>
      </c>
      <c r="H79" s="56"/>
      <c r="I79" s="55"/>
      <c r="J79" s="55"/>
      <c r="K79" s="35" t="s">
        <v>65</v>
      </c>
      <c r="L79" s="61">
        <v>79</v>
      </c>
      <c r="M79" s="61"/>
      <c r="N79" s="62"/>
    </row>
    <row r="80" spans="1:14" x14ac:dyDescent="0.3">
      <c r="A80" s="49" t="s">
        <v>224</v>
      </c>
      <c r="B80" s="49" t="s">
        <v>205</v>
      </c>
      <c r="C80" s="52"/>
      <c r="D80" s="53"/>
      <c r="E80" s="52"/>
      <c r="F80" s="54"/>
      <c r="G80" s="52" t="str">
        <f>IF(Edges[[#This Row],[Vertex 1]]=Edges[[#This Row],[Vertex 2]],"Skip","Show")</f>
        <v>Show</v>
      </c>
      <c r="H80" s="56"/>
      <c r="I80" s="55"/>
      <c r="J80" s="55"/>
      <c r="K80" s="35" t="s">
        <v>66</v>
      </c>
      <c r="L80" s="61">
        <v>80</v>
      </c>
      <c r="M80" s="61"/>
      <c r="N80" s="62"/>
    </row>
    <row r="81" spans="1:14" x14ac:dyDescent="0.3">
      <c r="A81" s="49" t="s">
        <v>231</v>
      </c>
      <c r="B81" s="49" t="s">
        <v>232</v>
      </c>
      <c r="C81" s="52"/>
      <c r="D81" s="53"/>
      <c r="E81" s="52"/>
      <c r="F81" s="54"/>
      <c r="G81" s="52" t="str">
        <f>IF(Edges[[#This Row],[Vertex 1]]=Edges[[#This Row],[Vertex 2]],"Skip","Show")</f>
        <v>Show</v>
      </c>
      <c r="H81" s="56"/>
      <c r="I81" s="55"/>
      <c r="J81" s="55"/>
      <c r="K81" s="35" t="s">
        <v>65</v>
      </c>
      <c r="L81" s="61">
        <v>81</v>
      </c>
      <c r="M81" s="61"/>
      <c r="N81" s="62"/>
    </row>
    <row r="82" spans="1:14" x14ac:dyDescent="0.3">
      <c r="A82" s="49" t="s">
        <v>197</v>
      </c>
      <c r="B82" s="49" t="s">
        <v>184</v>
      </c>
      <c r="C82" s="52"/>
      <c r="D82" s="53"/>
      <c r="E82" s="52"/>
      <c r="F82" s="54"/>
      <c r="G82" s="52" t="str">
        <f>IF(Edges[[#This Row],[Vertex 1]]=Edges[[#This Row],[Vertex 2]],"Skip","Show")</f>
        <v>Show</v>
      </c>
      <c r="H82" s="56"/>
      <c r="I82" s="55"/>
      <c r="J82" s="55"/>
      <c r="K82" s="35" t="s">
        <v>65</v>
      </c>
      <c r="L82" s="61">
        <v>82</v>
      </c>
      <c r="M82" s="61"/>
      <c r="N82" s="62"/>
    </row>
    <row r="83" spans="1:14" x14ac:dyDescent="0.3">
      <c r="A83" s="49" t="s">
        <v>233</v>
      </c>
      <c r="B83" s="49" t="s">
        <v>233</v>
      </c>
      <c r="C83" s="52"/>
      <c r="D83" s="53"/>
      <c r="E83" s="52"/>
      <c r="F83" s="54"/>
      <c r="G83" s="52" t="str">
        <f>IF(Edges[[#This Row],[Vertex 1]]=Edges[[#This Row],[Vertex 2]],"Skip","Show")</f>
        <v>Skip</v>
      </c>
      <c r="H83" s="56"/>
      <c r="I83" s="55"/>
      <c r="J83" s="55"/>
      <c r="K83" s="35"/>
      <c r="L83" s="61">
        <v>83</v>
      </c>
      <c r="M83" s="61"/>
      <c r="N83" s="62"/>
    </row>
    <row r="84" spans="1:14" x14ac:dyDescent="0.3">
      <c r="A84" s="49" t="s">
        <v>234</v>
      </c>
      <c r="B84" s="49" t="s">
        <v>234</v>
      </c>
      <c r="C84" s="52"/>
      <c r="D84" s="53"/>
      <c r="E84" s="52"/>
      <c r="F84" s="54"/>
      <c r="G84" s="52" t="str">
        <f>IF(Edges[[#This Row],[Vertex 1]]=Edges[[#This Row],[Vertex 2]],"Skip","Show")</f>
        <v>Skip</v>
      </c>
      <c r="H84" s="56"/>
      <c r="I84" s="55"/>
      <c r="J84" s="55"/>
      <c r="K84" s="35"/>
      <c r="L84" s="61">
        <v>84</v>
      </c>
      <c r="M84" s="61"/>
      <c r="N84" s="62"/>
    </row>
    <row r="85" spans="1:14" x14ac:dyDescent="0.3">
      <c r="A85" s="49" t="s">
        <v>196</v>
      </c>
      <c r="B85" s="49" t="s">
        <v>196</v>
      </c>
      <c r="C85" s="52"/>
      <c r="D85" s="53"/>
      <c r="E85" s="52"/>
      <c r="F85" s="54"/>
      <c r="G85" s="52" t="str">
        <f>IF(Edges[[#This Row],[Vertex 1]]=Edges[[#This Row],[Vertex 2]],"Skip","Show")</f>
        <v>Skip</v>
      </c>
      <c r="H85" s="56"/>
      <c r="I85" s="55"/>
      <c r="J85" s="55"/>
      <c r="K85" s="35"/>
      <c r="L85" s="61">
        <v>85</v>
      </c>
      <c r="M85" s="61"/>
      <c r="N85" s="62"/>
    </row>
    <row r="86" spans="1:14" x14ac:dyDescent="0.3">
      <c r="A86" s="49" t="s">
        <v>235</v>
      </c>
      <c r="B86" s="49" t="s">
        <v>205</v>
      </c>
      <c r="C86" s="52"/>
      <c r="D86" s="53"/>
      <c r="E86" s="52"/>
      <c r="F86" s="54"/>
      <c r="G86" s="52" t="str">
        <f>IF(Edges[[#This Row],[Vertex 1]]=Edges[[#This Row],[Vertex 2]],"Skip","Show")</f>
        <v>Show</v>
      </c>
      <c r="H86" s="56"/>
      <c r="I86" s="55"/>
      <c r="J86" s="55"/>
      <c r="K86" s="35" t="s">
        <v>65</v>
      </c>
      <c r="L86" s="61">
        <v>86</v>
      </c>
      <c r="M86" s="61"/>
      <c r="N86" s="62"/>
    </row>
    <row r="87" spans="1:14" x14ac:dyDescent="0.3">
      <c r="A87" s="49" t="s">
        <v>205</v>
      </c>
      <c r="B87" s="49" t="s">
        <v>236</v>
      </c>
      <c r="C87" s="52"/>
      <c r="D87" s="53"/>
      <c r="E87" s="52"/>
      <c r="F87" s="54"/>
      <c r="G87" s="52" t="str">
        <f>IF(Edges[[#This Row],[Vertex 1]]=Edges[[#This Row],[Vertex 2]],"Skip","Show")</f>
        <v>Show</v>
      </c>
      <c r="H87" s="56"/>
      <c r="I87" s="55"/>
      <c r="J87" s="55"/>
      <c r="K87" s="35" t="s">
        <v>65</v>
      </c>
      <c r="L87" s="61">
        <v>87</v>
      </c>
      <c r="M87" s="61"/>
      <c r="N87" s="62"/>
    </row>
    <row r="88" spans="1:14" x14ac:dyDescent="0.3">
      <c r="A88" s="49" t="s">
        <v>236</v>
      </c>
      <c r="B88" s="49" t="s">
        <v>204</v>
      </c>
      <c r="C88" s="52"/>
      <c r="D88" s="53"/>
      <c r="E88" s="52"/>
      <c r="F88" s="54"/>
      <c r="G88" s="52" t="str">
        <f>IF(Edges[[#This Row],[Vertex 1]]=Edges[[#This Row],[Vertex 2]],"Skip","Show")</f>
        <v>Show</v>
      </c>
      <c r="H88" s="56"/>
      <c r="I88" s="55"/>
      <c r="J88" s="55"/>
      <c r="K88" s="35" t="s">
        <v>65</v>
      </c>
      <c r="L88" s="61">
        <v>88</v>
      </c>
      <c r="M88" s="61"/>
      <c r="N88" s="62"/>
    </row>
    <row r="89" spans="1:14" x14ac:dyDescent="0.3">
      <c r="A89" s="49" t="s">
        <v>204</v>
      </c>
      <c r="B89" s="49" t="s">
        <v>235</v>
      </c>
      <c r="C89" s="52"/>
      <c r="D89" s="53"/>
      <c r="E89" s="52"/>
      <c r="F89" s="54"/>
      <c r="G89" s="52" t="str">
        <f>IF(Edges[[#This Row],[Vertex 1]]=Edges[[#This Row],[Vertex 2]],"Skip","Show")</f>
        <v>Show</v>
      </c>
      <c r="H89" s="56"/>
      <c r="I89" s="55"/>
      <c r="J89" s="55"/>
      <c r="K89" s="35" t="s">
        <v>65</v>
      </c>
      <c r="L89" s="61">
        <v>89</v>
      </c>
      <c r="M89" s="61"/>
      <c r="N89" s="62"/>
    </row>
    <row r="90" spans="1:14" x14ac:dyDescent="0.3">
      <c r="A90" s="49" t="s">
        <v>235</v>
      </c>
      <c r="B90" s="49" t="s">
        <v>237</v>
      </c>
      <c r="C90" s="52"/>
      <c r="D90" s="53"/>
      <c r="E90" s="52"/>
      <c r="F90" s="54"/>
      <c r="G90" s="52" t="str">
        <f>IF(Edges[[#This Row],[Vertex 1]]=Edges[[#This Row],[Vertex 2]],"Skip","Show")</f>
        <v>Show</v>
      </c>
      <c r="H90" s="56"/>
      <c r="I90" s="55"/>
      <c r="J90" s="55"/>
      <c r="K90" s="35" t="s">
        <v>66</v>
      </c>
      <c r="L90" s="61">
        <v>90</v>
      </c>
      <c r="M90" s="61"/>
      <c r="N90" s="62"/>
    </row>
    <row r="91" spans="1:14" x14ac:dyDescent="0.3">
      <c r="A91" s="49" t="s">
        <v>237</v>
      </c>
      <c r="B91" s="49" t="s">
        <v>205</v>
      </c>
      <c r="C91" s="52"/>
      <c r="D91" s="53"/>
      <c r="E91" s="52"/>
      <c r="F91" s="54"/>
      <c r="G91" s="52" t="str">
        <f>IF(Edges[[#This Row],[Vertex 1]]=Edges[[#This Row],[Vertex 2]],"Skip","Show")</f>
        <v>Show</v>
      </c>
      <c r="H91" s="56"/>
      <c r="I91" s="55"/>
      <c r="J91" s="55"/>
      <c r="K91" s="35" t="s">
        <v>65</v>
      </c>
      <c r="L91" s="61">
        <v>91</v>
      </c>
      <c r="M91" s="61"/>
      <c r="N91" s="62"/>
    </row>
    <row r="92" spans="1:14" x14ac:dyDescent="0.3">
      <c r="A92" s="49" t="s">
        <v>205</v>
      </c>
      <c r="B92" s="49" t="s">
        <v>238</v>
      </c>
      <c r="C92" s="52"/>
      <c r="D92" s="53"/>
      <c r="E92" s="52"/>
      <c r="F92" s="54"/>
      <c r="G92" s="52" t="str">
        <f>IF(Edges[[#This Row],[Vertex 1]]=Edges[[#This Row],[Vertex 2]],"Skip","Show")</f>
        <v>Show</v>
      </c>
      <c r="H92" s="56"/>
      <c r="I92" s="55"/>
      <c r="J92" s="55"/>
      <c r="K92" s="35" t="s">
        <v>65</v>
      </c>
      <c r="L92" s="61">
        <v>92</v>
      </c>
      <c r="M92" s="61"/>
      <c r="N92" s="62"/>
    </row>
    <row r="93" spans="1:14" x14ac:dyDescent="0.3">
      <c r="A93" s="49" t="s">
        <v>238</v>
      </c>
      <c r="B93" s="49" t="s">
        <v>237</v>
      </c>
      <c r="C93" s="52"/>
      <c r="D93" s="53"/>
      <c r="E93" s="52"/>
      <c r="F93" s="54"/>
      <c r="G93" s="52" t="str">
        <f>IF(Edges[[#This Row],[Vertex 1]]=Edges[[#This Row],[Vertex 2]],"Skip","Show")</f>
        <v>Show</v>
      </c>
      <c r="H93" s="56"/>
      <c r="I93" s="55"/>
      <c r="J93" s="55"/>
      <c r="K93" s="35" t="s">
        <v>65</v>
      </c>
      <c r="L93" s="61">
        <v>93</v>
      </c>
      <c r="M93" s="61"/>
      <c r="N93" s="62"/>
    </row>
    <row r="94" spans="1:14" x14ac:dyDescent="0.3">
      <c r="A94" s="49" t="s">
        <v>237</v>
      </c>
      <c r="B94" s="49" t="s">
        <v>237</v>
      </c>
      <c r="C94" s="52"/>
      <c r="D94" s="53"/>
      <c r="E94" s="52"/>
      <c r="F94" s="54"/>
      <c r="G94" s="52" t="str">
        <f>IF(Edges[[#This Row],[Vertex 1]]=Edges[[#This Row],[Vertex 2]],"Skip","Show")</f>
        <v>Skip</v>
      </c>
      <c r="H94" s="56"/>
      <c r="I94" s="55"/>
      <c r="J94" s="55"/>
      <c r="K94" s="35"/>
      <c r="L94" s="61">
        <v>94</v>
      </c>
      <c r="M94" s="61"/>
      <c r="N94" s="62"/>
    </row>
    <row r="95" spans="1:14" x14ac:dyDescent="0.3">
      <c r="A95" s="49" t="s">
        <v>219</v>
      </c>
      <c r="B95" s="49" t="s">
        <v>239</v>
      </c>
      <c r="C95" s="52"/>
      <c r="D95" s="53"/>
      <c r="E95" s="52"/>
      <c r="F95" s="54"/>
      <c r="G95" s="52" t="str">
        <f>IF(Edges[[#This Row],[Vertex 1]]=Edges[[#This Row],[Vertex 2]],"Skip","Show")</f>
        <v>Show</v>
      </c>
      <c r="H95" s="56"/>
      <c r="I95" s="55"/>
      <c r="J95" s="55"/>
      <c r="K95" s="35" t="s">
        <v>65</v>
      </c>
      <c r="L95" s="61">
        <v>95</v>
      </c>
      <c r="M95" s="61"/>
      <c r="N95" s="62"/>
    </row>
    <row r="96" spans="1:14" x14ac:dyDescent="0.3">
      <c r="A96" s="49" t="s">
        <v>239</v>
      </c>
      <c r="B96" s="49" t="s">
        <v>184</v>
      </c>
      <c r="C96" s="52"/>
      <c r="D96" s="53"/>
      <c r="E96" s="52"/>
      <c r="F96" s="54"/>
      <c r="G96" s="52" t="str">
        <f>IF(Edges[[#This Row],[Vertex 1]]=Edges[[#This Row],[Vertex 2]],"Skip","Show")</f>
        <v>Show</v>
      </c>
      <c r="H96" s="56"/>
      <c r="I96" s="55"/>
      <c r="J96" s="55"/>
      <c r="K96" s="35" t="s">
        <v>65</v>
      </c>
      <c r="L96" s="61">
        <v>96</v>
      </c>
      <c r="M96" s="61"/>
      <c r="N96" s="62"/>
    </row>
    <row r="97" spans="1:14" x14ac:dyDescent="0.3">
      <c r="A97" s="49" t="s">
        <v>184</v>
      </c>
      <c r="B97" s="49" t="s">
        <v>240</v>
      </c>
      <c r="C97" s="52"/>
      <c r="D97" s="53"/>
      <c r="E97" s="52"/>
      <c r="F97" s="54"/>
      <c r="G97" s="52" t="str">
        <f>IF(Edges[[#This Row],[Vertex 1]]=Edges[[#This Row],[Vertex 2]],"Skip","Show")</f>
        <v>Show</v>
      </c>
      <c r="H97" s="56"/>
      <c r="I97" s="55"/>
      <c r="J97" s="55"/>
      <c r="K97" s="35" t="s">
        <v>65</v>
      </c>
      <c r="L97" s="61">
        <v>97</v>
      </c>
      <c r="M97" s="61"/>
      <c r="N97" s="62"/>
    </row>
    <row r="98" spans="1:14" x14ac:dyDescent="0.3">
      <c r="A98" s="49" t="s">
        <v>240</v>
      </c>
      <c r="B98" s="49" t="s">
        <v>219</v>
      </c>
      <c r="C98" s="52"/>
      <c r="D98" s="53"/>
      <c r="E98" s="52"/>
      <c r="F98" s="54"/>
      <c r="G98" s="52" t="str">
        <f>IF(Edges[[#This Row],[Vertex 1]]=Edges[[#This Row],[Vertex 2]],"Skip","Show")</f>
        <v>Show</v>
      </c>
      <c r="H98" s="56"/>
      <c r="I98" s="55"/>
      <c r="J98" s="55"/>
      <c r="K98" s="35" t="s">
        <v>65</v>
      </c>
      <c r="L98" s="61">
        <v>98</v>
      </c>
      <c r="M98" s="61"/>
      <c r="N98" s="62"/>
    </row>
    <row r="99" spans="1:14" x14ac:dyDescent="0.3">
      <c r="A99" s="49" t="s">
        <v>219</v>
      </c>
      <c r="B99" s="49" t="s">
        <v>241</v>
      </c>
      <c r="C99" s="52"/>
      <c r="D99" s="53"/>
      <c r="E99" s="52"/>
      <c r="F99" s="54"/>
      <c r="G99" s="52" t="str">
        <f>IF(Edges[[#This Row],[Vertex 1]]=Edges[[#This Row],[Vertex 2]],"Skip","Show")</f>
        <v>Show</v>
      </c>
      <c r="H99" s="56"/>
      <c r="I99" s="55"/>
      <c r="J99" s="55"/>
      <c r="K99" s="35" t="s">
        <v>65</v>
      </c>
      <c r="L99" s="61">
        <v>99</v>
      </c>
      <c r="M99" s="61"/>
      <c r="N99" s="62"/>
    </row>
    <row r="100" spans="1:14" x14ac:dyDescent="0.3">
      <c r="A100" s="49" t="s">
        <v>241</v>
      </c>
      <c r="B100" s="49" t="s">
        <v>184</v>
      </c>
      <c r="C100" s="52"/>
      <c r="D100" s="53"/>
      <c r="E100" s="52"/>
      <c r="F100" s="54"/>
      <c r="G100" s="52" t="str">
        <f>IF(Edges[[#This Row],[Vertex 1]]=Edges[[#This Row],[Vertex 2]],"Skip","Show")</f>
        <v>Show</v>
      </c>
      <c r="H100" s="56"/>
      <c r="I100" s="55"/>
      <c r="J100" s="55"/>
      <c r="K100" s="35" t="s">
        <v>65</v>
      </c>
      <c r="L100" s="61">
        <v>100</v>
      </c>
      <c r="M100" s="61"/>
      <c r="N100" s="62"/>
    </row>
    <row r="101" spans="1:14" x14ac:dyDescent="0.3">
      <c r="A101" s="49" t="s">
        <v>184</v>
      </c>
      <c r="B101" s="49" t="s">
        <v>206</v>
      </c>
      <c r="C101" s="52"/>
      <c r="D101" s="53"/>
      <c r="E101" s="52"/>
      <c r="F101" s="54"/>
      <c r="G101" s="52" t="str">
        <f>IF(Edges[[#This Row],[Vertex 1]]=Edges[[#This Row],[Vertex 2]],"Skip","Show")</f>
        <v>Show</v>
      </c>
      <c r="H101" s="56"/>
      <c r="I101" s="55"/>
      <c r="J101" s="55"/>
      <c r="K101" s="35" t="s">
        <v>65</v>
      </c>
      <c r="L101" s="61">
        <v>101</v>
      </c>
      <c r="M101" s="61"/>
      <c r="N101" s="62"/>
    </row>
    <row r="102" spans="1:14" x14ac:dyDescent="0.3">
      <c r="A102" s="49" t="s">
        <v>206</v>
      </c>
      <c r="B102" s="49" t="s">
        <v>242</v>
      </c>
      <c r="C102" s="52"/>
      <c r="D102" s="53"/>
      <c r="E102" s="52"/>
      <c r="F102" s="54"/>
      <c r="G102" s="52" t="str">
        <f>IF(Edges[[#This Row],[Vertex 1]]=Edges[[#This Row],[Vertex 2]],"Skip","Show")</f>
        <v>Show</v>
      </c>
      <c r="H102" s="56"/>
      <c r="I102" s="55"/>
      <c r="J102" s="55"/>
      <c r="K102" s="35" t="s">
        <v>65</v>
      </c>
      <c r="L102" s="61">
        <v>102</v>
      </c>
      <c r="M102" s="61"/>
      <c r="N102" s="62"/>
    </row>
    <row r="103" spans="1:14" x14ac:dyDescent="0.3">
      <c r="A103" s="49" t="s">
        <v>242</v>
      </c>
      <c r="B103" s="49" t="s">
        <v>204</v>
      </c>
      <c r="C103" s="52"/>
      <c r="D103" s="53"/>
      <c r="E103" s="52"/>
      <c r="F103" s="54"/>
      <c r="G103" s="52" t="str">
        <f>IF(Edges[[#This Row],[Vertex 1]]=Edges[[#This Row],[Vertex 2]],"Skip","Show")</f>
        <v>Show</v>
      </c>
      <c r="H103" s="56"/>
      <c r="I103" s="55"/>
      <c r="J103" s="55"/>
      <c r="K103" s="35" t="s">
        <v>65</v>
      </c>
      <c r="L103" s="61">
        <v>103</v>
      </c>
      <c r="M103" s="61"/>
      <c r="N103" s="62"/>
    </row>
    <row r="104" spans="1:14" x14ac:dyDescent="0.3">
      <c r="A104" s="49" t="s">
        <v>204</v>
      </c>
      <c r="B104" s="49" t="s">
        <v>243</v>
      </c>
      <c r="C104" s="52"/>
      <c r="D104" s="53"/>
      <c r="E104" s="52"/>
      <c r="F104" s="54"/>
      <c r="G104" s="52" t="str">
        <f>IF(Edges[[#This Row],[Vertex 1]]=Edges[[#This Row],[Vertex 2]],"Skip","Show")</f>
        <v>Show</v>
      </c>
      <c r="H104" s="56"/>
      <c r="I104" s="55"/>
      <c r="J104" s="55"/>
      <c r="K104" s="35" t="s">
        <v>65</v>
      </c>
      <c r="L104" s="61">
        <v>104</v>
      </c>
      <c r="M104" s="61"/>
      <c r="N104" s="62"/>
    </row>
    <row r="105" spans="1:14" x14ac:dyDescent="0.3">
      <c r="A105" s="49" t="s">
        <v>243</v>
      </c>
      <c r="B105" s="49" t="s">
        <v>236</v>
      </c>
      <c r="C105" s="52"/>
      <c r="D105" s="53"/>
      <c r="E105" s="52"/>
      <c r="F105" s="54"/>
      <c r="G105" s="52" t="str">
        <f>IF(Edges[[#This Row],[Vertex 1]]=Edges[[#This Row],[Vertex 2]],"Skip","Show")</f>
        <v>Show</v>
      </c>
      <c r="H105" s="56"/>
      <c r="I105" s="55"/>
      <c r="J105" s="55"/>
      <c r="K105" s="35" t="s">
        <v>65</v>
      </c>
      <c r="L105" s="61">
        <v>105</v>
      </c>
      <c r="M105" s="61"/>
      <c r="N105" s="62"/>
    </row>
    <row r="106" spans="1:14" x14ac:dyDescent="0.3">
      <c r="A106" s="49" t="s">
        <v>236</v>
      </c>
      <c r="B106" s="49" t="s">
        <v>214</v>
      </c>
      <c r="C106" s="52"/>
      <c r="D106" s="53"/>
      <c r="E106" s="52"/>
      <c r="F106" s="54"/>
      <c r="G106" s="52" t="str">
        <f>IF(Edges[[#This Row],[Vertex 1]]=Edges[[#This Row],[Vertex 2]],"Skip","Show")</f>
        <v>Show</v>
      </c>
      <c r="H106" s="56"/>
      <c r="I106" s="55"/>
      <c r="J106" s="55"/>
      <c r="K106" s="35" t="s">
        <v>65</v>
      </c>
      <c r="L106" s="61">
        <v>106</v>
      </c>
      <c r="M106" s="61"/>
      <c r="N106" s="62"/>
    </row>
    <row r="107" spans="1:14" x14ac:dyDescent="0.3">
      <c r="A107" s="49" t="s">
        <v>214</v>
      </c>
      <c r="B107" s="49" t="s">
        <v>237</v>
      </c>
      <c r="C107" s="52"/>
      <c r="D107" s="53"/>
      <c r="E107" s="52"/>
      <c r="F107" s="54"/>
      <c r="G107" s="52" t="str">
        <f>IF(Edges[[#This Row],[Vertex 1]]=Edges[[#This Row],[Vertex 2]],"Skip","Show")</f>
        <v>Show</v>
      </c>
      <c r="H107" s="56"/>
      <c r="I107" s="55"/>
      <c r="J107" s="55"/>
      <c r="K107" s="35" t="s">
        <v>65</v>
      </c>
      <c r="L107" s="61">
        <v>107</v>
      </c>
      <c r="M107" s="61"/>
      <c r="N107" s="62"/>
    </row>
    <row r="108" spans="1:14" x14ac:dyDescent="0.3">
      <c r="A108" s="49" t="s">
        <v>237</v>
      </c>
      <c r="B108" s="49" t="s">
        <v>235</v>
      </c>
      <c r="C108" s="52"/>
      <c r="D108" s="53"/>
      <c r="E108" s="52"/>
      <c r="F108" s="54"/>
      <c r="G108" s="52" t="str">
        <f>IF(Edges[[#This Row],[Vertex 1]]=Edges[[#This Row],[Vertex 2]],"Skip","Show")</f>
        <v>Show</v>
      </c>
      <c r="H108" s="56"/>
      <c r="I108" s="55"/>
      <c r="J108" s="55"/>
      <c r="K108" s="35" t="s">
        <v>66</v>
      </c>
      <c r="L108" s="61">
        <v>108</v>
      </c>
      <c r="M108" s="61"/>
      <c r="N108" s="62"/>
    </row>
    <row r="109" spans="1:14" x14ac:dyDescent="0.3">
      <c r="A109" s="49" t="s">
        <v>235</v>
      </c>
      <c r="B109" s="49" t="s">
        <v>244</v>
      </c>
      <c r="C109" s="52"/>
      <c r="D109" s="53"/>
      <c r="E109" s="52"/>
      <c r="F109" s="54"/>
      <c r="G109" s="52" t="str">
        <f>IF(Edges[[#This Row],[Vertex 1]]=Edges[[#This Row],[Vertex 2]],"Skip","Show")</f>
        <v>Show</v>
      </c>
      <c r="H109" s="56"/>
      <c r="I109" s="55"/>
      <c r="J109" s="55"/>
      <c r="K109" s="35" t="s">
        <v>65</v>
      </c>
      <c r="L109" s="61">
        <v>109</v>
      </c>
      <c r="M109" s="61"/>
      <c r="N109" s="62"/>
    </row>
    <row r="110" spans="1:14" x14ac:dyDescent="0.3">
      <c r="A110" s="49" t="s">
        <v>244</v>
      </c>
      <c r="B110" s="49" t="s">
        <v>213</v>
      </c>
      <c r="C110" s="52"/>
      <c r="D110" s="53"/>
      <c r="E110" s="52"/>
      <c r="F110" s="54"/>
      <c r="G110" s="52" t="str">
        <f>IF(Edges[[#This Row],[Vertex 1]]=Edges[[#This Row],[Vertex 2]],"Skip","Show")</f>
        <v>Show</v>
      </c>
      <c r="H110" s="56"/>
      <c r="I110" s="55"/>
      <c r="J110" s="55"/>
      <c r="K110" s="35" t="s">
        <v>65</v>
      </c>
      <c r="L110" s="61">
        <v>110</v>
      </c>
      <c r="M110" s="61"/>
      <c r="N110" s="62"/>
    </row>
    <row r="111" spans="1:14" x14ac:dyDescent="0.3">
      <c r="A111" s="49" t="s">
        <v>213</v>
      </c>
      <c r="B111" s="49" t="s">
        <v>206</v>
      </c>
      <c r="C111" s="52"/>
      <c r="D111" s="53"/>
      <c r="E111" s="52"/>
      <c r="F111" s="54"/>
      <c r="G111" s="52" t="str">
        <f>IF(Edges[[#This Row],[Vertex 1]]=Edges[[#This Row],[Vertex 2]],"Skip","Show")</f>
        <v>Show</v>
      </c>
      <c r="H111" s="56"/>
      <c r="I111" s="55"/>
      <c r="J111" s="55"/>
      <c r="K111" s="35" t="s">
        <v>65</v>
      </c>
      <c r="L111" s="61">
        <v>111</v>
      </c>
      <c r="M111" s="61"/>
      <c r="N111" s="62"/>
    </row>
    <row r="112" spans="1:14" x14ac:dyDescent="0.3">
      <c r="A112" s="49" t="s">
        <v>206</v>
      </c>
      <c r="B112" s="49" t="s">
        <v>245</v>
      </c>
      <c r="C112" s="52"/>
      <c r="D112" s="53"/>
      <c r="E112" s="52"/>
      <c r="F112" s="54"/>
      <c r="G112" s="52" t="str">
        <f>IF(Edges[[#This Row],[Vertex 1]]=Edges[[#This Row],[Vertex 2]],"Skip","Show")</f>
        <v>Show</v>
      </c>
      <c r="H112" s="56"/>
      <c r="I112" s="55"/>
      <c r="J112" s="55"/>
      <c r="K112" s="35" t="s">
        <v>65</v>
      </c>
      <c r="L112" s="61">
        <v>112</v>
      </c>
      <c r="M112" s="61"/>
      <c r="N112" s="62"/>
    </row>
    <row r="113" spans="1:14" x14ac:dyDescent="0.3">
      <c r="A113" s="49" t="s">
        <v>237</v>
      </c>
      <c r="B113" s="49" t="s">
        <v>223</v>
      </c>
      <c r="C113" s="52"/>
      <c r="D113" s="53"/>
      <c r="E113" s="52"/>
      <c r="F113" s="54"/>
      <c r="G113" s="52" t="str">
        <f>IF(Edges[[#This Row],[Vertex 1]]=Edges[[#This Row],[Vertex 2]],"Skip","Show")</f>
        <v>Show</v>
      </c>
      <c r="H113" s="56"/>
      <c r="I113" s="55"/>
      <c r="J113" s="55"/>
      <c r="K113" s="35" t="s">
        <v>66</v>
      </c>
      <c r="L113" s="61">
        <v>113</v>
      </c>
      <c r="M113" s="61"/>
      <c r="N113" s="62"/>
    </row>
    <row r="114" spans="1:14" x14ac:dyDescent="0.3">
      <c r="A114" s="49" t="s">
        <v>223</v>
      </c>
      <c r="B114" s="49" t="s">
        <v>237</v>
      </c>
      <c r="C114" s="52"/>
      <c r="D114" s="53"/>
      <c r="E114" s="52"/>
      <c r="F114" s="54"/>
      <c r="G114" s="52" t="str">
        <f>IF(Edges[[#This Row],[Vertex 1]]=Edges[[#This Row],[Vertex 2]],"Skip","Show")</f>
        <v>Show</v>
      </c>
      <c r="H114" s="56"/>
      <c r="I114" s="55"/>
      <c r="J114" s="55"/>
      <c r="K114" s="35" t="s">
        <v>66</v>
      </c>
      <c r="L114" s="61">
        <v>114</v>
      </c>
      <c r="M114" s="61"/>
      <c r="N114" s="62"/>
    </row>
    <row r="115" spans="1:14" x14ac:dyDescent="0.3">
      <c r="A115" s="49" t="s">
        <v>237</v>
      </c>
      <c r="B115" s="49" t="s">
        <v>246</v>
      </c>
      <c r="C115" s="52"/>
      <c r="D115" s="53"/>
      <c r="E115" s="52"/>
      <c r="F115" s="54"/>
      <c r="G115" s="52" t="str">
        <f>IF(Edges[[#This Row],[Vertex 1]]=Edges[[#This Row],[Vertex 2]],"Skip","Show")</f>
        <v>Show</v>
      </c>
      <c r="H115" s="56"/>
      <c r="I115" s="55"/>
      <c r="J115" s="55"/>
      <c r="K115" s="35" t="s">
        <v>65</v>
      </c>
      <c r="L115" s="61">
        <v>115</v>
      </c>
      <c r="M115" s="61"/>
      <c r="N115" s="62"/>
    </row>
    <row r="116" spans="1:14" x14ac:dyDescent="0.3">
      <c r="A116" s="49" t="s">
        <v>247</v>
      </c>
      <c r="B116" s="49" t="s">
        <v>176</v>
      </c>
      <c r="C116" s="52"/>
      <c r="D116" s="53"/>
      <c r="E116" s="52"/>
      <c r="F116" s="54"/>
      <c r="G116" s="52" t="str">
        <f>IF(Edges[[#This Row],[Vertex 1]]=Edges[[#This Row],[Vertex 2]],"Skip","Show")</f>
        <v>Show</v>
      </c>
      <c r="H116" s="56"/>
      <c r="I116" s="55"/>
      <c r="J116" s="55"/>
      <c r="K116" s="35" t="s">
        <v>66</v>
      </c>
      <c r="L116" s="61">
        <v>116</v>
      </c>
      <c r="M116" s="61"/>
      <c r="N116" s="62"/>
    </row>
    <row r="117" spans="1:14" x14ac:dyDescent="0.3">
      <c r="A117" s="49" t="s">
        <v>176</v>
      </c>
      <c r="B117" s="49" t="s">
        <v>247</v>
      </c>
      <c r="C117" s="52"/>
      <c r="D117" s="53"/>
      <c r="E117" s="52"/>
      <c r="F117" s="54"/>
      <c r="G117" s="52" t="str">
        <f>IF(Edges[[#This Row],[Vertex 1]]=Edges[[#This Row],[Vertex 2]],"Skip","Show")</f>
        <v>Show</v>
      </c>
      <c r="H117" s="56"/>
      <c r="I117" s="55"/>
      <c r="J117" s="55"/>
      <c r="K117" s="35" t="s">
        <v>66</v>
      </c>
      <c r="L117" s="61">
        <v>117</v>
      </c>
      <c r="M117" s="61"/>
      <c r="N117" s="62"/>
    </row>
    <row r="118" spans="1:14" x14ac:dyDescent="0.3">
      <c r="A118" s="49" t="s">
        <v>247</v>
      </c>
      <c r="B118" s="49" t="s">
        <v>214</v>
      </c>
      <c r="C118" s="52"/>
      <c r="D118" s="53"/>
      <c r="E118" s="52"/>
      <c r="F118" s="54"/>
      <c r="G118" s="52" t="str">
        <f>IF(Edges[[#This Row],[Vertex 1]]=Edges[[#This Row],[Vertex 2]],"Skip","Show")</f>
        <v>Show</v>
      </c>
      <c r="H118" s="56"/>
      <c r="I118" s="55"/>
      <c r="J118" s="55"/>
      <c r="K118" s="35" t="s">
        <v>65</v>
      </c>
      <c r="L118" s="61">
        <v>118</v>
      </c>
      <c r="M118" s="61"/>
      <c r="N118" s="62"/>
    </row>
    <row r="119" spans="1:14" x14ac:dyDescent="0.3">
      <c r="A119" s="49" t="s">
        <v>214</v>
      </c>
      <c r="B119" s="49" t="s">
        <v>248</v>
      </c>
      <c r="C119" s="52"/>
      <c r="D119" s="53"/>
      <c r="E119" s="52"/>
      <c r="F119" s="54"/>
      <c r="G119" s="52" t="str">
        <f>IF(Edges[[#This Row],[Vertex 1]]=Edges[[#This Row],[Vertex 2]],"Skip","Show")</f>
        <v>Show</v>
      </c>
      <c r="H119" s="56"/>
      <c r="I119" s="55"/>
      <c r="J119" s="55"/>
      <c r="K119" s="35" t="s">
        <v>65</v>
      </c>
      <c r="L119" s="61">
        <v>119</v>
      </c>
      <c r="M119" s="61"/>
      <c r="N119" s="62"/>
    </row>
    <row r="120" spans="1:14" x14ac:dyDescent="0.3">
      <c r="A120" s="49" t="s">
        <v>248</v>
      </c>
      <c r="B120" s="49" t="s">
        <v>242</v>
      </c>
      <c r="C120" s="52"/>
      <c r="D120" s="53"/>
      <c r="E120" s="52"/>
      <c r="F120" s="54"/>
      <c r="G120" s="52" t="str">
        <f>IF(Edges[[#This Row],[Vertex 1]]=Edges[[#This Row],[Vertex 2]],"Skip","Show")</f>
        <v>Show</v>
      </c>
      <c r="H120" s="56"/>
      <c r="I120" s="55"/>
      <c r="J120" s="55"/>
      <c r="K120" s="35" t="s">
        <v>65</v>
      </c>
      <c r="L120" s="61">
        <v>120</v>
      </c>
      <c r="M120" s="61"/>
      <c r="N120" s="62"/>
    </row>
    <row r="121" spans="1:14" x14ac:dyDescent="0.3">
      <c r="A121" s="49" t="s">
        <v>242</v>
      </c>
      <c r="B121" s="49" t="s">
        <v>176</v>
      </c>
      <c r="C121" s="52"/>
      <c r="D121" s="53"/>
      <c r="E121" s="52"/>
      <c r="F121" s="54"/>
      <c r="G121" s="52" t="str">
        <f>IF(Edges[[#This Row],[Vertex 1]]=Edges[[#This Row],[Vertex 2]],"Skip","Show")</f>
        <v>Show</v>
      </c>
      <c r="H121" s="56"/>
      <c r="I121" s="55"/>
      <c r="J121" s="55"/>
      <c r="K121" s="35" t="s">
        <v>65</v>
      </c>
      <c r="L121" s="61">
        <v>121</v>
      </c>
      <c r="M121" s="61"/>
      <c r="N121" s="62"/>
    </row>
    <row r="122" spans="1:14" x14ac:dyDescent="0.3">
      <c r="A122" s="49" t="s">
        <v>176</v>
      </c>
      <c r="B122" s="49" t="s">
        <v>249</v>
      </c>
      <c r="C122" s="52"/>
      <c r="D122" s="53"/>
      <c r="E122" s="52"/>
      <c r="F122" s="54"/>
      <c r="G122" s="52" t="str">
        <f>IF(Edges[[#This Row],[Vertex 1]]=Edges[[#This Row],[Vertex 2]],"Skip","Show")</f>
        <v>Show</v>
      </c>
      <c r="H122" s="56"/>
      <c r="I122" s="55"/>
      <c r="J122" s="55"/>
      <c r="K122" s="35" t="s">
        <v>65</v>
      </c>
      <c r="L122" s="61">
        <v>122</v>
      </c>
      <c r="M122" s="61"/>
      <c r="N122" s="62"/>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2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22"/>
    <dataValidation allowBlank="1" showErrorMessage="1" sqref="N2:N1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22"/>
    <dataValidation allowBlank="1" showInputMessage="1" promptTitle="Edge Color" prompt="To select an optional edge color, right-click and select Select Color on the right-click menu." sqref="C3:C122"/>
    <dataValidation allowBlank="1" showInputMessage="1" errorTitle="Invalid Edge Width" error="The optional edge width must be a whole number between 1 and 10." promptTitle="Edge Width" prompt="Enter an optional edge width between 1 and 10." sqref="D3:D122"/>
    <dataValidation allowBlank="1" showInputMessage="1" errorTitle="Invalid Edge Opacity" error="The optional edge opacity must be a whole number between 0 and 10." promptTitle="Edge Opacity" prompt="Enter an optional edge opacity between 0 (transparent) and 100 (opaque)." sqref="F3:F12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22">
      <formula1>ValidEdgeVisibilities</formula1>
    </dataValidation>
    <dataValidation allowBlank="1" showInputMessage="1" showErrorMessage="1" promptTitle="Vertex 1 Name" prompt="Enter the name of the edge's first vertex." sqref="A3:A122"/>
    <dataValidation allowBlank="1" showInputMessage="1" showErrorMessage="1" promptTitle="Vertex 2 Name" prompt="Enter the name of the edge's second vertex." sqref="B3:B122"/>
    <dataValidation allowBlank="1" showInputMessage="1" showErrorMessage="1" errorTitle="Invalid Edge Visibility" error="You have entered an unrecognized edge visibility.  Try selecting from the drop-down list instead." promptTitle="Edge Label" prompt="Enter an optional edge label." sqref="H3:H12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2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22"/>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8"/>
  <sheetViews>
    <sheetView tabSelected="1" workbookViewId="0">
      <pane xSplit="1" ySplit="2" topLeftCell="K3" activePane="bottomRight" state="frozen"/>
      <selection pane="topRight" activeCell="B1" sqref="B1"/>
      <selection pane="bottomLeft" activeCell="A3" sqref="A3"/>
      <selection pane="bottomRight" activeCell="A2" sqref="A2:AC2"/>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4" t="s">
        <v>39</v>
      </c>
      <c r="C1" s="18"/>
      <c r="D1" s="18"/>
      <c r="E1" s="18"/>
      <c r="F1" s="18"/>
      <c r="G1" s="18"/>
      <c r="H1" s="26" t="s">
        <v>43</v>
      </c>
      <c r="I1" s="25"/>
      <c r="J1" s="25"/>
      <c r="K1" s="25"/>
      <c r="L1" s="28" t="s">
        <v>44</v>
      </c>
      <c r="M1" s="27"/>
      <c r="N1" s="27"/>
      <c r="O1" s="27"/>
      <c r="P1" s="27"/>
      <c r="Q1" s="27"/>
      <c r="R1" s="23" t="s">
        <v>42</v>
      </c>
      <c r="S1" s="21"/>
      <c r="T1" s="22"/>
      <c r="U1" s="108"/>
      <c r="V1" s="21"/>
      <c r="W1" s="21"/>
      <c r="X1" s="21"/>
      <c r="Y1" s="21"/>
      <c r="Z1" s="21"/>
      <c r="AA1" s="29" t="s">
        <v>40</v>
      </c>
      <c r="AB1" s="20"/>
      <c r="AC1" s="30" t="s">
        <v>41</v>
      </c>
      <c r="AD1"/>
      <c r="AE1"/>
      <c r="AF1"/>
      <c r="AG1"/>
      <c r="AH1"/>
    </row>
    <row r="2" spans="1:34"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
      <c r="A3" s="14" t="s">
        <v>205</v>
      </c>
      <c r="B3" s="15"/>
      <c r="C3" s="15"/>
      <c r="D3" s="79"/>
      <c r="E3" s="77"/>
      <c r="F3" s="15"/>
      <c r="G3" s="15"/>
      <c r="H3" s="16"/>
      <c r="I3" s="66"/>
      <c r="J3" s="66"/>
      <c r="K3" s="16"/>
      <c r="L3" s="80"/>
      <c r="M3" s="81">
        <v>6208.734375</v>
      </c>
      <c r="N3" s="81">
        <v>6349.06005859375</v>
      </c>
      <c r="O3" s="76"/>
      <c r="P3" s="82"/>
      <c r="Q3" s="82"/>
      <c r="R3" s="50">
        <v>12</v>
      </c>
      <c r="S3" s="50">
        <v>7</v>
      </c>
      <c r="T3" s="50">
        <v>7</v>
      </c>
      <c r="U3" s="51">
        <v>864.9</v>
      </c>
      <c r="V3" s="51">
        <v>6.0610000000000004E-3</v>
      </c>
      <c r="W3" s="51">
        <v>7.8371999999999997E-2</v>
      </c>
      <c r="X3" s="51">
        <v>3.1951800000000001</v>
      </c>
      <c r="Y3" s="51">
        <v>7.575757575757576E-2</v>
      </c>
      <c r="Z3" s="51">
        <v>0.16666666666666666</v>
      </c>
      <c r="AA3" s="78">
        <v>3</v>
      </c>
      <c r="AB3" s="78"/>
      <c r="AC3" s="83"/>
      <c r="AD3" s="3"/>
      <c r="AF3"/>
      <c r="AG3"/>
      <c r="AH3"/>
    </row>
    <row r="4" spans="1:34" x14ac:dyDescent="0.3">
      <c r="A4" s="14" t="s">
        <v>206</v>
      </c>
      <c r="B4" s="15"/>
      <c r="C4" s="15"/>
      <c r="D4" s="79"/>
      <c r="E4" s="77"/>
      <c r="F4" s="15"/>
      <c r="G4" s="15"/>
      <c r="H4" s="16"/>
      <c r="I4" s="66"/>
      <c r="J4" s="66"/>
      <c r="K4" s="16"/>
      <c r="L4" s="80"/>
      <c r="M4" s="81">
        <v>5645.1171875</v>
      </c>
      <c r="N4" s="81">
        <v>4734.3857421875</v>
      </c>
      <c r="O4" s="76"/>
      <c r="P4" s="82"/>
      <c r="Q4" s="82"/>
      <c r="R4" s="50">
        <v>10</v>
      </c>
      <c r="S4" s="50">
        <v>5</v>
      </c>
      <c r="T4" s="50">
        <v>6</v>
      </c>
      <c r="U4" s="51">
        <v>1179.02619</v>
      </c>
      <c r="V4" s="51">
        <v>6.4939999999999998E-3</v>
      </c>
      <c r="W4" s="51">
        <v>5.2139999999999999E-2</v>
      </c>
      <c r="X4" s="51">
        <v>2.7953269999999999</v>
      </c>
      <c r="Y4" s="51">
        <v>3.3333333333333333E-2</v>
      </c>
      <c r="Z4" s="51">
        <v>0.1</v>
      </c>
      <c r="AA4" s="78">
        <v>6</v>
      </c>
      <c r="AB4" s="78"/>
      <c r="AC4" s="83"/>
    </row>
    <row r="5" spans="1:34" x14ac:dyDescent="0.3">
      <c r="A5" s="14" t="s">
        <v>195</v>
      </c>
      <c r="B5" s="15"/>
      <c r="C5" s="15"/>
      <c r="D5" s="79"/>
      <c r="E5" s="77"/>
      <c r="F5" s="15"/>
      <c r="G5" s="15"/>
      <c r="H5" s="16"/>
      <c r="I5" s="66"/>
      <c r="J5" s="66"/>
      <c r="K5" s="16"/>
      <c r="L5" s="80"/>
      <c r="M5" s="81">
        <v>6917.5517578125</v>
      </c>
      <c r="N5" s="81">
        <v>5255.5419921875</v>
      </c>
      <c r="O5" s="76"/>
      <c r="P5" s="82"/>
      <c r="Q5" s="82"/>
      <c r="R5" s="50">
        <v>9</v>
      </c>
      <c r="S5" s="50">
        <v>5</v>
      </c>
      <c r="T5" s="50">
        <v>4</v>
      </c>
      <c r="U5" s="51">
        <v>696.69523800000002</v>
      </c>
      <c r="V5" s="51">
        <v>5.9170000000000004E-3</v>
      </c>
      <c r="W5" s="51">
        <v>4.8503999999999999E-2</v>
      </c>
      <c r="X5" s="51">
        <v>1.9942599999999999</v>
      </c>
      <c r="Y5" s="51">
        <v>7.1428571428571425E-2</v>
      </c>
      <c r="Z5" s="51">
        <v>0.2857142857142857</v>
      </c>
      <c r="AA5" s="78">
        <v>4</v>
      </c>
      <c r="AB5" s="78"/>
      <c r="AC5" s="83"/>
    </row>
    <row r="6" spans="1:34" x14ac:dyDescent="0.3">
      <c r="A6" s="14" t="s">
        <v>237</v>
      </c>
      <c r="B6" s="15"/>
      <c r="C6" s="15"/>
      <c r="D6" s="79"/>
      <c r="E6" s="77"/>
      <c r="F6" s="15"/>
      <c r="G6" s="15"/>
      <c r="H6" s="16"/>
      <c r="I6" s="66"/>
      <c r="J6" s="66"/>
      <c r="K6" s="16"/>
      <c r="L6" s="80"/>
      <c r="M6" s="81">
        <v>6370.75341796875</v>
      </c>
      <c r="N6" s="81">
        <v>6063.0322265625</v>
      </c>
      <c r="O6" s="76"/>
      <c r="P6" s="82"/>
      <c r="Q6" s="82"/>
      <c r="R6" s="50">
        <v>8</v>
      </c>
      <c r="S6" s="50">
        <v>4</v>
      </c>
      <c r="T6" s="50">
        <v>4</v>
      </c>
      <c r="U6" s="51">
        <v>228.72857099999999</v>
      </c>
      <c r="V6" s="51">
        <v>5.3480000000000003E-3</v>
      </c>
      <c r="W6" s="51">
        <v>4.3769000000000002E-2</v>
      </c>
      <c r="X6" s="51">
        <v>1.676661</v>
      </c>
      <c r="Y6" s="51">
        <v>0.1</v>
      </c>
      <c r="Z6" s="51">
        <v>0.33333333333333331</v>
      </c>
      <c r="AA6" s="78">
        <v>5</v>
      </c>
      <c r="AB6" s="78"/>
      <c r="AC6" s="83"/>
    </row>
    <row r="7" spans="1:34" x14ac:dyDescent="0.3">
      <c r="A7" s="14" t="s">
        <v>223</v>
      </c>
      <c r="B7" s="15"/>
      <c r="C7" s="15"/>
      <c r="D7" s="79"/>
      <c r="E7" s="77"/>
      <c r="F7" s="15"/>
      <c r="G7" s="15"/>
      <c r="H7" s="16"/>
      <c r="I7" s="66"/>
      <c r="J7" s="66"/>
      <c r="K7" s="16"/>
      <c r="L7" s="80"/>
      <c r="M7" s="81">
        <v>6676.291015625</v>
      </c>
      <c r="N7" s="81">
        <v>6380.14013671875</v>
      </c>
      <c r="O7" s="76"/>
      <c r="P7" s="82"/>
      <c r="Q7" s="82"/>
      <c r="R7" s="50">
        <v>5</v>
      </c>
      <c r="S7" s="50">
        <v>2</v>
      </c>
      <c r="T7" s="50">
        <v>4</v>
      </c>
      <c r="U7" s="51">
        <v>294.566667</v>
      </c>
      <c r="V7" s="51">
        <v>5.4949999999999999E-3</v>
      </c>
      <c r="W7" s="51">
        <v>4.3410999999999998E-2</v>
      </c>
      <c r="X7" s="51">
        <v>1.4020790000000001</v>
      </c>
      <c r="Y7" s="51">
        <v>0.2</v>
      </c>
      <c r="Z7" s="51">
        <v>0.2</v>
      </c>
      <c r="AA7" s="78">
        <v>7</v>
      </c>
      <c r="AB7" s="78"/>
      <c r="AC7" s="83"/>
    </row>
    <row r="8" spans="1:34" x14ac:dyDescent="0.3">
      <c r="A8" s="14" t="s">
        <v>202</v>
      </c>
      <c r="B8" s="15"/>
      <c r="C8" s="15"/>
      <c r="D8" s="79"/>
      <c r="E8" s="77"/>
      <c r="F8" s="15"/>
      <c r="G8" s="15"/>
      <c r="H8" s="16"/>
      <c r="I8" s="66"/>
      <c r="J8" s="66"/>
      <c r="K8" s="16"/>
      <c r="L8" s="80"/>
      <c r="M8" s="81">
        <v>4832.75439453125</v>
      </c>
      <c r="N8" s="81">
        <v>6617.666015625</v>
      </c>
      <c r="O8" s="76"/>
      <c r="P8" s="82"/>
      <c r="Q8" s="82"/>
      <c r="R8" s="50">
        <v>8</v>
      </c>
      <c r="S8" s="50">
        <v>5</v>
      </c>
      <c r="T8" s="50">
        <v>3</v>
      </c>
      <c r="U8" s="51">
        <v>863.65714300000002</v>
      </c>
      <c r="V8" s="51">
        <v>5.7800000000000004E-3</v>
      </c>
      <c r="W8" s="51">
        <v>4.1620999999999998E-2</v>
      </c>
      <c r="X8" s="51">
        <v>2.3946239999999999</v>
      </c>
      <c r="Y8" s="51">
        <v>1.7857142857142856E-2</v>
      </c>
      <c r="Z8" s="51">
        <v>0</v>
      </c>
      <c r="AA8" s="78">
        <v>8</v>
      </c>
      <c r="AB8" s="78"/>
      <c r="AC8" s="83"/>
    </row>
    <row r="9" spans="1:34" x14ac:dyDescent="0.3">
      <c r="A9" s="14" t="s">
        <v>214</v>
      </c>
      <c r="B9" s="15"/>
      <c r="C9" s="15"/>
      <c r="D9" s="79"/>
      <c r="E9" s="77"/>
      <c r="F9" s="15"/>
      <c r="G9" s="15"/>
      <c r="H9" s="16"/>
      <c r="I9" s="66"/>
      <c r="J9" s="66"/>
      <c r="K9" s="16"/>
      <c r="L9" s="80"/>
      <c r="M9" s="81">
        <v>4868.83837890625</v>
      </c>
      <c r="N9" s="81">
        <v>5286.318359375</v>
      </c>
      <c r="O9" s="76"/>
      <c r="P9" s="82"/>
      <c r="Q9" s="82"/>
      <c r="R9" s="50">
        <v>7</v>
      </c>
      <c r="S9" s="50">
        <v>3</v>
      </c>
      <c r="T9" s="50">
        <v>4</v>
      </c>
      <c r="U9" s="51">
        <v>559.20952399999999</v>
      </c>
      <c r="V9" s="51">
        <v>6.0610000000000004E-3</v>
      </c>
      <c r="W9" s="51">
        <v>3.9161000000000001E-2</v>
      </c>
      <c r="X9" s="51">
        <v>1.9382520000000001</v>
      </c>
      <c r="Y9" s="51">
        <v>2.3809523809523808E-2</v>
      </c>
      <c r="Z9" s="51">
        <v>0</v>
      </c>
      <c r="AA9" s="78">
        <v>10</v>
      </c>
      <c r="AB9" s="78"/>
      <c r="AC9" s="83"/>
    </row>
    <row r="10" spans="1:34" x14ac:dyDescent="0.3">
      <c r="A10" s="14" t="s">
        <v>204</v>
      </c>
      <c r="B10" s="15"/>
      <c r="C10" s="15"/>
      <c r="D10" s="79"/>
      <c r="E10" s="77"/>
      <c r="F10" s="15"/>
      <c r="G10" s="15"/>
      <c r="H10" s="16"/>
      <c r="I10" s="66"/>
      <c r="J10" s="66"/>
      <c r="K10" s="16"/>
      <c r="L10" s="80"/>
      <c r="M10" s="81">
        <v>5766.4189453125</v>
      </c>
      <c r="N10" s="81">
        <v>6490.310546875</v>
      </c>
      <c r="O10" s="76"/>
      <c r="P10" s="82"/>
      <c r="Q10" s="82"/>
      <c r="R10" s="50">
        <v>6</v>
      </c>
      <c r="S10" s="50">
        <v>3</v>
      </c>
      <c r="T10" s="50">
        <v>3</v>
      </c>
      <c r="U10" s="51">
        <v>178.933333</v>
      </c>
      <c r="V10" s="51">
        <v>5.0509999999999999E-3</v>
      </c>
      <c r="W10" s="51">
        <v>3.7585E-2</v>
      </c>
      <c r="X10" s="51">
        <v>1.628047</v>
      </c>
      <c r="Y10" s="51">
        <v>0.1</v>
      </c>
      <c r="Z10" s="51">
        <v>0</v>
      </c>
      <c r="AA10" s="78">
        <v>11</v>
      </c>
      <c r="AB10" s="78"/>
      <c r="AC10" s="83"/>
    </row>
    <row r="11" spans="1:34" x14ac:dyDescent="0.3">
      <c r="A11" s="14" t="s">
        <v>216</v>
      </c>
      <c r="B11" s="15"/>
      <c r="C11" s="15"/>
      <c r="D11" s="79"/>
      <c r="E11" s="77"/>
      <c r="F11" s="15"/>
      <c r="G11" s="15"/>
      <c r="H11" s="16"/>
      <c r="I11" s="66"/>
      <c r="J11" s="66"/>
      <c r="K11" s="16"/>
      <c r="L11" s="80"/>
      <c r="M11" s="81">
        <v>6428.408203125</v>
      </c>
      <c r="N11" s="81">
        <v>5456.68701171875</v>
      </c>
      <c r="O11" s="76"/>
      <c r="P11" s="82"/>
      <c r="Q11" s="82"/>
      <c r="R11" s="50">
        <v>4</v>
      </c>
      <c r="S11" s="50">
        <v>2</v>
      </c>
      <c r="T11" s="50">
        <v>2</v>
      </c>
      <c r="U11" s="51">
        <v>95.511904999999999</v>
      </c>
      <c r="V11" s="51">
        <v>5.587E-3</v>
      </c>
      <c r="W11" s="51">
        <v>3.7581000000000003E-2</v>
      </c>
      <c r="X11" s="51">
        <v>1.1300239999999999</v>
      </c>
      <c r="Y11" s="51">
        <v>0.33333333333333331</v>
      </c>
      <c r="Z11" s="51">
        <v>0</v>
      </c>
      <c r="AA11" s="78">
        <v>9</v>
      </c>
      <c r="AB11" s="78"/>
      <c r="AC11" s="83"/>
    </row>
    <row r="12" spans="1:34" x14ac:dyDescent="0.3">
      <c r="A12" s="14" t="s">
        <v>184</v>
      </c>
      <c r="B12" s="15"/>
      <c r="C12" s="15"/>
      <c r="D12" s="79"/>
      <c r="E12" s="77"/>
      <c r="F12" s="15"/>
      <c r="G12" s="15"/>
      <c r="H12" s="16"/>
      <c r="I12" s="66"/>
      <c r="J12" s="66"/>
      <c r="K12" s="16"/>
      <c r="L12" s="80"/>
      <c r="M12" s="81">
        <v>4356.09228515625</v>
      </c>
      <c r="N12" s="81">
        <v>5542.076171875</v>
      </c>
      <c r="O12" s="76"/>
      <c r="P12" s="82"/>
      <c r="Q12" s="82"/>
      <c r="R12" s="50">
        <v>9</v>
      </c>
      <c r="S12" s="50">
        <v>4</v>
      </c>
      <c r="T12" s="50">
        <v>5</v>
      </c>
      <c r="U12" s="51">
        <v>1129.7714289999999</v>
      </c>
      <c r="V12" s="51">
        <v>6.1729999999999997E-3</v>
      </c>
      <c r="W12" s="51">
        <v>3.4771999999999997E-2</v>
      </c>
      <c r="X12" s="51">
        <v>2.742356</v>
      </c>
      <c r="Y12" s="51">
        <v>1.3888888888888888E-2</v>
      </c>
      <c r="Z12" s="51">
        <v>0</v>
      </c>
      <c r="AA12" s="78">
        <v>13</v>
      </c>
      <c r="AB12" s="78"/>
      <c r="AC12" s="83"/>
    </row>
    <row r="13" spans="1:34" x14ac:dyDescent="0.3">
      <c r="A13" s="14" t="s">
        <v>235</v>
      </c>
      <c r="B13" s="15"/>
      <c r="C13" s="15"/>
      <c r="D13" s="79"/>
      <c r="E13" s="77"/>
      <c r="F13" s="15"/>
      <c r="G13" s="15"/>
      <c r="H13" s="16"/>
      <c r="I13" s="66"/>
      <c r="J13" s="66"/>
      <c r="K13" s="16"/>
      <c r="L13" s="80"/>
      <c r="M13" s="81">
        <v>6593.923828125</v>
      </c>
      <c r="N13" s="81">
        <v>6892.90380859375</v>
      </c>
      <c r="O13" s="76"/>
      <c r="P13" s="82"/>
      <c r="Q13" s="82"/>
      <c r="R13" s="50">
        <v>4</v>
      </c>
      <c r="S13" s="50">
        <v>2</v>
      </c>
      <c r="T13" s="50">
        <v>3</v>
      </c>
      <c r="U13" s="51">
        <v>41.666666999999997</v>
      </c>
      <c r="V13" s="51">
        <v>4.6509999999999998E-3</v>
      </c>
      <c r="W13" s="51">
        <v>3.3301999999999998E-2</v>
      </c>
      <c r="X13" s="51">
        <v>1.112193</v>
      </c>
      <c r="Y13" s="51">
        <v>0.16666666666666666</v>
      </c>
      <c r="Z13" s="51">
        <v>0.25</v>
      </c>
      <c r="AA13" s="78">
        <v>12</v>
      </c>
      <c r="AB13" s="78"/>
      <c r="AC13" s="83"/>
    </row>
    <row r="14" spans="1:34" x14ac:dyDescent="0.3">
      <c r="A14" s="14" t="s">
        <v>236</v>
      </c>
      <c r="B14" s="15"/>
      <c r="C14" s="15"/>
      <c r="D14" s="79"/>
      <c r="E14" s="77"/>
      <c r="F14" s="15"/>
      <c r="G14" s="15"/>
      <c r="H14" s="16"/>
      <c r="I14" s="66"/>
      <c r="J14" s="66"/>
      <c r="K14" s="16"/>
      <c r="L14" s="80"/>
      <c r="M14" s="81">
        <v>5347.94921875</v>
      </c>
      <c r="N14" s="81">
        <v>6227.56640625</v>
      </c>
      <c r="O14" s="76"/>
      <c r="P14" s="82"/>
      <c r="Q14" s="82"/>
      <c r="R14" s="50">
        <v>4</v>
      </c>
      <c r="S14" s="50">
        <v>2</v>
      </c>
      <c r="T14" s="50">
        <v>2</v>
      </c>
      <c r="U14" s="51">
        <v>92.1</v>
      </c>
      <c r="V14" s="51">
        <v>5.2630000000000003E-3</v>
      </c>
      <c r="W14" s="51">
        <v>3.2624E-2</v>
      </c>
      <c r="X14" s="51">
        <v>1.10378</v>
      </c>
      <c r="Y14" s="51">
        <v>0.16666666666666666</v>
      </c>
      <c r="Z14" s="51">
        <v>0</v>
      </c>
      <c r="AA14" s="78">
        <v>14</v>
      </c>
      <c r="AB14" s="78"/>
      <c r="AC14" s="83"/>
    </row>
    <row r="15" spans="1:34" x14ac:dyDescent="0.3">
      <c r="A15" s="14" t="s">
        <v>213</v>
      </c>
      <c r="B15" s="15"/>
      <c r="C15" s="15"/>
      <c r="D15" s="79"/>
      <c r="E15" s="77"/>
      <c r="F15" s="15"/>
      <c r="G15" s="15"/>
      <c r="H15" s="16"/>
      <c r="I15" s="66"/>
      <c r="J15" s="66"/>
      <c r="K15" s="16"/>
      <c r="L15" s="80"/>
      <c r="M15" s="81">
        <v>5834.95751953125</v>
      </c>
      <c r="N15" s="81">
        <v>5340.685546875</v>
      </c>
      <c r="O15" s="76"/>
      <c r="P15" s="82"/>
      <c r="Q15" s="82"/>
      <c r="R15" s="50">
        <v>4</v>
      </c>
      <c r="S15" s="50">
        <v>2</v>
      </c>
      <c r="T15" s="50">
        <v>2</v>
      </c>
      <c r="U15" s="51">
        <v>222.62619000000001</v>
      </c>
      <c r="V15" s="51">
        <v>5.6179999999999997E-3</v>
      </c>
      <c r="W15" s="51">
        <v>3.1212E-2</v>
      </c>
      <c r="X15" s="51">
        <v>1.146102</v>
      </c>
      <c r="Y15" s="51">
        <v>0</v>
      </c>
      <c r="Z15" s="51">
        <v>0</v>
      </c>
      <c r="AA15" s="78">
        <v>15</v>
      </c>
      <c r="AB15" s="78"/>
      <c r="AC15" s="83"/>
    </row>
    <row r="16" spans="1:34" x14ac:dyDescent="0.3">
      <c r="A16" s="14" t="s">
        <v>238</v>
      </c>
      <c r="B16" s="15"/>
      <c r="C16" s="15"/>
      <c r="D16" s="79"/>
      <c r="E16" s="77"/>
      <c r="F16" s="15"/>
      <c r="G16" s="15"/>
      <c r="H16" s="16"/>
      <c r="I16" s="66"/>
      <c r="J16" s="66"/>
      <c r="K16" s="16"/>
      <c r="L16" s="80"/>
      <c r="M16" s="81">
        <v>7144.04052734375</v>
      </c>
      <c r="N16" s="81">
        <v>6888.970703125</v>
      </c>
      <c r="O16" s="76"/>
      <c r="P16" s="82"/>
      <c r="Q16" s="82"/>
      <c r="R16" s="50">
        <v>2</v>
      </c>
      <c r="S16" s="50">
        <v>1</v>
      </c>
      <c r="T16" s="50">
        <v>1</v>
      </c>
      <c r="U16" s="51">
        <v>0</v>
      </c>
      <c r="V16" s="51">
        <v>4.4840000000000001E-3</v>
      </c>
      <c r="W16" s="51">
        <v>2.3621E-2</v>
      </c>
      <c r="X16" s="51">
        <v>0.61385199999999995</v>
      </c>
      <c r="Y16" s="51">
        <v>0.5</v>
      </c>
      <c r="Z16" s="51">
        <v>0</v>
      </c>
      <c r="AA16" s="78">
        <v>16</v>
      </c>
      <c r="AB16" s="78"/>
      <c r="AC16" s="83"/>
    </row>
    <row r="17" spans="1:29" x14ac:dyDescent="0.3">
      <c r="A17" s="14" t="s">
        <v>242</v>
      </c>
      <c r="B17" s="15"/>
      <c r="C17" s="15"/>
      <c r="D17" s="79"/>
      <c r="E17" s="77"/>
      <c r="F17" s="15"/>
      <c r="G17" s="15"/>
      <c r="H17" s="16"/>
      <c r="I17" s="66"/>
      <c r="J17" s="66"/>
      <c r="K17" s="16"/>
      <c r="L17" s="80"/>
      <c r="M17" s="81">
        <v>5068.95703125</v>
      </c>
      <c r="N17" s="81">
        <v>4768.0166015625</v>
      </c>
      <c r="O17" s="76"/>
      <c r="P17" s="82"/>
      <c r="Q17" s="82"/>
      <c r="R17" s="50">
        <v>4</v>
      </c>
      <c r="S17" s="50">
        <v>2</v>
      </c>
      <c r="T17" s="50">
        <v>2</v>
      </c>
      <c r="U17" s="51">
        <v>227.052381</v>
      </c>
      <c r="V17" s="51">
        <v>5.208E-3</v>
      </c>
      <c r="W17" s="51">
        <v>2.1159000000000001E-2</v>
      </c>
      <c r="X17" s="51">
        <v>1.173969</v>
      </c>
      <c r="Y17" s="51">
        <v>0</v>
      </c>
      <c r="Z17" s="51">
        <v>0</v>
      </c>
      <c r="AA17" s="78">
        <v>17</v>
      </c>
      <c r="AB17" s="78"/>
      <c r="AC17" s="83"/>
    </row>
    <row r="18" spans="1:29" x14ac:dyDescent="0.3">
      <c r="A18" s="14" t="s">
        <v>177</v>
      </c>
      <c r="B18" s="15"/>
      <c r="C18" s="15"/>
      <c r="D18" s="79"/>
      <c r="E18" s="77"/>
      <c r="F18" s="15"/>
      <c r="G18" s="15"/>
      <c r="H18" s="16"/>
      <c r="I18" s="66"/>
      <c r="J18" s="66"/>
      <c r="K18" s="16"/>
      <c r="L18" s="80"/>
      <c r="M18" s="81">
        <v>5573.412109375</v>
      </c>
      <c r="N18" s="81">
        <v>3418.2080078125</v>
      </c>
      <c r="O18" s="76"/>
      <c r="P18" s="82"/>
      <c r="Q18" s="82"/>
      <c r="R18" s="50">
        <v>7</v>
      </c>
      <c r="S18" s="50">
        <v>5</v>
      </c>
      <c r="T18" s="50">
        <v>3</v>
      </c>
      <c r="U18" s="51">
        <v>731.56190500000002</v>
      </c>
      <c r="V18" s="51">
        <v>5.3480000000000003E-3</v>
      </c>
      <c r="W18" s="51">
        <v>1.9713999999999999E-2</v>
      </c>
      <c r="X18" s="51">
        <v>2.1285769999999999</v>
      </c>
      <c r="Y18" s="51">
        <v>4.7619047619047616E-2</v>
      </c>
      <c r="Z18" s="51">
        <v>0.14285714285714285</v>
      </c>
      <c r="AA18" s="78">
        <v>19</v>
      </c>
      <c r="AB18" s="78"/>
      <c r="AC18" s="83"/>
    </row>
    <row r="19" spans="1:29" x14ac:dyDescent="0.3">
      <c r="A19" s="14" t="s">
        <v>179</v>
      </c>
      <c r="B19" s="15"/>
      <c r="C19" s="15"/>
      <c r="D19" s="79"/>
      <c r="E19" s="77"/>
      <c r="F19" s="15"/>
      <c r="G19" s="15"/>
      <c r="H19" s="16"/>
      <c r="I19" s="66"/>
      <c r="J19" s="66"/>
      <c r="K19" s="16"/>
      <c r="L19" s="80"/>
      <c r="M19" s="81">
        <v>4308.26220703125</v>
      </c>
      <c r="N19" s="81">
        <v>4760.5712890625</v>
      </c>
      <c r="O19" s="76"/>
      <c r="P19" s="82"/>
      <c r="Q19" s="82"/>
      <c r="R19" s="50">
        <v>5</v>
      </c>
      <c r="S19" s="50">
        <v>4</v>
      </c>
      <c r="T19" s="50">
        <v>2</v>
      </c>
      <c r="U19" s="51">
        <v>336.40952399999998</v>
      </c>
      <c r="V19" s="51">
        <v>5.208E-3</v>
      </c>
      <c r="W19" s="51">
        <v>1.8408000000000001E-2</v>
      </c>
      <c r="X19" s="51">
        <v>1.555725</v>
      </c>
      <c r="Y19" s="51">
        <v>0</v>
      </c>
      <c r="Z19" s="51">
        <v>0.2</v>
      </c>
      <c r="AA19" s="78">
        <v>20</v>
      </c>
      <c r="AB19" s="78"/>
      <c r="AC19" s="83"/>
    </row>
    <row r="20" spans="1:29" x14ac:dyDescent="0.3">
      <c r="A20" s="14" t="s">
        <v>186</v>
      </c>
      <c r="B20" s="15"/>
      <c r="C20" s="15"/>
      <c r="D20" s="79"/>
      <c r="E20" s="77"/>
      <c r="F20" s="15"/>
      <c r="G20" s="15"/>
      <c r="H20" s="16"/>
      <c r="I20" s="66"/>
      <c r="J20" s="66"/>
      <c r="K20" s="16"/>
      <c r="L20" s="80"/>
      <c r="M20" s="81">
        <v>7252.55615234375</v>
      </c>
      <c r="N20" s="81">
        <v>4201.75732421875</v>
      </c>
      <c r="O20" s="76"/>
      <c r="P20" s="82"/>
      <c r="Q20" s="82"/>
      <c r="R20" s="50">
        <v>6</v>
      </c>
      <c r="S20" s="50">
        <v>4</v>
      </c>
      <c r="T20" s="50">
        <v>3</v>
      </c>
      <c r="U20" s="51">
        <v>359.34047600000002</v>
      </c>
      <c r="V20" s="51">
        <v>5.0000000000000001E-3</v>
      </c>
      <c r="W20" s="51">
        <v>1.7822000000000001E-2</v>
      </c>
      <c r="X20" s="51">
        <v>1.873939</v>
      </c>
      <c r="Y20" s="51">
        <v>0</v>
      </c>
      <c r="Z20" s="51">
        <v>0.16666666666666666</v>
      </c>
      <c r="AA20" s="78">
        <v>18</v>
      </c>
      <c r="AB20" s="78"/>
      <c r="AC20" s="83"/>
    </row>
    <row r="21" spans="1:29" x14ac:dyDescent="0.3">
      <c r="A21" s="14" t="s">
        <v>207</v>
      </c>
      <c r="B21" s="15"/>
      <c r="C21" s="15"/>
      <c r="D21" s="79"/>
      <c r="E21" s="77"/>
      <c r="F21" s="15"/>
      <c r="G21" s="15"/>
      <c r="H21" s="16"/>
      <c r="I21" s="66"/>
      <c r="J21" s="66"/>
      <c r="K21" s="16"/>
      <c r="L21" s="80"/>
      <c r="M21" s="81">
        <v>6230.48974609375</v>
      </c>
      <c r="N21" s="81">
        <v>3732.088134765625</v>
      </c>
      <c r="O21" s="76"/>
      <c r="P21" s="82"/>
      <c r="Q21" s="82"/>
      <c r="R21" s="50">
        <v>3</v>
      </c>
      <c r="S21" s="50">
        <v>2</v>
      </c>
      <c r="T21" s="50">
        <v>2</v>
      </c>
      <c r="U21" s="51">
        <v>40.638095</v>
      </c>
      <c r="V21" s="51">
        <v>5.025E-3</v>
      </c>
      <c r="W21" s="51">
        <v>1.7342E-2</v>
      </c>
      <c r="X21" s="51">
        <v>0.911547</v>
      </c>
      <c r="Y21" s="51">
        <v>0.16666666666666666</v>
      </c>
      <c r="Z21" s="51">
        <v>0.33333333333333331</v>
      </c>
      <c r="AA21" s="78">
        <v>21</v>
      </c>
      <c r="AB21" s="78"/>
      <c r="AC21" s="83"/>
    </row>
    <row r="22" spans="1:29" x14ac:dyDescent="0.3">
      <c r="A22" s="14" t="s">
        <v>224</v>
      </c>
      <c r="B22" s="15"/>
      <c r="C22" s="15"/>
      <c r="D22" s="79"/>
      <c r="E22" s="77"/>
      <c r="F22" s="15"/>
      <c r="G22" s="15"/>
      <c r="H22" s="16"/>
      <c r="I22" s="66"/>
      <c r="J22" s="66"/>
      <c r="K22" s="16"/>
      <c r="L22" s="80"/>
      <c r="M22" s="81">
        <v>7096.00830078125</v>
      </c>
      <c r="N22" s="81">
        <v>7495.4970703125</v>
      </c>
      <c r="O22" s="76"/>
      <c r="P22" s="82"/>
      <c r="Q22" s="82"/>
      <c r="R22" s="50">
        <v>3</v>
      </c>
      <c r="S22" s="50">
        <v>2</v>
      </c>
      <c r="T22" s="50">
        <v>2</v>
      </c>
      <c r="U22" s="51">
        <v>202.3</v>
      </c>
      <c r="V22" s="51">
        <v>4.5050000000000003E-3</v>
      </c>
      <c r="W22" s="51">
        <v>1.6875000000000001E-2</v>
      </c>
      <c r="X22" s="51">
        <v>1.0826150000000001</v>
      </c>
      <c r="Y22" s="51">
        <v>0</v>
      </c>
      <c r="Z22" s="51">
        <v>0.33333333333333331</v>
      </c>
      <c r="AA22" s="78">
        <v>22</v>
      </c>
      <c r="AB22" s="78"/>
      <c r="AC22" s="83"/>
    </row>
    <row r="23" spans="1:29" x14ac:dyDescent="0.3">
      <c r="A23" s="14" t="s">
        <v>217</v>
      </c>
      <c r="B23" s="15"/>
      <c r="C23" s="15"/>
      <c r="D23" s="79"/>
      <c r="E23" s="77"/>
      <c r="F23" s="15"/>
      <c r="G23" s="15"/>
      <c r="H23" s="16"/>
      <c r="I23" s="66"/>
      <c r="J23" s="66"/>
      <c r="K23" s="16"/>
      <c r="L23" s="80"/>
      <c r="M23" s="81">
        <v>5118.86572265625</v>
      </c>
      <c r="N23" s="81">
        <v>6961.73681640625</v>
      </c>
      <c r="O23" s="76"/>
      <c r="P23" s="82"/>
      <c r="Q23" s="82"/>
      <c r="R23" s="50">
        <v>2</v>
      </c>
      <c r="S23" s="50">
        <v>1</v>
      </c>
      <c r="T23" s="50">
        <v>1</v>
      </c>
      <c r="U23" s="51">
        <v>6.6666670000000003</v>
      </c>
      <c r="V23" s="51">
        <v>4.6950000000000004E-3</v>
      </c>
      <c r="W23" s="51">
        <v>1.5317000000000001E-2</v>
      </c>
      <c r="X23" s="51">
        <v>0.64455799999999996</v>
      </c>
      <c r="Y23" s="51">
        <v>0</v>
      </c>
      <c r="Z23" s="51">
        <v>0</v>
      </c>
      <c r="AA23" s="78">
        <v>24</v>
      </c>
      <c r="AB23" s="78"/>
      <c r="AC23" s="83"/>
    </row>
    <row r="24" spans="1:29" x14ac:dyDescent="0.3">
      <c r="A24" s="14" t="s">
        <v>203</v>
      </c>
      <c r="B24" s="15"/>
      <c r="C24" s="15"/>
      <c r="D24" s="79"/>
      <c r="E24" s="77"/>
      <c r="F24" s="15"/>
      <c r="G24" s="15"/>
      <c r="H24" s="16"/>
      <c r="I24" s="66"/>
      <c r="J24" s="66"/>
      <c r="K24" s="16"/>
      <c r="L24" s="80"/>
      <c r="M24" s="81">
        <v>4501.76513671875</v>
      </c>
      <c r="N24" s="81">
        <v>7358.29150390625</v>
      </c>
      <c r="O24" s="76"/>
      <c r="P24" s="82"/>
      <c r="Q24" s="82"/>
      <c r="R24" s="50">
        <v>2</v>
      </c>
      <c r="S24" s="50">
        <v>1</v>
      </c>
      <c r="T24" s="50">
        <v>1</v>
      </c>
      <c r="U24" s="51">
        <v>23.319047999999999</v>
      </c>
      <c r="V24" s="51">
        <v>4.5050000000000003E-3</v>
      </c>
      <c r="W24" s="51">
        <v>1.5317000000000001E-2</v>
      </c>
      <c r="X24" s="51">
        <v>0.63506799999999997</v>
      </c>
      <c r="Y24" s="51">
        <v>0</v>
      </c>
      <c r="Z24" s="51">
        <v>0</v>
      </c>
      <c r="AA24" s="78">
        <v>25</v>
      </c>
      <c r="AB24" s="78"/>
      <c r="AC24" s="83"/>
    </row>
    <row r="25" spans="1:29" x14ac:dyDescent="0.3">
      <c r="A25" s="14" t="s">
        <v>212</v>
      </c>
      <c r="B25" s="15"/>
      <c r="C25" s="15"/>
      <c r="D25" s="79"/>
      <c r="E25" s="77"/>
      <c r="F25" s="15"/>
      <c r="G25" s="15"/>
      <c r="H25" s="16"/>
      <c r="I25" s="66"/>
      <c r="J25" s="66"/>
      <c r="K25" s="16"/>
      <c r="L25" s="80"/>
      <c r="M25" s="81">
        <v>6452.1865234375</v>
      </c>
      <c r="N25" s="81">
        <v>7560.59375</v>
      </c>
      <c r="O25" s="76"/>
      <c r="P25" s="82"/>
      <c r="Q25" s="82"/>
      <c r="R25" s="50">
        <v>1</v>
      </c>
      <c r="S25" s="50">
        <v>0</v>
      </c>
      <c r="T25" s="50">
        <v>1</v>
      </c>
      <c r="U25" s="51">
        <v>0</v>
      </c>
      <c r="V25" s="51">
        <v>4.3860000000000001E-3</v>
      </c>
      <c r="W25" s="51">
        <v>1.5155999999999999E-2</v>
      </c>
      <c r="X25" s="51">
        <v>0.37632500000000002</v>
      </c>
      <c r="Y25" s="51">
        <v>0</v>
      </c>
      <c r="Z25" s="51">
        <v>0</v>
      </c>
      <c r="AA25" s="78">
        <v>23</v>
      </c>
      <c r="AB25" s="78"/>
      <c r="AC25" s="83"/>
    </row>
    <row r="26" spans="1:29" x14ac:dyDescent="0.3">
      <c r="A26" s="14" t="s">
        <v>243</v>
      </c>
      <c r="B26" s="15"/>
      <c r="C26" s="15"/>
      <c r="D26" s="79"/>
      <c r="E26" s="77"/>
      <c r="F26" s="15"/>
      <c r="G26" s="15"/>
      <c r="H26" s="16"/>
      <c r="I26" s="66"/>
      <c r="J26" s="66"/>
      <c r="K26" s="16"/>
      <c r="L26" s="80"/>
      <c r="M26" s="81">
        <v>5383.2529296875</v>
      </c>
      <c r="N26" s="81">
        <v>7751.267578125</v>
      </c>
      <c r="O26" s="76"/>
      <c r="P26" s="82"/>
      <c r="Q26" s="82"/>
      <c r="R26" s="50">
        <v>2</v>
      </c>
      <c r="S26" s="50">
        <v>1</v>
      </c>
      <c r="T26" s="50">
        <v>1</v>
      </c>
      <c r="U26" s="51">
        <v>0</v>
      </c>
      <c r="V26" s="51">
        <v>4.065E-3</v>
      </c>
      <c r="W26" s="51">
        <v>1.3577000000000001E-2</v>
      </c>
      <c r="X26" s="51">
        <v>0.61519199999999996</v>
      </c>
      <c r="Y26" s="51">
        <v>0.5</v>
      </c>
      <c r="Z26" s="51">
        <v>0</v>
      </c>
      <c r="AA26" s="78">
        <v>28</v>
      </c>
      <c r="AB26" s="78"/>
      <c r="AC26" s="83"/>
    </row>
    <row r="27" spans="1:29" x14ac:dyDescent="0.3">
      <c r="A27" s="14" t="s">
        <v>244</v>
      </c>
      <c r="B27" s="15"/>
      <c r="C27" s="15"/>
      <c r="D27" s="79"/>
      <c r="E27" s="77"/>
      <c r="F27" s="15"/>
      <c r="G27" s="15"/>
      <c r="H27" s="16"/>
      <c r="I27" s="66"/>
      <c r="J27" s="66"/>
      <c r="K27" s="16"/>
      <c r="L27" s="80"/>
      <c r="M27" s="81">
        <v>7571.52783203125</v>
      </c>
      <c r="N27" s="81">
        <v>5601.216796875</v>
      </c>
      <c r="O27" s="76"/>
      <c r="P27" s="82"/>
      <c r="Q27" s="82"/>
      <c r="R27" s="50">
        <v>2</v>
      </c>
      <c r="S27" s="50">
        <v>1</v>
      </c>
      <c r="T27" s="50">
        <v>1</v>
      </c>
      <c r="U27" s="51">
        <v>6.9285709999999998</v>
      </c>
      <c r="V27" s="51">
        <v>4.274E-3</v>
      </c>
      <c r="W27" s="51">
        <v>1.2475999999999999E-2</v>
      </c>
      <c r="X27" s="51">
        <v>0.62988699999999997</v>
      </c>
      <c r="Y27" s="51">
        <v>0</v>
      </c>
      <c r="Z27" s="51">
        <v>0</v>
      </c>
      <c r="AA27" s="78">
        <v>29</v>
      </c>
      <c r="AB27" s="78"/>
      <c r="AC27" s="83"/>
    </row>
    <row r="28" spans="1:29" x14ac:dyDescent="0.3">
      <c r="A28" s="14" t="s">
        <v>226</v>
      </c>
      <c r="B28" s="15"/>
      <c r="C28" s="15"/>
      <c r="D28" s="79"/>
      <c r="E28" s="77"/>
      <c r="F28" s="15"/>
      <c r="G28" s="15"/>
      <c r="H28" s="16"/>
      <c r="I28" s="66"/>
      <c r="J28" s="66"/>
      <c r="K28" s="16"/>
      <c r="L28" s="80"/>
      <c r="M28" s="81">
        <v>8111.5087890625</v>
      </c>
      <c r="N28" s="81">
        <v>7097.39501953125</v>
      </c>
      <c r="O28" s="76"/>
      <c r="P28" s="82"/>
      <c r="Q28" s="82"/>
      <c r="R28" s="50">
        <v>4</v>
      </c>
      <c r="S28" s="50">
        <v>2</v>
      </c>
      <c r="T28" s="50">
        <v>2</v>
      </c>
      <c r="U28" s="51">
        <v>178.533333</v>
      </c>
      <c r="V28" s="51">
        <v>4.2189999999999997E-3</v>
      </c>
      <c r="W28" s="51">
        <v>1.221E-2</v>
      </c>
      <c r="X28" s="51">
        <v>1.372422</v>
      </c>
      <c r="Y28" s="51">
        <v>0</v>
      </c>
      <c r="Z28" s="51">
        <v>0</v>
      </c>
      <c r="AA28" s="78">
        <v>27</v>
      </c>
      <c r="AB28" s="78"/>
      <c r="AC28" s="83"/>
    </row>
    <row r="29" spans="1:29" x14ac:dyDescent="0.3">
      <c r="A29" s="14" t="s">
        <v>227</v>
      </c>
      <c r="B29" s="15"/>
      <c r="C29" s="15"/>
      <c r="D29" s="79"/>
      <c r="E29" s="77"/>
      <c r="F29" s="15"/>
      <c r="G29" s="15"/>
      <c r="H29" s="16"/>
      <c r="I29" s="66"/>
      <c r="J29" s="66"/>
      <c r="K29" s="16"/>
      <c r="L29" s="80"/>
      <c r="M29" s="81">
        <v>8378.5908203125</v>
      </c>
      <c r="N29" s="81">
        <v>5685.37744140625</v>
      </c>
      <c r="O29" s="76"/>
      <c r="P29" s="82"/>
      <c r="Q29" s="82"/>
      <c r="R29" s="50">
        <v>2</v>
      </c>
      <c r="S29" s="50">
        <v>1</v>
      </c>
      <c r="T29" s="50">
        <v>1</v>
      </c>
      <c r="U29" s="51">
        <v>51.966667000000001</v>
      </c>
      <c r="V29" s="51">
        <v>4.4250000000000001E-3</v>
      </c>
      <c r="W29" s="51">
        <v>1.1741E-2</v>
      </c>
      <c r="X29" s="51">
        <v>0.68379900000000005</v>
      </c>
      <c r="Y29" s="51">
        <v>0</v>
      </c>
      <c r="Z29" s="51">
        <v>0</v>
      </c>
      <c r="AA29" s="78">
        <v>26</v>
      </c>
      <c r="AB29" s="78"/>
      <c r="AC29" s="83"/>
    </row>
    <row r="30" spans="1:29" x14ac:dyDescent="0.3">
      <c r="A30" s="14" t="s">
        <v>248</v>
      </c>
      <c r="B30" s="15"/>
      <c r="C30" s="15"/>
      <c r="D30" s="79"/>
      <c r="E30" s="77"/>
      <c r="F30" s="15"/>
      <c r="G30" s="15"/>
      <c r="H30" s="16"/>
      <c r="I30" s="66"/>
      <c r="J30" s="66"/>
      <c r="K30" s="16"/>
      <c r="L30" s="80"/>
      <c r="M30" s="81">
        <v>3733.31689453125</v>
      </c>
      <c r="N30" s="81">
        <v>5018.03466796875</v>
      </c>
      <c r="O30" s="76"/>
      <c r="P30" s="82"/>
      <c r="Q30" s="82"/>
      <c r="R30" s="50">
        <v>2</v>
      </c>
      <c r="S30" s="50">
        <v>1</v>
      </c>
      <c r="T30" s="50">
        <v>1</v>
      </c>
      <c r="U30" s="51">
        <v>3.285714</v>
      </c>
      <c r="V30" s="51">
        <v>4.5050000000000003E-3</v>
      </c>
      <c r="W30" s="51">
        <v>1.1665E-2</v>
      </c>
      <c r="X30" s="51">
        <v>0.63482700000000003</v>
      </c>
      <c r="Y30" s="51">
        <v>0</v>
      </c>
      <c r="Z30" s="51">
        <v>0</v>
      </c>
      <c r="AA30" s="78">
        <v>31</v>
      </c>
      <c r="AB30" s="78"/>
      <c r="AC30" s="83"/>
    </row>
    <row r="31" spans="1:29" x14ac:dyDescent="0.3">
      <c r="A31" s="14" t="s">
        <v>215</v>
      </c>
      <c r="B31" s="15"/>
      <c r="C31" s="15"/>
      <c r="D31" s="79"/>
      <c r="E31" s="77"/>
      <c r="F31" s="15"/>
      <c r="G31" s="15"/>
      <c r="H31" s="16"/>
      <c r="I31" s="66"/>
      <c r="J31" s="66"/>
      <c r="K31" s="16"/>
      <c r="L31" s="80"/>
      <c r="M31" s="81">
        <v>3946.5634765625</v>
      </c>
      <c r="N31" s="81">
        <v>6381.2646484375</v>
      </c>
      <c r="O31" s="76"/>
      <c r="P31" s="82"/>
      <c r="Q31" s="82"/>
      <c r="R31" s="50">
        <v>2</v>
      </c>
      <c r="S31" s="50">
        <v>1</v>
      </c>
      <c r="T31" s="50">
        <v>1</v>
      </c>
      <c r="U31" s="51">
        <v>75.900000000000006</v>
      </c>
      <c r="V31" s="51">
        <v>4.7619999999999997E-3</v>
      </c>
      <c r="W31" s="51">
        <v>1.1609E-2</v>
      </c>
      <c r="X31" s="51">
        <v>0.66890099999999997</v>
      </c>
      <c r="Y31" s="51">
        <v>0</v>
      </c>
      <c r="Z31" s="51">
        <v>0</v>
      </c>
      <c r="AA31" s="78">
        <v>32</v>
      </c>
      <c r="AB31" s="78"/>
      <c r="AC31" s="83"/>
    </row>
    <row r="32" spans="1:29" x14ac:dyDescent="0.3">
      <c r="A32" s="14" t="s">
        <v>185</v>
      </c>
      <c r="B32" s="15"/>
      <c r="C32" s="15"/>
      <c r="D32" s="79"/>
      <c r="E32" s="77"/>
      <c r="F32" s="15"/>
      <c r="G32" s="15"/>
      <c r="H32" s="16"/>
      <c r="I32" s="66"/>
      <c r="J32" s="66"/>
      <c r="K32" s="16"/>
      <c r="L32" s="80"/>
      <c r="M32" s="81">
        <v>5025.2333984375</v>
      </c>
      <c r="N32" s="81">
        <v>4428.09228515625</v>
      </c>
      <c r="O32" s="76"/>
      <c r="P32" s="82"/>
      <c r="Q32" s="82"/>
      <c r="R32" s="50">
        <v>2</v>
      </c>
      <c r="S32" s="50">
        <v>1</v>
      </c>
      <c r="T32" s="50">
        <v>1</v>
      </c>
      <c r="U32" s="51">
        <v>78.819047999999995</v>
      </c>
      <c r="V32" s="51">
        <v>4.8079999999999998E-3</v>
      </c>
      <c r="W32" s="51">
        <v>1.0170999999999999E-2</v>
      </c>
      <c r="X32" s="51">
        <v>0.67447400000000002</v>
      </c>
      <c r="Y32" s="51">
        <v>0</v>
      </c>
      <c r="Z32" s="51">
        <v>0</v>
      </c>
      <c r="AA32" s="78">
        <v>34</v>
      </c>
      <c r="AB32" s="78"/>
      <c r="AC32" s="83"/>
    </row>
    <row r="33" spans="1:29" x14ac:dyDescent="0.3">
      <c r="A33" s="14" t="s">
        <v>209</v>
      </c>
      <c r="B33" s="15"/>
      <c r="C33" s="15"/>
      <c r="D33" s="79"/>
      <c r="E33" s="77"/>
      <c r="F33" s="15"/>
      <c r="G33" s="15"/>
      <c r="H33" s="16"/>
      <c r="I33" s="66"/>
      <c r="J33" s="66"/>
      <c r="K33" s="16"/>
      <c r="L33" s="80"/>
      <c r="M33" s="81">
        <v>6502.13330078125</v>
      </c>
      <c r="N33" s="81">
        <v>4179.76416015625</v>
      </c>
      <c r="O33" s="76"/>
      <c r="P33" s="82"/>
      <c r="Q33" s="82"/>
      <c r="R33" s="50">
        <v>1</v>
      </c>
      <c r="S33" s="50">
        <v>0</v>
      </c>
      <c r="T33" s="50">
        <v>1</v>
      </c>
      <c r="U33" s="51">
        <v>0</v>
      </c>
      <c r="V33" s="51">
        <v>4.6080000000000001E-3</v>
      </c>
      <c r="W33" s="51">
        <v>1.0083E-2</v>
      </c>
      <c r="X33" s="51">
        <v>0.387602</v>
      </c>
      <c r="Y33" s="51">
        <v>0</v>
      </c>
      <c r="Z33" s="51">
        <v>0</v>
      </c>
      <c r="AA33" s="78">
        <v>35</v>
      </c>
      <c r="AB33" s="78"/>
      <c r="AC33" s="83"/>
    </row>
    <row r="34" spans="1:29" x14ac:dyDescent="0.3">
      <c r="A34" s="14" t="s">
        <v>245</v>
      </c>
      <c r="B34" s="15"/>
      <c r="C34" s="15"/>
      <c r="D34" s="79"/>
      <c r="E34" s="77"/>
      <c r="F34" s="15"/>
      <c r="G34" s="15"/>
      <c r="H34" s="16"/>
      <c r="I34" s="66"/>
      <c r="J34" s="66"/>
      <c r="K34" s="16"/>
      <c r="L34" s="80"/>
      <c r="M34" s="81">
        <v>5832.6884765625</v>
      </c>
      <c r="N34" s="81">
        <v>4024.52294921875</v>
      </c>
      <c r="O34" s="76"/>
      <c r="P34" s="82"/>
      <c r="Q34" s="82"/>
      <c r="R34" s="50">
        <v>1</v>
      </c>
      <c r="S34" s="50">
        <v>1</v>
      </c>
      <c r="T34" s="50">
        <v>0</v>
      </c>
      <c r="U34" s="51">
        <v>0</v>
      </c>
      <c r="V34" s="51">
        <v>4.6080000000000001E-3</v>
      </c>
      <c r="W34" s="51">
        <v>1.0083E-2</v>
      </c>
      <c r="X34" s="51">
        <v>0.387602</v>
      </c>
      <c r="Y34" s="51">
        <v>0</v>
      </c>
      <c r="Z34" s="51">
        <v>0</v>
      </c>
      <c r="AA34" s="78">
        <v>36</v>
      </c>
      <c r="AB34" s="78"/>
      <c r="AC34" s="83"/>
    </row>
    <row r="35" spans="1:29" x14ac:dyDescent="0.3">
      <c r="A35" s="14" t="s">
        <v>194</v>
      </c>
      <c r="B35" s="15"/>
      <c r="C35" s="15"/>
      <c r="D35" s="79"/>
      <c r="E35" s="77"/>
      <c r="F35" s="15"/>
      <c r="G35" s="15"/>
      <c r="H35" s="16"/>
      <c r="I35" s="66"/>
      <c r="J35" s="66"/>
      <c r="K35" s="16"/>
      <c r="L35" s="80"/>
      <c r="M35" s="81">
        <v>8419.2841796875</v>
      </c>
      <c r="N35" s="81">
        <v>5024.29248046875</v>
      </c>
      <c r="O35" s="76"/>
      <c r="P35" s="82"/>
      <c r="Q35" s="82"/>
      <c r="R35" s="50">
        <v>2</v>
      </c>
      <c r="S35" s="50">
        <v>1</v>
      </c>
      <c r="T35" s="50">
        <v>1</v>
      </c>
      <c r="U35" s="51">
        <v>126</v>
      </c>
      <c r="V35" s="51">
        <v>4.3480000000000003E-3</v>
      </c>
      <c r="W35" s="51">
        <v>9.7439999999999992E-3</v>
      </c>
      <c r="X35" s="51">
        <v>0.81355599999999995</v>
      </c>
      <c r="Y35" s="51">
        <v>0</v>
      </c>
      <c r="Z35" s="51">
        <v>0</v>
      </c>
      <c r="AA35" s="78">
        <v>30</v>
      </c>
      <c r="AB35" s="78"/>
      <c r="AC35" s="83"/>
    </row>
    <row r="36" spans="1:29" x14ac:dyDescent="0.3">
      <c r="A36" s="49" t="s">
        <v>174</v>
      </c>
      <c r="B36" s="52"/>
      <c r="C36" s="52"/>
      <c r="D36" s="53"/>
      <c r="E36" s="54"/>
      <c r="F36" s="52"/>
      <c r="G36" s="52"/>
      <c r="H36" s="56"/>
      <c r="I36" s="55"/>
      <c r="J36" s="55"/>
      <c r="K36" s="56"/>
      <c r="L36" s="58"/>
      <c r="M36" s="59">
        <v>4582.3564453125</v>
      </c>
      <c r="N36" s="59">
        <v>3277.95947265625</v>
      </c>
      <c r="O36" s="57"/>
      <c r="P36" s="60"/>
      <c r="Q36" s="60"/>
      <c r="R36" s="50">
        <v>5</v>
      </c>
      <c r="S36" s="50">
        <v>0</v>
      </c>
      <c r="T36" s="50">
        <v>5</v>
      </c>
      <c r="U36" s="51">
        <v>372.35238099999998</v>
      </c>
      <c r="V36" s="51">
        <v>4.7390000000000002E-3</v>
      </c>
      <c r="W36" s="51">
        <v>9.6450000000000008E-3</v>
      </c>
      <c r="X36" s="51">
        <v>1.707268</v>
      </c>
      <c r="Y36" s="51">
        <v>0</v>
      </c>
      <c r="Z36" s="51">
        <v>0</v>
      </c>
      <c r="AA36" s="61">
        <v>37</v>
      </c>
      <c r="AB36" s="61"/>
      <c r="AC36" s="62"/>
    </row>
    <row r="37" spans="1:29" x14ac:dyDescent="0.3">
      <c r="A37" s="14" t="s">
        <v>247</v>
      </c>
      <c r="B37" s="15"/>
      <c r="C37" s="15"/>
      <c r="D37" s="79"/>
      <c r="E37" s="77"/>
      <c r="F37" s="15"/>
      <c r="G37" s="15"/>
      <c r="H37" s="16"/>
      <c r="I37" s="66"/>
      <c r="J37" s="66"/>
      <c r="K37" s="16"/>
      <c r="L37" s="80"/>
      <c r="M37" s="81">
        <v>3655.7919921875</v>
      </c>
      <c r="N37" s="81">
        <v>4324.1572265625</v>
      </c>
      <c r="O37" s="76"/>
      <c r="P37" s="82"/>
      <c r="Q37" s="82"/>
      <c r="R37" s="50">
        <v>2</v>
      </c>
      <c r="S37" s="50">
        <v>1</v>
      </c>
      <c r="T37" s="50">
        <v>2</v>
      </c>
      <c r="U37" s="51">
        <v>41.333333000000003</v>
      </c>
      <c r="V37" s="51">
        <v>4.5450000000000004E-3</v>
      </c>
      <c r="W37" s="51">
        <v>9.1249999999999994E-3</v>
      </c>
      <c r="X37" s="51">
        <v>0.67128500000000002</v>
      </c>
      <c r="Y37" s="51">
        <v>0</v>
      </c>
      <c r="Z37" s="51">
        <v>0.5</v>
      </c>
      <c r="AA37" s="78">
        <v>38</v>
      </c>
      <c r="AB37" s="78"/>
      <c r="AC37" s="83"/>
    </row>
    <row r="38" spans="1:29" x14ac:dyDescent="0.3">
      <c r="A38" s="14" t="s">
        <v>246</v>
      </c>
      <c r="B38" s="15"/>
      <c r="C38" s="15"/>
      <c r="D38" s="79"/>
      <c r="E38" s="77"/>
      <c r="F38" s="15"/>
      <c r="G38" s="15"/>
      <c r="H38" s="16"/>
      <c r="I38" s="66"/>
      <c r="J38" s="66"/>
      <c r="K38" s="16"/>
      <c r="L38" s="80"/>
      <c r="M38" s="81">
        <v>8207.181640625</v>
      </c>
      <c r="N38" s="81">
        <v>6463.744140625</v>
      </c>
      <c r="O38" s="76"/>
      <c r="P38" s="82"/>
      <c r="Q38" s="82"/>
      <c r="R38" s="50">
        <v>1</v>
      </c>
      <c r="S38" s="50">
        <v>1</v>
      </c>
      <c r="T38" s="50">
        <v>0</v>
      </c>
      <c r="U38" s="51">
        <v>0</v>
      </c>
      <c r="V38" s="51">
        <v>4.0000000000000001E-3</v>
      </c>
      <c r="W38" s="51">
        <v>8.4639999999999993E-3</v>
      </c>
      <c r="X38" s="51">
        <v>0.38752700000000001</v>
      </c>
      <c r="Y38" s="51">
        <v>0</v>
      </c>
      <c r="Z38" s="51">
        <v>0</v>
      </c>
      <c r="AA38" s="78">
        <v>33</v>
      </c>
      <c r="AB38" s="78"/>
      <c r="AC38" s="83"/>
    </row>
    <row r="39" spans="1:29" x14ac:dyDescent="0.3">
      <c r="A39" s="14" t="s">
        <v>201</v>
      </c>
      <c r="B39" s="15"/>
      <c r="C39" s="15"/>
      <c r="D39" s="79"/>
      <c r="E39" s="77"/>
      <c r="F39" s="15"/>
      <c r="G39" s="15"/>
      <c r="H39" s="16"/>
      <c r="I39" s="66"/>
      <c r="J39" s="66"/>
      <c r="K39" s="16"/>
      <c r="L39" s="80"/>
      <c r="M39" s="81">
        <v>4280.1220703125</v>
      </c>
      <c r="N39" s="81">
        <v>7933.84521484375</v>
      </c>
      <c r="O39" s="76"/>
      <c r="P39" s="82"/>
      <c r="Q39" s="82"/>
      <c r="R39" s="50">
        <v>2</v>
      </c>
      <c r="S39" s="50">
        <v>1</v>
      </c>
      <c r="T39" s="50">
        <v>1</v>
      </c>
      <c r="U39" s="51">
        <v>248</v>
      </c>
      <c r="V39" s="51">
        <v>4.3099999999999996E-3</v>
      </c>
      <c r="W39" s="51">
        <v>8.3739999999999995E-3</v>
      </c>
      <c r="X39" s="51">
        <v>0.82131600000000005</v>
      </c>
      <c r="Y39" s="51">
        <v>0</v>
      </c>
      <c r="Z39" s="51">
        <v>0</v>
      </c>
      <c r="AA39" s="78">
        <v>40</v>
      </c>
      <c r="AB39" s="78"/>
      <c r="AC39" s="83"/>
    </row>
    <row r="40" spans="1:29" x14ac:dyDescent="0.3">
      <c r="A40" s="14" t="s">
        <v>210</v>
      </c>
      <c r="B40" s="15"/>
      <c r="C40" s="15"/>
      <c r="D40" s="79"/>
      <c r="E40" s="77"/>
      <c r="F40" s="15"/>
      <c r="G40" s="15"/>
      <c r="H40" s="16"/>
      <c r="I40" s="66"/>
      <c r="J40" s="66"/>
      <c r="K40" s="16"/>
      <c r="L40" s="80"/>
      <c r="M40" s="81">
        <v>6843.5595703125</v>
      </c>
      <c r="N40" s="81">
        <v>3084.645751953125</v>
      </c>
      <c r="O40" s="76"/>
      <c r="P40" s="82"/>
      <c r="Q40" s="82"/>
      <c r="R40" s="50">
        <v>3</v>
      </c>
      <c r="S40" s="50">
        <v>2</v>
      </c>
      <c r="T40" s="50">
        <v>1</v>
      </c>
      <c r="U40" s="51">
        <v>34.435713999999997</v>
      </c>
      <c r="V40" s="51">
        <v>4.3860000000000001E-3</v>
      </c>
      <c r="W40" s="51">
        <v>8.3070000000000001E-3</v>
      </c>
      <c r="X40" s="51">
        <v>0.96357400000000004</v>
      </c>
      <c r="Y40" s="51">
        <v>0.33333333333333331</v>
      </c>
      <c r="Z40" s="51">
        <v>0</v>
      </c>
      <c r="AA40" s="78">
        <v>39</v>
      </c>
      <c r="AB40" s="78"/>
      <c r="AC40" s="83"/>
    </row>
    <row r="41" spans="1:29" x14ac:dyDescent="0.3">
      <c r="A41" s="14" t="s">
        <v>229</v>
      </c>
      <c r="B41" s="15"/>
      <c r="C41" s="15"/>
      <c r="D41" s="79"/>
      <c r="E41" s="77"/>
      <c r="F41" s="15"/>
      <c r="G41" s="15"/>
      <c r="H41" s="16"/>
      <c r="I41" s="66"/>
      <c r="J41" s="66"/>
      <c r="K41" s="16"/>
      <c r="L41" s="80"/>
      <c r="M41" s="81">
        <v>3888.336181640625</v>
      </c>
      <c r="N41" s="81">
        <v>7576.63232421875</v>
      </c>
      <c r="O41" s="76"/>
      <c r="P41" s="82"/>
      <c r="Q41" s="82"/>
      <c r="R41" s="50">
        <v>1</v>
      </c>
      <c r="S41" s="50">
        <v>1</v>
      </c>
      <c r="T41" s="50">
        <v>0</v>
      </c>
      <c r="U41" s="51">
        <v>0</v>
      </c>
      <c r="V41" s="51">
        <v>4.2370000000000003E-3</v>
      </c>
      <c r="W41" s="51">
        <v>8.0490000000000006E-3</v>
      </c>
      <c r="X41" s="51">
        <v>0.40442800000000001</v>
      </c>
      <c r="Y41" s="51">
        <v>0</v>
      </c>
      <c r="Z41" s="51">
        <v>0</v>
      </c>
      <c r="AA41" s="78">
        <v>41</v>
      </c>
      <c r="AB41" s="78"/>
      <c r="AC41" s="83"/>
    </row>
    <row r="42" spans="1:29" x14ac:dyDescent="0.3">
      <c r="A42" s="14" t="s">
        <v>176</v>
      </c>
      <c r="B42" s="15"/>
      <c r="C42" s="15"/>
      <c r="D42" s="79"/>
      <c r="E42" s="77"/>
      <c r="F42" s="15"/>
      <c r="G42" s="15"/>
      <c r="H42" s="16"/>
      <c r="I42" s="66"/>
      <c r="J42" s="66"/>
      <c r="K42" s="16"/>
      <c r="L42" s="80"/>
      <c r="M42" s="81">
        <v>3950.98681640625</v>
      </c>
      <c r="N42" s="81">
        <v>3541.236083984375</v>
      </c>
      <c r="O42" s="76"/>
      <c r="P42" s="82"/>
      <c r="Q42" s="82"/>
      <c r="R42" s="50">
        <v>4</v>
      </c>
      <c r="S42" s="50">
        <v>3</v>
      </c>
      <c r="T42" s="50">
        <v>2</v>
      </c>
      <c r="U42" s="51">
        <v>166.85238100000001</v>
      </c>
      <c r="V42" s="51">
        <v>4.4050000000000001E-3</v>
      </c>
      <c r="W42" s="51">
        <v>8.0219999999999996E-3</v>
      </c>
      <c r="X42" s="51">
        <v>1.3455360000000001</v>
      </c>
      <c r="Y42" s="51">
        <v>0</v>
      </c>
      <c r="Z42" s="51">
        <v>0.25</v>
      </c>
      <c r="AA42" s="78">
        <v>42</v>
      </c>
      <c r="AB42" s="78"/>
      <c r="AC42" s="83"/>
    </row>
    <row r="43" spans="1:29" x14ac:dyDescent="0.3">
      <c r="A43" s="14" t="s">
        <v>239</v>
      </c>
      <c r="B43" s="15"/>
      <c r="C43" s="15"/>
      <c r="D43" s="79"/>
      <c r="E43" s="77"/>
      <c r="F43" s="15"/>
      <c r="G43" s="15"/>
      <c r="H43" s="16"/>
      <c r="I43" s="66"/>
      <c r="J43" s="66"/>
      <c r="K43" s="16"/>
      <c r="L43" s="80"/>
      <c r="M43" s="81">
        <v>2754.71875</v>
      </c>
      <c r="N43" s="81">
        <v>5851.10107421875</v>
      </c>
      <c r="O43" s="76"/>
      <c r="P43" s="82"/>
      <c r="Q43" s="82"/>
      <c r="R43" s="50">
        <v>2</v>
      </c>
      <c r="S43" s="50">
        <v>1</v>
      </c>
      <c r="T43" s="50">
        <v>1</v>
      </c>
      <c r="U43" s="51">
        <v>80</v>
      </c>
      <c r="V43" s="51">
        <v>4.5250000000000004E-3</v>
      </c>
      <c r="W43" s="51">
        <v>7.6119999999999998E-3</v>
      </c>
      <c r="X43" s="51">
        <v>0.71857300000000002</v>
      </c>
      <c r="Y43" s="51">
        <v>0</v>
      </c>
      <c r="Z43" s="51">
        <v>0</v>
      </c>
      <c r="AA43" s="78">
        <v>43</v>
      </c>
      <c r="AB43" s="78"/>
      <c r="AC43" s="83"/>
    </row>
    <row r="44" spans="1:29" x14ac:dyDescent="0.3">
      <c r="A44" s="14" t="s">
        <v>240</v>
      </c>
      <c r="B44" s="15"/>
      <c r="C44" s="15"/>
      <c r="D44" s="79"/>
      <c r="E44" s="77"/>
      <c r="F44" s="15"/>
      <c r="G44" s="15"/>
      <c r="H44" s="16"/>
      <c r="I44" s="66"/>
      <c r="J44" s="66"/>
      <c r="K44" s="16"/>
      <c r="L44" s="80"/>
      <c r="M44" s="81">
        <v>2846.345703125</v>
      </c>
      <c r="N44" s="81">
        <v>6172.45947265625</v>
      </c>
      <c r="O44" s="76"/>
      <c r="P44" s="82"/>
      <c r="Q44" s="82"/>
      <c r="R44" s="50">
        <v>2</v>
      </c>
      <c r="S44" s="50">
        <v>1</v>
      </c>
      <c r="T44" s="50">
        <v>1</v>
      </c>
      <c r="U44" s="51">
        <v>80</v>
      </c>
      <c r="V44" s="51">
        <v>4.5250000000000004E-3</v>
      </c>
      <c r="W44" s="51">
        <v>7.6119999999999998E-3</v>
      </c>
      <c r="X44" s="51">
        <v>0.71857300000000002</v>
      </c>
      <c r="Y44" s="51">
        <v>0</v>
      </c>
      <c r="Z44" s="51">
        <v>0</v>
      </c>
      <c r="AA44" s="78">
        <v>44</v>
      </c>
      <c r="AB44" s="78"/>
      <c r="AC44" s="83"/>
    </row>
    <row r="45" spans="1:29" x14ac:dyDescent="0.3">
      <c r="A45" s="14" t="s">
        <v>241</v>
      </c>
      <c r="B45" s="15"/>
      <c r="C45" s="15"/>
      <c r="D45" s="79"/>
      <c r="E45" s="77"/>
      <c r="F45" s="15"/>
      <c r="G45" s="15"/>
      <c r="H45" s="16"/>
      <c r="I45" s="66"/>
      <c r="J45" s="66"/>
      <c r="K45" s="16"/>
      <c r="L45" s="80"/>
      <c r="M45" s="81">
        <v>2718.223876953125</v>
      </c>
      <c r="N45" s="81">
        <v>5571.05419921875</v>
      </c>
      <c r="O45" s="76"/>
      <c r="P45" s="82"/>
      <c r="Q45" s="82"/>
      <c r="R45" s="50">
        <v>2</v>
      </c>
      <c r="S45" s="50">
        <v>1</v>
      </c>
      <c r="T45" s="50">
        <v>1</v>
      </c>
      <c r="U45" s="51">
        <v>80</v>
      </c>
      <c r="V45" s="51">
        <v>4.5250000000000004E-3</v>
      </c>
      <c r="W45" s="51">
        <v>7.6119999999999998E-3</v>
      </c>
      <c r="X45" s="51">
        <v>0.71857300000000002</v>
      </c>
      <c r="Y45" s="51">
        <v>0</v>
      </c>
      <c r="Z45" s="51">
        <v>0</v>
      </c>
      <c r="AA45" s="78">
        <v>45</v>
      </c>
      <c r="AB45" s="78"/>
      <c r="AC45" s="83"/>
    </row>
    <row r="46" spans="1:29" x14ac:dyDescent="0.3">
      <c r="A46" s="14" t="s">
        <v>197</v>
      </c>
      <c r="B46" s="15"/>
      <c r="C46" s="15"/>
      <c r="D46" s="79"/>
      <c r="E46" s="77"/>
      <c r="F46" s="15"/>
      <c r="G46" s="15"/>
      <c r="H46" s="16"/>
      <c r="I46" s="66"/>
      <c r="J46" s="66"/>
      <c r="K46" s="16"/>
      <c r="L46" s="80"/>
      <c r="M46" s="81">
        <v>3027.97314453125</v>
      </c>
      <c r="N46" s="81">
        <v>4958.00927734375</v>
      </c>
      <c r="O46" s="76"/>
      <c r="P46" s="82"/>
      <c r="Q46" s="82"/>
      <c r="R46" s="50">
        <v>2</v>
      </c>
      <c r="S46" s="50">
        <v>1</v>
      </c>
      <c r="T46" s="50">
        <v>2</v>
      </c>
      <c r="U46" s="51">
        <v>95.1</v>
      </c>
      <c r="V46" s="51">
        <v>4.5250000000000004E-3</v>
      </c>
      <c r="W46" s="51">
        <v>7.1500000000000001E-3</v>
      </c>
      <c r="X46" s="51">
        <v>0.73996600000000001</v>
      </c>
      <c r="Y46" s="51">
        <v>0</v>
      </c>
      <c r="Z46" s="51">
        <v>0.5</v>
      </c>
      <c r="AA46" s="78">
        <v>46</v>
      </c>
      <c r="AB46" s="78"/>
      <c r="AC46" s="83"/>
    </row>
    <row r="47" spans="1:29" x14ac:dyDescent="0.3">
      <c r="A47" s="14" t="s">
        <v>190</v>
      </c>
      <c r="B47" s="15"/>
      <c r="C47" s="15"/>
      <c r="D47" s="79"/>
      <c r="E47" s="77"/>
      <c r="F47" s="15"/>
      <c r="G47" s="15"/>
      <c r="H47" s="16"/>
      <c r="I47" s="66"/>
      <c r="J47" s="66"/>
      <c r="K47" s="16"/>
      <c r="L47" s="80"/>
      <c r="M47" s="81">
        <v>3297.71533203125</v>
      </c>
      <c r="N47" s="81">
        <v>6014.20654296875</v>
      </c>
      <c r="O47" s="76"/>
      <c r="P47" s="82"/>
      <c r="Q47" s="82"/>
      <c r="R47" s="50">
        <v>1</v>
      </c>
      <c r="S47" s="50">
        <v>1</v>
      </c>
      <c r="T47" s="50">
        <v>0</v>
      </c>
      <c r="U47" s="51">
        <v>0</v>
      </c>
      <c r="V47" s="51">
        <v>4.444E-3</v>
      </c>
      <c r="W47" s="51">
        <v>6.7239999999999999E-3</v>
      </c>
      <c r="X47" s="51">
        <v>0.40899999999999997</v>
      </c>
      <c r="Y47" s="51">
        <v>0</v>
      </c>
      <c r="Z47" s="51">
        <v>0</v>
      </c>
      <c r="AA47" s="78">
        <v>47</v>
      </c>
      <c r="AB47" s="78"/>
      <c r="AC47" s="83"/>
    </row>
    <row r="48" spans="1:29" x14ac:dyDescent="0.3">
      <c r="A48" s="14" t="s">
        <v>225</v>
      </c>
      <c r="B48" s="15"/>
      <c r="C48" s="15"/>
      <c r="D48" s="79"/>
      <c r="E48" s="77"/>
      <c r="F48" s="15"/>
      <c r="G48" s="15"/>
      <c r="H48" s="16"/>
      <c r="I48" s="66"/>
      <c r="J48" s="66"/>
      <c r="K48" s="16"/>
      <c r="L48" s="80"/>
      <c r="M48" s="81">
        <v>8336.818359375</v>
      </c>
      <c r="N48" s="81">
        <v>8000.50537109375</v>
      </c>
      <c r="O48" s="76"/>
      <c r="P48" s="82"/>
      <c r="Q48" s="82"/>
      <c r="R48" s="50">
        <v>2</v>
      </c>
      <c r="S48" s="50">
        <v>1</v>
      </c>
      <c r="T48" s="50">
        <v>1</v>
      </c>
      <c r="U48" s="51">
        <v>10</v>
      </c>
      <c r="V48" s="51">
        <v>3.5969999999999999E-3</v>
      </c>
      <c r="W48" s="51">
        <v>5.6249999999999998E-3</v>
      </c>
      <c r="X48" s="51">
        <v>0.74838000000000005</v>
      </c>
      <c r="Y48" s="51">
        <v>0</v>
      </c>
      <c r="Z48" s="51">
        <v>0</v>
      </c>
      <c r="AA48" s="78">
        <v>48</v>
      </c>
      <c r="AB48" s="78"/>
      <c r="AC48" s="83"/>
    </row>
    <row r="49" spans="1:29" x14ac:dyDescent="0.3">
      <c r="A49" s="14" t="s">
        <v>211</v>
      </c>
      <c r="B49" s="15"/>
      <c r="C49" s="15"/>
      <c r="D49" s="79"/>
      <c r="E49" s="77"/>
      <c r="F49" s="15"/>
      <c r="G49" s="15"/>
      <c r="H49" s="16"/>
      <c r="I49" s="66"/>
      <c r="J49" s="66"/>
      <c r="K49" s="16"/>
      <c r="L49" s="80"/>
      <c r="M49" s="81">
        <v>5928.50537109375</v>
      </c>
      <c r="N49" s="81">
        <v>2454.93994140625</v>
      </c>
      <c r="O49" s="76"/>
      <c r="P49" s="82"/>
      <c r="Q49" s="82"/>
      <c r="R49" s="50">
        <v>2</v>
      </c>
      <c r="S49" s="50">
        <v>2</v>
      </c>
      <c r="T49" s="50">
        <v>1</v>
      </c>
      <c r="U49" s="51">
        <v>0</v>
      </c>
      <c r="V49" s="51">
        <v>4.065E-3</v>
      </c>
      <c r="W49" s="51">
        <v>5.4190000000000002E-3</v>
      </c>
      <c r="X49" s="51">
        <v>0.68148200000000003</v>
      </c>
      <c r="Y49" s="51">
        <v>0.5</v>
      </c>
      <c r="Z49" s="51">
        <v>0.5</v>
      </c>
      <c r="AA49" s="78">
        <v>49</v>
      </c>
      <c r="AB49" s="78"/>
      <c r="AC49" s="83"/>
    </row>
    <row r="50" spans="1:29" x14ac:dyDescent="0.3">
      <c r="A50" s="14" t="s">
        <v>188</v>
      </c>
      <c r="B50" s="15"/>
      <c r="C50" s="15"/>
      <c r="D50" s="79"/>
      <c r="E50" s="77"/>
      <c r="F50" s="15"/>
      <c r="G50" s="15"/>
      <c r="H50" s="16"/>
      <c r="I50" s="66"/>
      <c r="J50" s="66"/>
      <c r="K50" s="16"/>
      <c r="L50" s="80"/>
      <c r="M50" s="81">
        <v>6543.7568359375</v>
      </c>
      <c r="N50" s="81">
        <v>2423.672119140625</v>
      </c>
      <c r="O50" s="76"/>
      <c r="P50" s="82"/>
      <c r="Q50" s="82"/>
      <c r="R50" s="50">
        <v>3</v>
      </c>
      <c r="S50" s="50">
        <v>2</v>
      </c>
      <c r="T50" s="50">
        <v>1</v>
      </c>
      <c r="U50" s="51">
        <v>274.93809499999998</v>
      </c>
      <c r="V50" s="51">
        <v>4.1489999999999999E-3</v>
      </c>
      <c r="W50" s="51">
        <v>4.849E-3</v>
      </c>
      <c r="X50" s="51">
        <v>1.1137649999999999</v>
      </c>
      <c r="Y50" s="51">
        <v>0</v>
      </c>
      <c r="Z50" s="51">
        <v>0</v>
      </c>
      <c r="AA50" s="78">
        <v>51</v>
      </c>
      <c r="AB50" s="78"/>
      <c r="AC50" s="83"/>
    </row>
    <row r="51" spans="1:29" x14ac:dyDescent="0.3">
      <c r="A51" s="14" t="s">
        <v>219</v>
      </c>
      <c r="B51" s="15"/>
      <c r="C51" s="15"/>
      <c r="D51" s="79"/>
      <c r="E51" s="77"/>
      <c r="F51" s="15"/>
      <c r="G51" s="15"/>
      <c r="H51" s="16"/>
      <c r="I51" s="66"/>
      <c r="J51" s="66"/>
      <c r="K51" s="16"/>
      <c r="L51" s="80"/>
      <c r="M51" s="81">
        <v>1406.6876220703125</v>
      </c>
      <c r="N51" s="81">
        <v>6118.462890625</v>
      </c>
      <c r="O51" s="76"/>
      <c r="P51" s="82"/>
      <c r="Q51" s="82"/>
      <c r="R51" s="50">
        <v>4</v>
      </c>
      <c r="S51" s="50">
        <v>1</v>
      </c>
      <c r="T51" s="50">
        <v>3</v>
      </c>
      <c r="U51" s="51">
        <v>129</v>
      </c>
      <c r="V51" s="51">
        <v>3.5969999999999999E-3</v>
      </c>
      <c r="W51" s="51">
        <v>4.5880000000000001E-3</v>
      </c>
      <c r="X51" s="51">
        <v>1.456817</v>
      </c>
      <c r="Y51" s="51">
        <v>0</v>
      </c>
      <c r="Z51" s="51">
        <v>0</v>
      </c>
      <c r="AA51" s="78">
        <v>52</v>
      </c>
      <c r="AB51" s="78"/>
      <c r="AC51" s="83"/>
    </row>
    <row r="52" spans="1:29" x14ac:dyDescent="0.3">
      <c r="A52" s="14" t="s">
        <v>187</v>
      </c>
      <c r="B52" s="15"/>
      <c r="C52" s="15"/>
      <c r="D52" s="79"/>
      <c r="E52" s="77"/>
      <c r="F52" s="15"/>
      <c r="G52" s="15"/>
      <c r="H52" s="16"/>
      <c r="I52" s="66"/>
      <c r="J52" s="66"/>
      <c r="K52" s="16"/>
      <c r="L52" s="80"/>
      <c r="M52" s="81">
        <v>7808.84814453125</v>
      </c>
      <c r="N52" s="81">
        <v>3085.576171875</v>
      </c>
      <c r="O52" s="76"/>
      <c r="P52" s="82"/>
      <c r="Q52" s="82"/>
      <c r="R52" s="50">
        <v>2</v>
      </c>
      <c r="S52" s="50">
        <v>1</v>
      </c>
      <c r="T52" s="50">
        <v>1</v>
      </c>
      <c r="U52" s="51">
        <v>49.307143000000003</v>
      </c>
      <c r="V52" s="51">
        <v>4.0489999999999996E-3</v>
      </c>
      <c r="W52" s="51">
        <v>4.3839999999999999E-3</v>
      </c>
      <c r="X52" s="51">
        <v>0.73104100000000005</v>
      </c>
      <c r="Y52" s="51">
        <v>0</v>
      </c>
      <c r="Z52" s="51">
        <v>0</v>
      </c>
      <c r="AA52" s="78">
        <v>50</v>
      </c>
      <c r="AB52" s="78"/>
      <c r="AC52" s="83"/>
    </row>
    <row r="53" spans="1:29" x14ac:dyDescent="0.3">
      <c r="A53" s="14" t="s">
        <v>198</v>
      </c>
      <c r="B53" s="15"/>
      <c r="C53" s="15"/>
      <c r="D53" s="79"/>
      <c r="E53" s="77"/>
      <c r="F53" s="15"/>
      <c r="G53" s="15"/>
      <c r="H53" s="16"/>
      <c r="I53" s="66"/>
      <c r="J53" s="66"/>
      <c r="K53" s="16"/>
      <c r="L53" s="80"/>
      <c r="M53" s="81">
        <v>4898.2705078125</v>
      </c>
      <c r="N53" s="81">
        <v>2495.5263671875</v>
      </c>
      <c r="O53" s="76"/>
      <c r="P53" s="82"/>
      <c r="Q53" s="82"/>
      <c r="R53" s="50">
        <v>2</v>
      </c>
      <c r="S53" s="50">
        <v>1</v>
      </c>
      <c r="T53" s="50">
        <v>1</v>
      </c>
      <c r="U53" s="51">
        <v>49.733333000000002</v>
      </c>
      <c r="V53" s="51">
        <v>4.065E-3</v>
      </c>
      <c r="W53" s="51">
        <v>4.2379999999999996E-3</v>
      </c>
      <c r="X53" s="51">
        <v>0.73943599999999998</v>
      </c>
      <c r="Y53" s="51">
        <v>0</v>
      </c>
      <c r="Z53" s="51">
        <v>0</v>
      </c>
      <c r="AA53" s="78">
        <v>53</v>
      </c>
      <c r="AB53" s="78"/>
      <c r="AC53" s="83"/>
    </row>
    <row r="54" spans="1:29" x14ac:dyDescent="0.3">
      <c r="A54" s="14" t="s">
        <v>183</v>
      </c>
      <c r="B54" s="15"/>
      <c r="C54" s="15"/>
      <c r="D54" s="79"/>
      <c r="E54" s="77"/>
      <c r="F54" s="15"/>
      <c r="G54" s="15"/>
      <c r="H54" s="16"/>
      <c r="I54" s="66"/>
      <c r="J54" s="66"/>
      <c r="K54" s="16"/>
      <c r="L54" s="80"/>
      <c r="M54" s="81">
        <v>2391.14111328125</v>
      </c>
      <c r="N54" s="81">
        <v>4334.564453125</v>
      </c>
      <c r="O54" s="76"/>
      <c r="P54" s="82"/>
      <c r="Q54" s="82"/>
      <c r="R54" s="50">
        <v>1</v>
      </c>
      <c r="S54" s="50">
        <v>1</v>
      </c>
      <c r="T54" s="50">
        <v>1</v>
      </c>
      <c r="U54" s="51">
        <v>0</v>
      </c>
      <c r="V54" s="51">
        <v>3.9220000000000001E-3</v>
      </c>
      <c r="W54" s="51">
        <v>3.5599999999999998E-3</v>
      </c>
      <c r="X54" s="51">
        <v>0.41447299999999998</v>
      </c>
      <c r="Y54" s="51">
        <v>0</v>
      </c>
      <c r="Z54" s="51">
        <v>1</v>
      </c>
      <c r="AA54" s="78">
        <v>55</v>
      </c>
      <c r="AB54" s="78"/>
      <c r="AC54" s="83"/>
    </row>
    <row r="55" spans="1:29" x14ac:dyDescent="0.3">
      <c r="A55" s="14" t="s">
        <v>218</v>
      </c>
      <c r="B55" s="15"/>
      <c r="C55" s="15"/>
      <c r="D55" s="79"/>
      <c r="E55" s="77"/>
      <c r="F55" s="15"/>
      <c r="G55" s="15"/>
      <c r="H55" s="16"/>
      <c r="I55" s="66"/>
      <c r="J55" s="66"/>
      <c r="K55" s="16"/>
      <c r="L55" s="80"/>
      <c r="M55" s="81">
        <v>8635.6923828125</v>
      </c>
      <c r="N55" s="81">
        <v>3704.3798828125</v>
      </c>
      <c r="O55" s="76"/>
      <c r="P55" s="82"/>
      <c r="Q55" s="82"/>
      <c r="R55" s="50">
        <v>1</v>
      </c>
      <c r="S55" s="50">
        <v>0</v>
      </c>
      <c r="T55" s="50">
        <v>1</v>
      </c>
      <c r="U55" s="51">
        <v>0</v>
      </c>
      <c r="V55" s="51">
        <v>3.8019999999999998E-3</v>
      </c>
      <c r="W55" s="51">
        <v>3.4459999999999998E-3</v>
      </c>
      <c r="X55" s="51">
        <v>0.41547400000000001</v>
      </c>
      <c r="Y55" s="51">
        <v>0</v>
      </c>
      <c r="Z55" s="51">
        <v>0</v>
      </c>
      <c r="AA55" s="78">
        <v>54</v>
      </c>
      <c r="AB55" s="78"/>
      <c r="AC55" s="83"/>
    </row>
    <row r="56" spans="1:29" x14ac:dyDescent="0.3">
      <c r="A56" s="14" t="s">
        <v>230</v>
      </c>
      <c r="B56" s="15"/>
      <c r="C56" s="15"/>
      <c r="D56" s="79"/>
      <c r="E56" s="77"/>
      <c r="F56" s="15"/>
      <c r="G56" s="15"/>
      <c r="H56" s="16"/>
      <c r="I56" s="66"/>
      <c r="J56" s="66"/>
      <c r="K56" s="16"/>
      <c r="L56" s="80"/>
      <c r="M56" s="81">
        <v>7415.10986328125</v>
      </c>
      <c r="N56" s="81">
        <v>8672.17578125</v>
      </c>
      <c r="O56" s="76"/>
      <c r="P56" s="82"/>
      <c r="Q56" s="82"/>
      <c r="R56" s="50">
        <v>1</v>
      </c>
      <c r="S56" s="50">
        <v>0</v>
      </c>
      <c r="T56" s="50">
        <v>1</v>
      </c>
      <c r="U56" s="51">
        <v>0</v>
      </c>
      <c r="V56" s="51">
        <v>3.509E-3</v>
      </c>
      <c r="W56" s="51">
        <v>3.2629999999999998E-3</v>
      </c>
      <c r="X56" s="51">
        <v>0.45674100000000001</v>
      </c>
      <c r="Y56" s="51">
        <v>0</v>
      </c>
      <c r="Z56" s="51">
        <v>0</v>
      </c>
      <c r="AA56" s="78">
        <v>56</v>
      </c>
      <c r="AB56" s="78"/>
      <c r="AC56" s="83"/>
    </row>
    <row r="57" spans="1:29" x14ac:dyDescent="0.3">
      <c r="A57" s="14" t="s">
        <v>228</v>
      </c>
      <c r="B57" s="15"/>
      <c r="C57" s="15"/>
      <c r="D57" s="79"/>
      <c r="E57" s="77"/>
      <c r="F57" s="15"/>
      <c r="G57" s="15"/>
      <c r="H57" s="16"/>
      <c r="I57" s="66"/>
      <c r="J57" s="66"/>
      <c r="K57" s="16"/>
      <c r="L57" s="80"/>
      <c r="M57" s="81">
        <v>9389.916015625</v>
      </c>
      <c r="N57" s="81">
        <v>7649.36572265625</v>
      </c>
      <c r="O57" s="76"/>
      <c r="P57" s="82"/>
      <c r="Q57" s="82"/>
      <c r="R57" s="50">
        <v>1</v>
      </c>
      <c r="S57" s="50">
        <v>1</v>
      </c>
      <c r="T57" s="50">
        <v>0</v>
      </c>
      <c r="U57" s="51">
        <v>0</v>
      </c>
      <c r="V57" s="51">
        <v>3.333E-3</v>
      </c>
      <c r="W57" s="51">
        <v>2.3609999999999998E-3</v>
      </c>
      <c r="X57" s="51">
        <v>0.441639</v>
      </c>
      <c r="Y57" s="51">
        <v>0</v>
      </c>
      <c r="Z57" s="51">
        <v>0</v>
      </c>
      <c r="AA57" s="78">
        <v>58</v>
      </c>
      <c r="AB57" s="78"/>
      <c r="AC57" s="83"/>
    </row>
    <row r="58" spans="1:29" x14ac:dyDescent="0.3">
      <c r="A58" s="14" t="s">
        <v>196</v>
      </c>
      <c r="B58" s="15"/>
      <c r="C58" s="15"/>
      <c r="D58" s="79"/>
      <c r="E58" s="77"/>
      <c r="F58" s="15"/>
      <c r="G58" s="15"/>
      <c r="H58" s="16"/>
      <c r="I58" s="66"/>
      <c r="J58" s="66"/>
      <c r="K58" s="16"/>
      <c r="L58" s="80"/>
      <c r="M58" s="81">
        <v>2709.41943359375</v>
      </c>
      <c r="N58" s="81">
        <v>3387.781005859375</v>
      </c>
      <c r="O58" s="76"/>
      <c r="P58" s="82"/>
      <c r="Q58" s="82"/>
      <c r="R58" s="50">
        <v>4</v>
      </c>
      <c r="S58" s="50">
        <v>1</v>
      </c>
      <c r="T58" s="50">
        <v>2</v>
      </c>
      <c r="U58" s="51">
        <v>22.833333</v>
      </c>
      <c r="V58" s="51">
        <v>3.846E-3</v>
      </c>
      <c r="W58" s="51">
        <v>2.202E-3</v>
      </c>
      <c r="X58" s="51">
        <v>0.77874500000000002</v>
      </c>
      <c r="Y58" s="51">
        <v>0</v>
      </c>
      <c r="Z58" s="51">
        <v>0.5</v>
      </c>
      <c r="AA58" s="78">
        <v>57</v>
      </c>
      <c r="AB58" s="78"/>
      <c r="AC58" s="83"/>
    </row>
    <row r="59" spans="1:29" x14ac:dyDescent="0.3">
      <c r="A59" s="14" t="s">
        <v>193</v>
      </c>
      <c r="B59" s="15"/>
      <c r="C59" s="15"/>
      <c r="D59" s="79"/>
      <c r="E59" s="77"/>
      <c r="F59" s="15"/>
      <c r="G59" s="15"/>
      <c r="H59" s="16"/>
      <c r="I59" s="66"/>
      <c r="J59" s="66"/>
      <c r="K59" s="16"/>
      <c r="L59" s="80"/>
      <c r="M59" s="81">
        <v>9883.623046875</v>
      </c>
      <c r="N59" s="81">
        <v>4881.4501953125</v>
      </c>
      <c r="O59" s="76"/>
      <c r="P59" s="82"/>
      <c r="Q59" s="82"/>
      <c r="R59" s="50">
        <v>1</v>
      </c>
      <c r="S59" s="50">
        <v>0</v>
      </c>
      <c r="T59" s="50">
        <v>1</v>
      </c>
      <c r="U59" s="51">
        <v>0</v>
      </c>
      <c r="V59" s="51">
        <v>3.4129999999999998E-3</v>
      </c>
      <c r="W59" s="51">
        <v>1.884E-3</v>
      </c>
      <c r="X59" s="51">
        <v>0.49576100000000001</v>
      </c>
      <c r="Y59" s="51">
        <v>0</v>
      </c>
      <c r="Z59" s="51">
        <v>0</v>
      </c>
      <c r="AA59" s="78">
        <v>59</v>
      </c>
      <c r="AB59" s="78"/>
      <c r="AC59" s="83"/>
    </row>
    <row r="60" spans="1:29" x14ac:dyDescent="0.3">
      <c r="A60" s="14" t="s">
        <v>175</v>
      </c>
      <c r="B60" s="15"/>
      <c r="C60" s="15"/>
      <c r="D60" s="79"/>
      <c r="E60" s="77"/>
      <c r="F60" s="15"/>
      <c r="G60" s="15"/>
      <c r="H60" s="16"/>
      <c r="I60" s="66"/>
      <c r="J60" s="66"/>
      <c r="K60" s="16"/>
      <c r="L60" s="80"/>
      <c r="M60" s="81">
        <v>3612.666015625</v>
      </c>
      <c r="N60" s="81">
        <v>2268.538330078125</v>
      </c>
      <c r="O60" s="76"/>
      <c r="P60" s="82"/>
      <c r="Q60" s="82"/>
      <c r="R60" s="50">
        <v>1</v>
      </c>
      <c r="S60" s="50">
        <v>1</v>
      </c>
      <c r="T60" s="50">
        <v>0</v>
      </c>
      <c r="U60" s="51">
        <v>0</v>
      </c>
      <c r="V60" s="51">
        <v>3.65E-3</v>
      </c>
      <c r="W60" s="51">
        <v>1.8649999999999999E-3</v>
      </c>
      <c r="X60" s="51">
        <v>0.44023499999999999</v>
      </c>
      <c r="Y60" s="51">
        <v>0</v>
      </c>
      <c r="Z60" s="51">
        <v>0</v>
      </c>
      <c r="AA60" s="78">
        <v>60</v>
      </c>
      <c r="AB60" s="78"/>
      <c r="AC60" s="83"/>
    </row>
    <row r="61" spans="1:29" x14ac:dyDescent="0.3">
      <c r="A61" s="14" t="s">
        <v>178</v>
      </c>
      <c r="B61" s="15"/>
      <c r="C61" s="15"/>
      <c r="D61" s="79"/>
      <c r="E61" s="77"/>
      <c r="F61" s="15"/>
      <c r="G61" s="15"/>
      <c r="H61" s="16"/>
      <c r="I61" s="66"/>
      <c r="J61" s="66"/>
      <c r="K61" s="16"/>
      <c r="L61" s="80"/>
      <c r="M61" s="81">
        <v>4121.7333984375</v>
      </c>
      <c r="N61" s="81">
        <v>2063.410888671875</v>
      </c>
      <c r="O61" s="76"/>
      <c r="P61" s="82"/>
      <c r="Q61" s="82"/>
      <c r="R61" s="50">
        <v>1</v>
      </c>
      <c r="S61" s="50">
        <v>1</v>
      </c>
      <c r="T61" s="50">
        <v>0</v>
      </c>
      <c r="U61" s="51">
        <v>0</v>
      </c>
      <c r="V61" s="51">
        <v>3.65E-3</v>
      </c>
      <c r="W61" s="51">
        <v>1.8649999999999999E-3</v>
      </c>
      <c r="X61" s="51">
        <v>0.44023499999999999</v>
      </c>
      <c r="Y61" s="51">
        <v>0</v>
      </c>
      <c r="Z61" s="51">
        <v>0</v>
      </c>
      <c r="AA61" s="78">
        <v>61</v>
      </c>
      <c r="AB61" s="78"/>
      <c r="AC61" s="83"/>
    </row>
    <row r="62" spans="1:29" x14ac:dyDescent="0.3">
      <c r="A62" s="14" t="s">
        <v>200</v>
      </c>
      <c r="B62" s="15"/>
      <c r="C62" s="15"/>
      <c r="D62" s="79"/>
      <c r="E62" s="77"/>
      <c r="F62" s="15"/>
      <c r="G62" s="15"/>
      <c r="H62" s="16"/>
      <c r="I62" s="66"/>
      <c r="J62" s="66"/>
      <c r="K62" s="16"/>
      <c r="L62" s="80"/>
      <c r="M62" s="81">
        <v>3634.260009765625</v>
      </c>
      <c r="N62" s="81">
        <v>8937.23828125</v>
      </c>
      <c r="O62" s="76"/>
      <c r="P62" s="82"/>
      <c r="Q62" s="82"/>
      <c r="R62" s="50">
        <v>2</v>
      </c>
      <c r="S62" s="50">
        <v>1</v>
      </c>
      <c r="T62" s="50">
        <v>1</v>
      </c>
      <c r="U62" s="51">
        <v>126</v>
      </c>
      <c r="V62" s="51">
        <v>3.4129999999999998E-3</v>
      </c>
      <c r="W62" s="51">
        <v>1.6819999999999999E-3</v>
      </c>
      <c r="X62" s="51">
        <v>0.98091399999999995</v>
      </c>
      <c r="Y62" s="51">
        <v>0</v>
      </c>
      <c r="Z62" s="51">
        <v>0</v>
      </c>
      <c r="AA62" s="78">
        <v>62</v>
      </c>
      <c r="AB62" s="78"/>
      <c r="AC62" s="83"/>
    </row>
    <row r="63" spans="1:29" x14ac:dyDescent="0.3">
      <c r="A63" s="84" t="s">
        <v>249</v>
      </c>
      <c r="B63" s="98"/>
      <c r="C63" s="98"/>
      <c r="D63" s="99"/>
      <c r="E63" s="100"/>
      <c r="F63" s="98"/>
      <c r="G63" s="98"/>
      <c r="H63" s="101"/>
      <c r="I63" s="102"/>
      <c r="J63" s="102"/>
      <c r="K63" s="101"/>
      <c r="L63" s="103"/>
      <c r="M63" s="104">
        <v>2440.88037109375</v>
      </c>
      <c r="N63" s="104">
        <v>2775.715576171875</v>
      </c>
      <c r="O63" s="105"/>
      <c r="P63" s="106"/>
      <c r="Q63" s="106"/>
      <c r="R63" s="50">
        <v>1</v>
      </c>
      <c r="S63" s="50">
        <v>1</v>
      </c>
      <c r="T63" s="50">
        <v>0</v>
      </c>
      <c r="U63" s="51">
        <v>0</v>
      </c>
      <c r="V63" s="51">
        <v>3.4480000000000001E-3</v>
      </c>
      <c r="W63" s="51">
        <v>1.5510000000000001E-3</v>
      </c>
      <c r="X63" s="51">
        <v>0.43592599999999998</v>
      </c>
      <c r="Y63" s="51">
        <v>0</v>
      </c>
      <c r="Z63" s="51">
        <v>0</v>
      </c>
      <c r="AA63" s="107">
        <v>63</v>
      </c>
      <c r="AB63" s="107"/>
      <c r="AC63" s="95"/>
    </row>
    <row r="64" spans="1:29" x14ac:dyDescent="0.3">
      <c r="A64" s="14" t="s">
        <v>189</v>
      </c>
      <c r="B64" s="15"/>
      <c r="C64" s="15"/>
      <c r="D64" s="79"/>
      <c r="E64" s="77"/>
      <c r="F64" s="15"/>
      <c r="G64" s="15"/>
      <c r="H64" s="16"/>
      <c r="I64" s="66"/>
      <c r="J64" s="66"/>
      <c r="K64" s="16"/>
      <c r="L64" s="80"/>
      <c r="M64" s="81">
        <v>6937.10791015625</v>
      </c>
      <c r="N64" s="81">
        <v>1331.7066650390625</v>
      </c>
      <c r="O64" s="76"/>
      <c r="P64" s="82"/>
      <c r="Q64" s="82"/>
      <c r="R64" s="50">
        <v>2</v>
      </c>
      <c r="S64" s="50">
        <v>1</v>
      </c>
      <c r="T64" s="50">
        <v>1</v>
      </c>
      <c r="U64" s="51">
        <v>126</v>
      </c>
      <c r="V64" s="51">
        <v>3.3110000000000001E-3</v>
      </c>
      <c r="W64" s="51">
        <v>9.7400000000000004E-4</v>
      </c>
      <c r="X64" s="51">
        <v>0.92847900000000005</v>
      </c>
      <c r="Y64" s="51">
        <v>0</v>
      </c>
      <c r="Z64" s="51">
        <v>0</v>
      </c>
      <c r="AA64" s="78">
        <v>64</v>
      </c>
      <c r="AB64" s="78"/>
      <c r="AC64" s="83"/>
    </row>
    <row r="65" spans="1:29" x14ac:dyDescent="0.3">
      <c r="A65" s="14" t="s">
        <v>220</v>
      </c>
      <c r="B65" s="15"/>
      <c r="C65" s="15"/>
      <c r="D65" s="79"/>
      <c r="E65" s="77"/>
      <c r="F65" s="15"/>
      <c r="G65" s="15"/>
      <c r="H65" s="16"/>
      <c r="I65" s="66"/>
      <c r="J65" s="66"/>
      <c r="K65" s="16"/>
      <c r="L65" s="80"/>
      <c r="M65" s="81">
        <v>126.54965972900391</v>
      </c>
      <c r="N65" s="81">
        <v>6011.599609375</v>
      </c>
      <c r="O65" s="76"/>
      <c r="P65" s="82"/>
      <c r="Q65" s="82"/>
      <c r="R65" s="50">
        <v>1</v>
      </c>
      <c r="S65" s="50">
        <v>1</v>
      </c>
      <c r="T65" s="50">
        <v>0</v>
      </c>
      <c r="U65" s="51">
        <v>0</v>
      </c>
      <c r="V65" s="51">
        <v>2.9329999999999998E-3</v>
      </c>
      <c r="W65" s="51">
        <v>8.8699999999999998E-4</v>
      </c>
      <c r="X65" s="51">
        <v>0.45957300000000001</v>
      </c>
      <c r="Y65" s="51">
        <v>0</v>
      </c>
      <c r="Z65" s="51">
        <v>0</v>
      </c>
      <c r="AA65" s="78">
        <v>65</v>
      </c>
      <c r="AB65" s="78"/>
      <c r="AC65" s="83"/>
    </row>
    <row r="66" spans="1:29" x14ac:dyDescent="0.3">
      <c r="A66" s="14" t="s">
        <v>199</v>
      </c>
      <c r="B66" s="15"/>
      <c r="C66" s="15"/>
      <c r="D66" s="79"/>
      <c r="E66" s="77"/>
      <c r="F66" s="15"/>
      <c r="G66" s="15"/>
      <c r="H66" s="16"/>
      <c r="I66" s="66"/>
      <c r="J66" s="66"/>
      <c r="K66" s="16"/>
      <c r="L66" s="80"/>
      <c r="M66" s="81">
        <v>2878.640380859375</v>
      </c>
      <c r="N66" s="81">
        <v>9835.7392578125</v>
      </c>
      <c r="O66" s="76"/>
      <c r="P66" s="82"/>
      <c r="Q66" s="82"/>
      <c r="R66" s="50">
        <v>1</v>
      </c>
      <c r="S66" s="50">
        <v>0</v>
      </c>
      <c r="T66" s="50">
        <v>1</v>
      </c>
      <c r="U66" s="51">
        <v>0</v>
      </c>
      <c r="V66" s="51">
        <v>2.8089999999999999E-3</v>
      </c>
      <c r="W66" s="51">
        <v>3.2499999999999999E-4</v>
      </c>
      <c r="X66" s="51">
        <v>0.56688799999999995</v>
      </c>
      <c r="Y66" s="51">
        <v>0</v>
      </c>
      <c r="Z66" s="51">
        <v>0</v>
      </c>
      <c r="AA66" s="78">
        <v>66</v>
      </c>
      <c r="AB66" s="78"/>
      <c r="AC66" s="83"/>
    </row>
    <row r="67" spans="1:29" x14ac:dyDescent="0.3">
      <c r="A67" s="14" t="s">
        <v>208</v>
      </c>
      <c r="B67" s="15"/>
      <c r="C67" s="15"/>
      <c r="D67" s="79"/>
      <c r="E67" s="77"/>
      <c r="F67" s="15"/>
      <c r="G67" s="15"/>
      <c r="H67" s="16"/>
      <c r="I67" s="66"/>
      <c r="J67" s="66"/>
      <c r="K67" s="16"/>
      <c r="L67" s="80"/>
      <c r="M67" s="81">
        <v>7591.80615234375</v>
      </c>
      <c r="N67" s="81">
        <v>396.35675048828125</v>
      </c>
      <c r="O67" s="76"/>
      <c r="P67" s="82"/>
      <c r="Q67" s="82"/>
      <c r="R67" s="50">
        <v>1</v>
      </c>
      <c r="S67" s="50">
        <v>1</v>
      </c>
      <c r="T67" s="50">
        <v>0</v>
      </c>
      <c r="U67" s="51">
        <v>0</v>
      </c>
      <c r="V67" s="51">
        <v>2.7399999999999998E-3</v>
      </c>
      <c r="W67" s="51">
        <v>1.8799999999999999E-4</v>
      </c>
      <c r="X67" s="51">
        <v>0.54460299999999995</v>
      </c>
      <c r="Y67" s="51">
        <v>0</v>
      </c>
      <c r="Z67" s="51">
        <v>0</v>
      </c>
      <c r="AA67" s="78">
        <v>67</v>
      </c>
      <c r="AB67" s="78"/>
      <c r="AC67" s="83"/>
    </row>
    <row r="68" spans="1:29" x14ac:dyDescent="0.3">
      <c r="A68" s="14" t="s">
        <v>180</v>
      </c>
      <c r="B68" s="15"/>
      <c r="C68" s="15"/>
      <c r="D68" s="79"/>
      <c r="E68" s="77"/>
      <c r="F68" s="15"/>
      <c r="G68" s="15"/>
      <c r="H68" s="16"/>
      <c r="I68" s="66"/>
      <c r="J68" s="66"/>
      <c r="K68" s="16"/>
      <c r="L68" s="80"/>
      <c r="M68" s="81">
        <v>921.6829833984375</v>
      </c>
      <c r="N68" s="81">
        <v>180.31500244140625</v>
      </c>
      <c r="O68" s="76"/>
      <c r="P68" s="82"/>
      <c r="Q68" s="82"/>
      <c r="R68" s="50">
        <v>1</v>
      </c>
      <c r="S68" s="50">
        <v>0</v>
      </c>
      <c r="T68" s="50">
        <v>1</v>
      </c>
      <c r="U68" s="51">
        <v>0</v>
      </c>
      <c r="V68" s="51">
        <v>0.33333299999999999</v>
      </c>
      <c r="W68" s="51">
        <v>0</v>
      </c>
      <c r="X68" s="51">
        <v>0.77026499999999998</v>
      </c>
      <c r="Y68" s="51">
        <v>0</v>
      </c>
      <c r="Z68" s="51">
        <v>0</v>
      </c>
      <c r="AA68" s="78">
        <v>68</v>
      </c>
      <c r="AB68" s="78"/>
      <c r="AC68" s="83"/>
    </row>
    <row r="69" spans="1:29" x14ac:dyDescent="0.3">
      <c r="A69" s="14" t="s">
        <v>181</v>
      </c>
      <c r="B69" s="15"/>
      <c r="C69" s="15"/>
      <c r="D69" s="79"/>
      <c r="E69" s="77"/>
      <c r="F69" s="15"/>
      <c r="G69" s="15"/>
      <c r="H69" s="16"/>
      <c r="I69" s="66"/>
      <c r="J69" s="66"/>
      <c r="K69" s="16"/>
      <c r="L69" s="80"/>
      <c r="M69" s="81">
        <v>863.89080810546875</v>
      </c>
      <c r="N69" s="81">
        <v>230.143310546875</v>
      </c>
      <c r="O69" s="76"/>
      <c r="P69" s="82"/>
      <c r="Q69" s="82"/>
      <c r="R69" s="50">
        <v>2</v>
      </c>
      <c r="S69" s="50">
        <v>1</v>
      </c>
      <c r="T69" s="50">
        <v>1</v>
      </c>
      <c r="U69" s="51">
        <v>2</v>
      </c>
      <c r="V69" s="51">
        <v>0.5</v>
      </c>
      <c r="W69" s="51">
        <v>0</v>
      </c>
      <c r="X69" s="51">
        <v>1.459449</v>
      </c>
      <c r="Y69" s="51">
        <v>0</v>
      </c>
      <c r="Z69" s="51">
        <v>0</v>
      </c>
      <c r="AA69" s="78">
        <v>69</v>
      </c>
      <c r="AB69" s="78"/>
      <c r="AC69" s="83"/>
    </row>
    <row r="70" spans="1:29" x14ac:dyDescent="0.3">
      <c r="A70" s="14" t="s">
        <v>182</v>
      </c>
      <c r="B70" s="15"/>
      <c r="C70" s="15"/>
      <c r="D70" s="79"/>
      <c r="E70" s="77"/>
      <c r="F70" s="15"/>
      <c r="G70" s="15"/>
      <c r="H70" s="16"/>
      <c r="I70" s="66"/>
      <c r="J70" s="66"/>
      <c r="K70" s="16"/>
      <c r="L70" s="80"/>
      <c r="M70" s="81">
        <v>809.9622802734375</v>
      </c>
      <c r="N70" s="81">
        <v>324.44473266601562</v>
      </c>
      <c r="O70" s="76"/>
      <c r="P70" s="82"/>
      <c r="Q70" s="82"/>
      <c r="R70" s="50">
        <v>1</v>
      </c>
      <c r="S70" s="50">
        <v>1</v>
      </c>
      <c r="T70" s="50">
        <v>0</v>
      </c>
      <c r="U70" s="51">
        <v>0</v>
      </c>
      <c r="V70" s="51">
        <v>0.33333299999999999</v>
      </c>
      <c r="W70" s="51">
        <v>0</v>
      </c>
      <c r="X70" s="51">
        <v>0.77026499999999998</v>
      </c>
      <c r="Y70" s="51">
        <v>0</v>
      </c>
      <c r="Z70" s="51">
        <v>0</v>
      </c>
      <c r="AA70" s="78">
        <v>70</v>
      </c>
      <c r="AB70" s="78"/>
      <c r="AC70" s="83"/>
    </row>
    <row r="71" spans="1:29" x14ac:dyDescent="0.3">
      <c r="A71" s="14" t="s">
        <v>191</v>
      </c>
      <c r="B71" s="15"/>
      <c r="C71" s="15"/>
      <c r="D71" s="79"/>
      <c r="E71" s="77"/>
      <c r="F71" s="15"/>
      <c r="G71" s="15"/>
      <c r="H71" s="16"/>
      <c r="I71" s="66"/>
      <c r="J71" s="66"/>
      <c r="K71" s="16"/>
      <c r="L71" s="80"/>
      <c r="M71" s="81">
        <v>698.24920654296875</v>
      </c>
      <c r="N71" s="81">
        <v>180.242431640625</v>
      </c>
      <c r="O71" s="76"/>
      <c r="P71" s="82"/>
      <c r="Q71" s="82"/>
      <c r="R71" s="50">
        <v>1</v>
      </c>
      <c r="S71" s="50">
        <v>0</v>
      </c>
      <c r="T71" s="50">
        <v>1</v>
      </c>
      <c r="U71" s="51">
        <v>0</v>
      </c>
      <c r="V71" s="51">
        <v>1</v>
      </c>
      <c r="W71" s="51">
        <v>0</v>
      </c>
      <c r="X71" s="51">
        <v>0.99999300000000002</v>
      </c>
      <c r="Y71" s="51">
        <v>0</v>
      </c>
      <c r="Z71" s="51">
        <v>0</v>
      </c>
      <c r="AA71" s="78">
        <v>71</v>
      </c>
      <c r="AB71" s="78"/>
      <c r="AC71" s="83"/>
    </row>
    <row r="72" spans="1:29" x14ac:dyDescent="0.3">
      <c r="A72" s="14" t="s">
        <v>192</v>
      </c>
      <c r="B72" s="15"/>
      <c r="C72" s="15"/>
      <c r="D72" s="79"/>
      <c r="E72" s="77"/>
      <c r="F72" s="15"/>
      <c r="G72" s="15"/>
      <c r="H72" s="16"/>
      <c r="I72" s="66"/>
      <c r="J72" s="66"/>
      <c r="K72" s="16"/>
      <c r="L72" s="80"/>
      <c r="M72" s="81">
        <v>586.52850341796875</v>
      </c>
      <c r="N72" s="81">
        <v>324.37216186523437</v>
      </c>
      <c r="O72" s="76"/>
      <c r="P72" s="82"/>
      <c r="Q72" s="82"/>
      <c r="R72" s="50">
        <v>1</v>
      </c>
      <c r="S72" s="50">
        <v>1</v>
      </c>
      <c r="T72" s="50">
        <v>0</v>
      </c>
      <c r="U72" s="51">
        <v>0</v>
      </c>
      <c r="V72" s="51">
        <v>1</v>
      </c>
      <c r="W72" s="51">
        <v>0</v>
      </c>
      <c r="X72" s="51">
        <v>0.99999300000000002</v>
      </c>
      <c r="Y72" s="51">
        <v>0</v>
      </c>
      <c r="Z72" s="51">
        <v>0</v>
      </c>
      <c r="AA72" s="78">
        <v>72</v>
      </c>
      <c r="AB72" s="78"/>
      <c r="AC72" s="83"/>
    </row>
    <row r="73" spans="1:29" x14ac:dyDescent="0.3">
      <c r="A73" s="14" t="s">
        <v>221</v>
      </c>
      <c r="B73" s="15"/>
      <c r="C73" s="15"/>
      <c r="D73" s="79"/>
      <c r="E73" s="77"/>
      <c r="F73" s="15"/>
      <c r="G73" s="15"/>
      <c r="H73" s="16"/>
      <c r="I73" s="66"/>
      <c r="J73" s="66"/>
      <c r="K73" s="16"/>
      <c r="L73" s="80"/>
      <c r="M73" s="81">
        <v>474.80975341796875</v>
      </c>
      <c r="N73" s="81">
        <v>180.242431640625</v>
      </c>
      <c r="O73" s="76"/>
      <c r="P73" s="82"/>
      <c r="Q73" s="82"/>
      <c r="R73" s="50">
        <v>1</v>
      </c>
      <c r="S73" s="50">
        <v>0</v>
      </c>
      <c r="T73" s="50">
        <v>1</v>
      </c>
      <c r="U73" s="51">
        <v>0</v>
      </c>
      <c r="V73" s="51">
        <v>1</v>
      </c>
      <c r="W73" s="51">
        <v>0</v>
      </c>
      <c r="X73" s="51">
        <v>0.99999300000000002</v>
      </c>
      <c r="Y73" s="51">
        <v>0</v>
      </c>
      <c r="Z73" s="51">
        <v>0</v>
      </c>
      <c r="AA73" s="78">
        <v>73</v>
      </c>
      <c r="AB73" s="78"/>
      <c r="AC73" s="83"/>
    </row>
    <row r="74" spans="1:29" x14ac:dyDescent="0.3">
      <c r="A74" s="14" t="s">
        <v>222</v>
      </c>
      <c r="B74" s="15"/>
      <c r="C74" s="15"/>
      <c r="D74" s="79"/>
      <c r="E74" s="77"/>
      <c r="F74" s="15"/>
      <c r="G74" s="15"/>
      <c r="H74" s="16"/>
      <c r="I74" s="66"/>
      <c r="J74" s="66"/>
      <c r="K74" s="16"/>
      <c r="L74" s="80"/>
      <c r="M74" s="81">
        <v>363.089111328125</v>
      </c>
      <c r="N74" s="81">
        <v>324.37216186523437</v>
      </c>
      <c r="O74" s="76"/>
      <c r="P74" s="82"/>
      <c r="Q74" s="82"/>
      <c r="R74" s="50">
        <v>1</v>
      </c>
      <c r="S74" s="50">
        <v>1</v>
      </c>
      <c r="T74" s="50">
        <v>0</v>
      </c>
      <c r="U74" s="51">
        <v>0</v>
      </c>
      <c r="V74" s="51">
        <v>1</v>
      </c>
      <c r="W74" s="51">
        <v>0</v>
      </c>
      <c r="X74" s="51">
        <v>0.99999300000000002</v>
      </c>
      <c r="Y74" s="51">
        <v>0</v>
      </c>
      <c r="Z74" s="51">
        <v>0</v>
      </c>
      <c r="AA74" s="78">
        <v>74</v>
      </c>
      <c r="AB74" s="78"/>
      <c r="AC74" s="83"/>
    </row>
    <row r="75" spans="1:29" x14ac:dyDescent="0.3">
      <c r="A75" s="14" t="s">
        <v>231</v>
      </c>
      <c r="B75" s="15"/>
      <c r="C75" s="15"/>
      <c r="D75" s="79"/>
      <c r="E75" s="77"/>
      <c r="F75" s="15"/>
      <c r="G75" s="15"/>
      <c r="H75" s="16"/>
      <c r="I75" s="66"/>
      <c r="J75" s="66"/>
      <c r="K75" s="16"/>
      <c r="L75" s="80"/>
      <c r="M75" s="81">
        <v>251.36921691894531</v>
      </c>
      <c r="N75" s="81">
        <v>180.31390380859375</v>
      </c>
      <c r="O75" s="76"/>
      <c r="P75" s="82"/>
      <c r="Q75" s="82"/>
      <c r="R75" s="50">
        <v>1</v>
      </c>
      <c r="S75" s="50">
        <v>0</v>
      </c>
      <c r="T75" s="50">
        <v>1</v>
      </c>
      <c r="U75" s="51">
        <v>0</v>
      </c>
      <c r="V75" s="51">
        <v>1</v>
      </c>
      <c r="W75" s="51">
        <v>0</v>
      </c>
      <c r="X75" s="51">
        <v>0.99999300000000002</v>
      </c>
      <c r="Y75" s="51">
        <v>0</v>
      </c>
      <c r="Z75" s="51">
        <v>0</v>
      </c>
      <c r="AA75" s="78">
        <v>75</v>
      </c>
      <c r="AB75" s="78"/>
      <c r="AC75" s="83"/>
    </row>
    <row r="76" spans="1:29" x14ac:dyDescent="0.3">
      <c r="A76" s="14" t="s">
        <v>232</v>
      </c>
      <c r="B76" s="15"/>
      <c r="C76" s="15"/>
      <c r="D76" s="79"/>
      <c r="E76" s="77"/>
      <c r="F76" s="15"/>
      <c r="G76" s="15"/>
      <c r="H76" s="16"/>
      <c r="I76" s="66"/>
      <c r="J76" s="66"/>
      <c r="K76" s="16"/>
      <c r="L76" s="80"/>
      <c r="M76" s="81">
        <v>139.6485595703125</v>
      </c>
      <c r="N76" s="81">
        <v>324.44363403320312</v>
      </c>
      <c r="O76" s="76"/>
      <c r="P76" s="82"/>
      <c r="Q76" s="82"/>
      <c r="R76" s="50">
        <v>1</v>
      </c>
      <c r="S76" s="50">
        <v>1</v>
      </c>
      <c r="T76" s="50">
        <v>0</v>
      </c>
      <c r="U76" s="51">
        <v>0</v>
      </c>
      <c r="V76" s="51">
        <v>1</v>
      </c>
      <c r="W76" s="51">
        <v>0</v>
      </c>
      <c r="X76" s="51">
        <v>0.99999300000000002</v>
      </c>
      <c r="Y76" s="51">
        <v>0</v>
      </c>
      <c r="Z76" s="51">
        <v>0</v>
      </c>
      <c r="AA76" s="78">
        <v>76</v>
      </c>
      <c r="AB76" s="78"/>
      <c r="AC76" s="83"/>
    </row>
    <row r="77" spans="1:29" x14ac:dyDescent="0.3">
      <c r="A77" s="14" t="s">
        <v>233</v>
      </c>
      <c r="B77" s="15"/>
      <c r="C77" s="15"/>
      <c r="D77" s="79"/>
      <c r="E77" s="77"/>
      <c r="F77" s="15"/>
      <c r="G77" s="15"/>
      <c r="H77" s="16"/>
      <c r="I77" s="66"/>
      <c r="J77" s="66"/>
      <c r="K77" s="16"/>
      <c r="L77" s="80"/>
      <c r="M77" s="81">
        <v>195.51116943359375</v>
      </c>
      <c r="N77" s="81">
        <v>252.22702026367187</v>
      </c>
      <c r="O77" s="76"/>
      <c r="P77" s="82"/>
      <c r="Q77" s="82"/>
      <c r="R77" s="50">
        <v>2</v>
      </c>
      <c r="S77" s="50"/>
      <c r="T77" s="50"/>
      <c r="U77" s="51"/>
      <c r="V77" s="51"/>
      <c r="W77" s="51"/>
      <c r="X77" s="51"/>
      <c r="Y77" s="51"/>
      <c r="Z77" s="51"/>
      <c r="AA77" s="78">
        <v>77</v>
      </c>
      <c r="AB77" s="78"/>
      <c r="AC77" s="83"/>
    </row>
    <row r="78" spans="1:29" x14ac:dyDescent="0.3">
      <c r="A78" s="14" t="s">
        <v>234</v>
      </c>
      <c r="B78" s="85"/>
      <c r="C78" s="85"/>
      <c r="D78" s="86"/>
      <c r="E78" s="87"/>
      <c r="F78" s="85"/>
      <c r="G78" s="85"/>
      <c r="H78" s="88"/>
      <c r="I78" s="89"/>
      <c r="J78" s="89"/>
      <c r="K78" s="88"/>
      <c r="L78" s="90"/>
      <c r="M78" s="91">
        <v>418.9525146484375</v>
      </c>
      <c r="N78" s="91">
        <v>252.22702026367187</v>
      </c>
      <c r="O78" s="92"/>
      <c r="P78" s="93"/>
      <c r="Q78" s="93"/>
      <c r="R78" s="50">
        <v>2</v>
      </c>
      <c r="S78" s="50"/>
      <c r="T78" s="50"/>
      <c r="U78" s="51"/>
      <c r="V78" s="51"/>
      <c r="W78" s="51"/>
      <c r="X78" s="51"/>
      <c r="Y78" s="51"/>
      <c r="Z78" s="51"/>
      <c r="AA78" s="94">
        <v>78</v>
      </c>
      <c r="AB78" s="94"/>
      <c r="AC78" s="8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8"/>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8"/>
    <dataValidation allowBlank="1" showInputMessage="1" errorTitle="Invalid Vertex Image Key" promptTitle="Vertex Tooltip" prompt="Enter optional text that will pop up when the mouse is hovered over the vertex." sqref="K3:K7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8"/>
    <dataValidation allowBlank="1" showInputMessage="1" promptTitle="Vertex Label Fill Color" prompt="To select an optional fill color for the Label shape, right-click and select Select Color on the right-click menu." sqref="I3:I78"/>
    <dataValidation allowBlank="1" showInputMessage="1" errorTitle="Invalid Vertex Image Key" promptTitle="Vertex Image File" prompt="Enter the path to an image file.  Hover over the column header for examples." sqref="F3:F78"/>
    <dataValidation allowBlank="1" showInputMessage="1" promptTitle="Vertex Color" prompt="To select an optional vertex color, right-click and select Select Color on the right-click menu." sqref="B3:B78"/>
    <dataValidation allowBlank="1" showInputMessage="1" errorTitle="Invalid Vertex Opacity" error="The optional vertex opacity must be a whole number between 0 and 10." promptTitle="Vertex Opacity" prompt="Enter an optional vertex opacity between 0 (transparent) and 100 (opaque)." sqref="E3:E78"/>
    <dataValidation type="list" allowBlank="1" showInputMessage="1" showErrorMessage="1" errorTitle="Invalid Vertex Shape" error="You have entered an invalid vertex shape.  Try selecting from the drop-down list instead." promptTitle="Vertex Shape" prompt="Select an optional vertex shape." sqref="C3:C7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7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8">
      <formula1>ValidVertexLabelPositions</formula1>
    </dataValidation>
    <dataValidation allowBlank="1" showInputMessage="1" showErrorMessage="1" promptTitle="Vertex Name" prompt="Enter the name of the vertex." sqref="A3:A78"/>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1"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AF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44140625" bestFit="1" customWidth="1"/>
    <col min="26" max="26" width="15.77734375" bestFit="1" customWidth="1"/>
    <col min="27" max="27" width="10.88671875" bestFit="1" customWidth="1"/>
    <col min="28" max="28" width="13.88671875" bestFit="1" customWidth="1"/>
    <col min="29" max="29" width="14.109375" bestFit="1" customWidth="1"/>
    <col min="30" max="30" width="12.109375" bestFit="1" customWidth="1"/>
    <col min="31" max="31" width="14.5546875" bestFit="1" customWidth="1"/>
    <col min="32" max="32" width="10.77734375" bestFit="1" customWidth="1"/>
  </cols>
  <sheetData>
    <row r="1" spans="1:32" x14ac:dyDescent="0.3">
      <c r="B1" s="67" t="s">
        <v>39</v>
      </c>
      <c r="C1" s="68"/>
      <c r="D1" s="68"/>
      <c r="E1" s="69"/>
      <c r="F1" s="66" t="s">
        <v>43</v>
      </c>
      <c r="G1" s="70" t="s">
        <v>44</v>
      </c>
      <c r="H1" s="71"/>
      <c r="I1" s="72" t="s">
        <v>40</v>
      </c>
      <c r="J1" s="73"/>
      <c r="K1" s="74" t="s">
        <v>42</v>
      </c>
      <c r="L1" s="75"/>
      <c r="M1" s="75"/>
      <c r="N1" s="75"/>
      <c r="O1" s="75"/>
      <c r="P1" s="75"/>
      <c r="Q1" s="75"/>
      <c r="R1" s="75"/>
      <c r="S1" s="75"/>
      <c r="T1" s="75"/>
      <c r="U1" s="75"/>
      <c r="V1" s="75"/>
      <c r="W1" s="75"/>
      <c r="X1" s="75"/>
    </row>
    <row r="2" spans="1:32"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259</v>
      </c>
      <c r="Z2" s="13" t="s">
        <v>260</v>
      </c>
      <c r="AA2" s="13" t="s">
        <v>262</v>
      </c>
      <c r="AB2" s="13" t="s">
        <v>264</v>
      </c>
      <c r="AC2" s="13" t="s">
        <v>266</v>
      </c>
      <c r="AD2" s="13" t="s">
        <v>268</v>
      </c>
      <c r="AE2" s="13" t="s">
        <v>270</v>
      </c>
      <c r="AF2" s="13" t="s">
        <v>272</v>
      </c>
    </row>
    <row r="3" spans="1:32" x14ac:dyDescent="0.3">
      <c r="A3" s="14"/>
      <c r="B3" s="15"/>
      <c r="C3" s="15"/>
      <c r="D3" s="15"/>
      <c r="E3" s="15"/>
      <c r="F3" s="16"/>
      <c r="G3" s="76"/>
      <c r="H3" s="76"/>
      <c r="I3" s="63"/>
      <c r="J3" s="63"/>
      <c r="K3" s="47"/>
      <c r="L3" s="47"/>
      <c r="M3" s="47"/>
      <c r="N3" s="47"/>
      <c r="O3" s="47"/>
      <c r="P3" s="47"/>
      <c r="Q3" s="47"/>
      <c r="R3" s="47"/>
      <c r="S3" s="47"/>
      <c r="T3" s="47"/>
      <c r="U3" s="47"/>
      <c r="V3" s="47"/>
      <c r="W3" s="48"/>
      <c r="X3" s="48"/>
      <c r="Y3" s="96"/>
      <c r="Z3" s="96"/>
      <c r="AA3" s="96"/>
      <c r="AB3" s="96"/>
      <c r="AC3" s="96"/>
      <c r="AD3" s="96"/>
      <c r="AE3" s="96"/>
      <c r="AF3" s="96"/>
    </row>
    <row r="10" spans="1:32"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6" t="s">
        <v>86</v>
      </c>
      <c r="G1" s="37" t="s">
        <v>87</v>
      </c>
      <c r="H1" s="36" t="s">
        <v>92</v>
      </c>
      <c r="I1" s="37" t="s">
        <v>93</v>
      </c>
      <c r="J1" s="36" t="s">
        <v>98</v>
      </c>
      <c r="K1" s="37" t="s">
        <v>99</v>
      </c>
      <c r="L1" s="36" t="s">
        <v>104</v>
      </c>
      <c r="M1" s="37" t="s">
        <v>105</v>
      </c>
      <c r="N1" s="36" t="s">
        <v>110</v>
      </c>
      <c r="O1" s="37" t="s">
        <v>111</v>
      </c>
      <c r="P1" s="37" t="s">
        <v>138</v>
      </c>
      <c r="Q1" s="37" t="s">
        <v>139</v>
      </c>
      <c r="R1" s="36" t="s">
        <v>116</v>
      </c>
      <c r="S1" s="36" t="s">
        <v>117</v>
      </c>
      <c r="T1" s="36" t="s">
        <v>122</v>
      </c>
      <c r="U1" s="37" t="s">
        <v>123</v>
      </c>
      <c r="W1" t="s">
        <v>127</v>
      </c>
      <c r="X1" t="s">
        <v>17</v>
      </c>
    </row>
    <row r="2" spans="1:24" ht="15" thickTop="1" x14ac:dyDescent="0.3">
      <c r="A2" s="35" t="s">
        <v>251</v>
      </c>
      <c r="B2" s="35" t="s">
        <v>273</v>
      </c>
      <c r="D2" s="32">
        <f>MIN(Vertices[Degree])</f>
        <v>1</v>
      </c>
      <c r="E2" s="3">
        <f>COUNTIF(Vertices[Degree], "&gt;= " &amp; D2) - COUNTIF(Vertices[Degree], "&gt;=" &amp; D3)</f>
        <v>25</v>
      </c>
      <c r="F2" s="38">
        <f>MIN(Vertices[In-Degree])</f>
        <v>0</v>
      </c>
      <c r="G2" s="39">
        <f>COUNTIF(Vertices[In-Degree], "&gt;= " &amp; F2) - COUNTIF(Vertices[In-Degree], "&gt;=" &amp; F3)</f>
        <v>11</v>
      </c>
      <c r="H2" s="38">
        <f>MIN(Vertices[Out-Degree])</f>
        <v>0</v>
      </c>
      <c r="I2" s="39">
        <f>COUNTIF(Vertices[Out-Degree], "&gt;= " &amp; H2) - COUNTIF(Vertices[Out-Degree], "&gt;=" &amp; H3)</f>
        <v>14</v>
      </c>
      <c r="J2" s="38">
        <f>MIN(Vertices[Betweenness Centrality])</f>
        <v>0</v>
      </c>
      <c r="K2" s="39">
        <f>COUNTIF(Vertices[Betweenness Centrality], "&gt;= " &amp; J2) - COUNTIF(Vertices[Betweenness Centrality], "&gt;=" &amp; J3)</f>
        <v>35</v>
      </c>
      <c r="L2" s="38">
        <f>MIN(Vertices[Closeness Centrality])</f>
        <v>2.7399999999999998E-3</v>
      </c>
      <c r="M2" s="39">
        <f>COUNTIF(Vertices[Closeness Centrality], "&gt;= " &amp; L2) - COUNTIF(Vertices[Closeness Centrality], "&gt;=" &amp; L3)</f>
        <v>65</v>
      </c>
      <c r="N2" s="38">
        <f>MIN(Vertices[Eigenvector Centrality])</f>
        <v>0</v>
      </c>
      <c r="O2" s="39">
        <f>COUNTIF(Vertices[Eigenvector Centrality], "&gt;= " &amp; N2) - COUNTIF(Vertices[Eigenvector Centrality], "&gt;=" &amp; N3)</f>
        <v>15</v>
      </c>
      <c r="P2" s="38">
        <f>MIN(Vertices[PageRank])</f>
        <v>0.37632500000000002</v>
      </c>
      <c r="Q2" s="39">
        <f>COUNTIF(Vertices[PageRank], "&gt;= " &amp; P2) - COUNTIF(Vertices[PageRank], "&gt;=" &amp; P3)</f>
        <v>12</v>
      </c>
      <c r="R2" s="38">
        <f>MIN(Vertices[Clustering Coefficient])</f>
        <v>0</v>
      </c>
      <c r="S2" s="44">
        <f>COUNTIF(Vertices[Clustering Coefficient], "&gt;= " &amp; R2) - COUNTIF(Vertices[Clustering Coefficient], "&gt;=" &amp; R3)</f>
        <v>56</v>
      </c>
      <c r="T2" s="38" t="e">
        <f ca="1">MIN(INDIRECT(DynamicFilterSourceColumnRange))</f>
        <v>#REF!</v>
      </c>
      <c r="U2" s="39" t="e">
        <f t="shared" ref="U2:U45" ca="1" si="0">COUNTIF(INDIRECT(DynamicFilterSourceColumnRange), "&gt;= " &amp; T2) - COUNTIF(INDIRECT(DynamicFilterSourceColumnRange), "&gt;=" &amp; T3)</f>
        <v>#REF!</v>
      </c>
      <c r="W2" t="s">
        <v>124</v>
      </c>
      <c r="X2">
        <f>ROWS(HistogramBins[Degree Bin]) - 1</f>
        <v>43</v>
      </c>
    </row>
    <row r="3" spans="1:24" x14ac:dyDescent="0.3">
      <c r="A3" s="97"/>
      <c r="B3" s="97"/>
      <c r="D3" s="33">
        <f t="shared" ref="D3:D44" si="1">D2+($D$45-$D$2)/BinDivisor</f>
        <v>1.2558139534883721</v>
      </c>
      <c r="E3" s="3">
        <f>COUNTIF(Vertices[Degree], "&gt;= " &amp; D3) - COUNTIF(Vertices[Degree], "&gt;=" &amp; D4)</f>
        <v>0</v>
      </c>
      <c r="F3" s="40">
        <f t="shared" ref="F3:F44" si="2">F2+($F$45-$F$2)/BinDivisor</f>
        <v>0.16279069767441862</v>
      </c>
      <c r="G3" s="41">
        <f>COUNTIF(Vertices[In-Degree], "&gt;= " &amp; F3) - COUNTIF(Vertices[In-Degree], "&gt;=" &amp; F4)</f>
        <v>0</v>
      </c>
      <c r="H3" s="40">
        <f t="shared" ref="H3:H44" si="3">H2+($H$45-$H$2)/BinDivisor</f>
        <v>0.16279069767441862</v>
      </c>
      <c r="I3" s="41">
        <f>COUNTIF(Vertices[Out-Degree], "&gt;= " &amp; H3) - COUNTIF(Vertices[Out-Degree], "&gt;=" &amp; H4)</f>
        <v>0</v>
      </c>
      <c r="J3" s="40">
        <f t="shared" ref="J3:J44" si="4">J2+($J$45-$J$2)/BinDivisor</f>
        <v>27.419213720930234</v>
      </c>
      <c r="K3" s="41">
        <f>COUNTIF(Vertices[Betweenness Centrality], "&gt;= " &amp; J3) - COUNTIF(Vertices[Betweenness Centrality], "&gt;=" &amp; J4)</f>
        <v>7</v>
      </c>
      <c r="L3" s="40">
        <f t="shared" ref="L3:L44" si="5">L2+($L$45-$L$2)/BinDivisor</f>
        <v>2.5932093023255814E-2</v>
      </c>
      <c r="M3" s="41">
        <f>COUNTIF(Vertices[Closeness Centrality], "&gt;= " &amp; L3) - COUNTIF(Vertices[Closeness Centrality], "&gt;=" &amp; L4)</f>
        <v>0</v>
      </c>
      <c r="N3" s="40">
        <f t="shared" ref="N3:N44" si="6">N2+($N$45-$N$2)/BinDivisor</f>
        <v>1.8226046511627906E-3</v>
      </c>
      <c r="O3" s="41">
        <f>COUNTIF(Vertices[Eigenvector Centrality], "&gt;= " &amp; N3) - COUNTIF(Vertices[Eigenvector Centrality], "&gt;=" &amp; N4)</f>
        <v>8</v>
      </c>
      <c r="P3" s="40">
        <f t="shared" ref="P3:P44" si="7">P2+($P$45-$P$2)/BinDivisor</f>
        <v>0.44187976744186047</v>
      </c>
      <c r="Q3" s="41">
        <f>COUNTIF(Vertices[PageRank], "&gt;= " &amp; P3) - COUNTIF(Vertices[PageRank], "&gt;=" &amp; P4)</f>
        <v>3</v>
      </c>
      <c r="R3" s="40">
        <f t="shared" ref="R3:R44" si="8">R2+($R$45-$R$2)/BinDivisor</f>
        <v>1.1627906976744186E-2</v>
      </c>
      <c r="S3" s="45">
        <f>COUNTIF(Vertices[Clustering Coefficient], "&gt;= " &amp; R3) - COUNTIF(Vertices[Clustering Coefficient], "&gt;=" &amp; R4)</f>
        <v>2</v>
      </c>
      <c r="T3" s="40" t="e">
        <f t="shared" ref="T3:T44" ca="1" si="9">T2+($T$45-$T$2)/BinDivisor</f>
        <v>#REF!</v>
      </c>
      <c r="U3" s="41" t="e">
        <f t="shared" ca="1" si="0"/>
        <v>#REF!</v>
      </c>
      <c r="W3" t="s">
        <v>125</v>
      </c>
      <c r="X3" t="s">
        <v>85</v>
      </c>
    </row>
    <row r="4" spans="1:24" x14ac:dyDescent="0.3">
      <c r="A4" s="35" t="s">
        <v>146</v>
      </c>
      <c r="B4" s="35">
        <v>74</v>
      </c>
      <c r="D4" s="33">
        <f t="shared" si="1"/>
        <v>1.5116279069767442</v>
      </c>
      <c r="E4" s="3">
        <f>COUNTIF(Vertices[Degree], "&gt;= " &amp; D4) - COUNTIF(Vertices[Degree], "&gt;=" &amp; D5)</f>
        <v>0</v>
      </c>
      <c r="F4" s="38">
        <f t="shared" si="2"/>
        <v>0.32558139534883723</v>
      </c>
      <c r="G4" s="39">
        <f>COUNTIF(Vertices[In-Degree], "&gt;= " &amp; F4) - COUNTIF(Vertices[In-Degree], "&gt;=" &amp; F5)</f>
        <v>0</v>
      </c>
      <c r="H4" s="38">
        <f t="shared" si="3"/>
        <v>0.32558139534883723</v>
      </c>
      <c r="I4" s="39">
        <f>COUNTIF(Vertices[Out-Degree], "&gt;= " &amp; H4) - COUNTIF(Vertices[Out-Degree], "&gt;=" &amp; H5)</f>
        <v>0</v>
      </c>
      <c r="J4" s="38">
        <f t="shared" si="4"/>
        <v>54.838427441860468</v>
      </c>
      <c r="K4" s="39">
        <f>COUNTIF(Vertices[Betweenness Centrality], "&gt;= " &amp; J4) - COUNTIF(Vertices[Betweenness Centrality], "&gt;=" &amp; J5)</f>
        <v>5</v>
      </c>
      <c r="L4" s="38">
        <f t="shared" si="5"/>
        <v>4.9124186046511628E-2</v>
      </c>
      <c r="M4" s="39">
        <f>COUNTIF(Vertices[Closeness Centrality], "&gt;= " &amp; L4) - COUNTIF(Vertices[Closeness Centrality], "&gt;=" &amp; L5)</f>
        <v>0</v>
      </c>
      <c r="N4" s="38">
        <f t="shared" si="6"/>
        <v>3.6452093023255812E-3</v>
      </c>
      <c r="O4" s="39">
        <f>COUNTIF(Vertices[Eigenvector Centrality], "&gt;= " &amp; N4) - COUNTIF(Vertices[Eigenvector Centrality], "&gt;=" &amp; N5)</f>
        <v>5</v>
      </c>
      <c r="P4" s="38">
        <f t="shared" si="7"/>
        <v>0.50743453488372092</v>
      </c>
      <c r="Q4" s="39">
        <f>COUNTIF(Vertices[PageRank], "&gt;= " &amp; P4) - COUNTIF(Vertices[PageRank], "&gt;=" &amp; P5)</f>
        <v>2</v>
      </c>
      <c r="R4" s="38">
        <f t="shared" si="8"/>
        <v>2.3255813953488372E-2</v>
      </c>
      <c r="S4" s="44">
        <f>COUNTIF(Vertices[Clustering Coefficient], "&gt;= " &amp; R4) - COUNTIF(Vertices[Clustering Coefficient], "&gt;=" &amp; R5)</f>
        <v>2</v>
      </c>
      <c r="T4" s="38" t="e">
        <f t="shared" ca="1" si="9"/>
        <v>#REF!</v>
      </c>
      <c r="U4" s="39" t="e">
        <f t="shared" ca="1" si="0"/>
        <v>#REF!</v>
      </c>
      <c r="W4" s="12" t="s">
        <v>126</v>
      </c>
      <c r="X4" s="12" t="s">
        <v>128</v>
      </c>
    </row>
    <row r="5" spans="1:24" x14ac:dyDescent="0.3">
      <c r="A5" s="97"/>
      <c r="B5" s="97"/>
      <c r="D5" s="33">
        <f t="shared" si="1"/>
        <v>1.7674418604651163</v>
      </c>
      <c r="E5" s="3">
        <f>COUNTIF(Vertices[Degree], "&gt;= " &amp; D5) - COUNTIF(Vertices[Degree], "&gt;=" &amp; D6)</f>
        <v>25</v>
      </c>
      <c r="F5" s="40">
        <f t="shared" si="2"/>
        <v>0.48837209302325585</v>
      </c>
      <c r="G5" s="41">
        <f>COUNTIF(Vertices[In-Degree], "&gt;= " &amp; F5) - COUNTIF(Vertices[In-Degree], "&gt;=" &amp; F6)</f>
        <v>0</v>
      </c>
      <c r="H5" s="40">
        <f t="shared" si="3"/>
        <v>0.48837209302325585</v>
      </c>
      <c r="I5" s="41">
        <f>COUNTIF(Vertices[Out-Degree], "&gt;= " &amp; H5) - COUNTIF(Vertices[Out-Degree], "&gt;=" &amp; H6)</f>
        <v>0</v>
      </c>
      <c r="J5" s="40">
        <f t="shared" si="4"/>
        <v>82.257641162790705</v>
      </c>
      <c r="K5" s="41">
        <f>COUNTIF(Vertices[Betweenness Centrality], "&gt;= " &amp; J5) - COUNTIF(Vertices[Betweenness Centrality], "&gt;=" &amp; J6)</f>
        <v>3</v>
      </c>
      <c r="L5" s="40">
        <f t="shared" si="5"/>
        <v>7.2316279069767439E-2</v>
      </c>
      <c r="M5" s="41">
        <f>COUNTIF(Vertices[Closeness Centrality], "&gt;= " &amp; L5) - COUNTIF(Vertices[Closeness Centrality], "&gt;=" &amp; L6)</f>
        <v>0</v>
      </c>
      <c r="N5" s="40">
        <f t="shared" si="6"/>
        <v>5.4678139534883718E-3</v>
      </c>
      <c r="O5" s="41">
        <f>COUNTIF(Vertices[Eigenvector Centrality], "&gt;= " &amp; N5) - COUNTIF(Vertices[Eigenvector Centrality], "&gt;=" &amp; N6)</f>
        <v>3</v>
      </c>
      <c r="P5" s="40">
        <f t="shared" si="7"/>
        <v>0.57298930232558143</v>
      </c>
      <c r="Q5" s="41">
        <f>COUNTIF(Vertices[PageRank], "&gt;= " &amp; P5) - COUNTIF(Vertices[PageRank], "&gt;=" &amp; P6)</f>
        <v>5</v>
      </c>
      <c r="R5" s="40">
        <f t="shared" si="8"/>
        <v>3.4883720930232558E-2</v>
      </c>
      <c r="S5" s="45">
        <f>COUNTIF(Vertices[Clustering Coefficient], "&gt;= " &amp; R5) - COUNTIF(Vertices[Clustering Coefficient], "&gt;=" &amp; R6)</f>
        <v>0</v>
      </c>
      <c r="T5" s="40" t="e">
        <f t="shared" ca="1" si="9"/>
        <v>#REF!</v>
      </c>
      <c r="U5" s="41" t="e">
        <f t="shared" ca="1" si="0"/>
        <v>#REF!</v>
      </c>
    </row>
    <row r="6" spans="1:24" x14ac:dyDescent="0.3">
      <c r="A6" s="35" t="s">
        <v>148</v>
      </c>
      <c r="B6" s="35">
        <v>115</v>
      </c>
      <c r="D6" s="33">
        <f t="shared" si="1"/>
        <v>2.0232558139534884</v>
      </c>
      <c r="E6" s="3">
        <f>COUNTIF(Vertices[Degree], "&gt;= " &amp; D6) - COUNTIF(Vertices[Degree], "&gt;=" &amp; D7)</f>
        <v>0</v>
      </c>
      <c r="F6" s="38">
        <f t="shared" si="2"/>
        <v>0.65116279069767447</v>
      </c>
      <c r="G6" s="39">
        <f>COUNTIF(Vertices[In-Degree], "&gt;= " &amp; F6) - COUNTIF(Vertices[In-Degree], "&gt;=" &amp; F7)</f>
        <v>0</v>
      </c>
      <c r="H6" s="38">
        <f t="shared" si="3"/>
        <v>0.65116279069767447</v>
      </c>
      <c r="I6" s="39">
        <f>COUNTIF(Vertices[Out-Degree], "&gt;= " &amp; H6) - COUNTIF(Vertices[Out-Degree], "&gt;=" &amp; H7)</f>
        <v>0</v>
      </c>
      <c r="J6" s="38">
        <f t="shared" si="4"/>
        <v>109.67685488372094</v>
      </c>
      <c r="K6" s="39">
        <f>COUNTIF(Vertices[Betweenness Centrality], "&gt;= " &amp; J6) - COUNTIF(Vertices[Betweenness Centrality], "&gt;=" &amp; J7)</f>
        <v>4</v>
      </c>
      <c r="L6" s="38">
        <f t="shared" si="5"/>
        <v>9.550837209302325E-2</v>
      </c>
      <c r="M6" s="39">
        <f>COUNTIF(Vertices[Closeness Centrality], "&gt;= " &amp; L6) - COUNTIF(Vertices[Closeness Centrality], "&gt;=" &amp; L7)</f>
        <v>0</v>
      </c>
      <c r="N6" s="38">
        <f t="shared" si="6"/>
        <v>7.2904186046511624E-3</v>
      </c>
      <c r="O6" s="39">
        <f>COUNTIF(Vertices[Eigenvector Centrality], "&gt;= " &amp; N6) - COUNTIF(Vertices[Eigenvector Centrality], "&gt;=" &amp; N7)</f>
        <v>8</v>
      </c>
      <c r="P6" s="38">
        <f t="shared" si="7"/>
        <v>0.63854406976744194</v>
      </c>
      <c r="Q6" s="39">
        <f>COUNTIF(Vertices[PageRank], "&gt;= " &amp; P6) - COUNTIF(Vertices[PageRank], "&gt;=" &amp; P7)</f>
        <v>6</v>
      </c>
      <c r="R6" s="38">
        <f t="shared" si="8"/>
        <v>4.6511627906976744E-2</v>
      </c>
      <c r="S6" s="44">
        <f>COUNTIF(Vertices[Clustering Coefficient], "&gt;= " &amp; R6) - COUNTIF(Vertices[Clustering Coefficient], "&gt;=" &amp; R7)</f>
        <v>1</v>
      </c>
      <c r="T6" s="38" t="e">
        <f t="shared" ca="1" si="9"/>
        <v>#REF!</v>
      </c>
      <c r="U6" s="39" t="e">
        <f t="shared" ca="1" si="0"/>
        <v>#REF!</v>
      </c>
    </row>
    <row r="7" spans="1:24" x14ac:dyDescent="0.3">
      <c r="A7" s="35" t="s">
        <v>149</v>
      </c>
      <c r="B7" s="35">
        <v>0</v>
      </c>
      <c r="D7" s="33">
        <f t="shared" si="1"/>
        <v>2.2790697674418605</v>
      </c>
      <c r="E7" s="3">
        <f>COUNTIF(Vertices[Degree], "&gt;= " &amp; D7) - COUNTIF(Vertices[Degree], "&gt;=" &amp; D8)</f>
        <v>0</v>
      </c>
      <c r="F7" s="40">
        <f t="shared" si="2"/>
        <v>0.81395348837209314</v>
      </c>
      <c r="G7" s="41">
        <f>COUNTIF(Vertices[In-Degree], "&gt;= " &amp; F7) - COUNTIF(Vertices[In-Degree], "&gt;=" &amp; F8)</f>
        <v>0</v>
      </c>
      <c r="H7" s="40">
        <f t="shared" si="3"/>
        <v>0.81395348837209314</v>
      </c>
      <c r="I7" s="41">
        <f>COUNTIF(Vertices[Out-Degree], "&gt;= " &amp; H7) - COUNTIF(Vertices[Out-Degree], "&gt;=" &amp; H8)</f>
        <v>0</v>
      </c>
      <c r="J7" s="40">
        <f t="shared" si="4"/>
        <v>137.09606860465118</v>
      </c>
      <c r="K7" s="41">
        <f>COUNTIF(Vertices[Betweenness Centrality], "&gt;= " &amp; J7) - COUNTIF(Vertices[Betweenness Centrality], "&gt;=" &amp; J8)</f>
        <v>0</v>
      </c>
      <c r="L7" s="40">
        <f t="shared" si="5"/>
        <v>0.11870046511627906</v>
      </c>
      <c r="M7" s="41">
        <f>COUNTIF(Vertices[Closeness Centrality], "&gt;= " &amp; L7) - COUNTIF(Vertices[Closeness Centrality], "&gt;=" &amp; L8)</f>
        <v>0</v>
      </c>
      <c r="N7" s="40">
        <f t="shared" si="6"/>
        <v>9.113023255813953E-3</v>
      </c>
      <c r="O7" s="41">
        <f>COUNTIF(Vertices[Eigenvector Centrality], "&gt;= " &amp; N7) - COUNTIF(Vertices[Eigenvector Centrality], "&gt;=" &amp; N8)</f>
        <v>6</v>
      </c>
      <c r="P7" s="40">
        <f t="shared" si="7"/>
        <v>0.70409883720930244</v>
      </c>
      <c r="Q7" s="41">
        <f>COUNTIF(Vertices[PageRank], "&gt;= " &amp; P7) - COUNTIF(Vertices[PageRank], "&gt;=" &amp; P8)</f>
        <v>7</v>
      </c>
      <c r="R7" s="40">
        <f t="shared" si="8"/>
        <v>5.8139534883720929E-2</v>
      </c>
      <c r="S7" s="45">
        <f>COUNTIF(Vertices[Clustering Coefficient], "&gt;= " &amp; R7) - COUNTIF(Vertices[Clustering Coefficient], "&gt;=" &amp; R8)</f>
        <v>0</v>
      </c>
      <c r="T7" s="40" t="e">
        <f t="shared" ca="1" si="9"/>
        <v>#REF!</v>
      </c>
      <c r="U7" s="41" t="e">
        <f t="shared" ca="1" si="0"/>
        <v>#REF!</v>
      </c>
    </row>
    <row r="8" spans="1:24" x14ac:dyDescent="0.3">
      <c r="A8" s="35" t="s">
        <v>150</v>
      </c>
      <c r="B8" s="35">
        <v>115</v>
      </c>
      <c r="D8" s="33">
        <f t="shared" si="1"/>
        <v>2.5348837209302326</v>
      </c>
      <c r="E8" s="3">
        <f>COUNTIF(Vertices[Degree], "&gt;= " &amp; D8) - COUNTIF(Vertices[Degree], "&gt;=" &amp; D9)</f>
        <v>0</v>
      </c>
      <c r="F8" s="38">
        <f t="shared" si="2"/>
        <v>0.97674418604651181</v>
      </c>
      <c r="G8" s="39">
        <f>COUNTIF(Vertices[In-Degree], "&gt;= " &amp; F8) - COUNTIF(Vertices[In-Degree], "&gt;=" &amp; F9)</f>
        <v>39</v>
      </c>
      <c r="H8" s="38">
        <f t="shared" si="3"/>
        <v>0.97674418604651181</v>
      </c>
      <c r="I8" s="39">
        <f>COUNTIF(Vertices[Out-Degree], "&gt;= " &amp; H8) - COUNTIF(Vertices[Out-Degree], "&gt;=" &amp; H9)</f>
        <v>34</v>
      </c>
      <c r="J8" s="38">
        <f t="shared" si="4"/>
        <v>164.51528232558141</v>
      </c>
      <c r="K8" s="39">
        <f>COUNTIF(Vertices[Betweenness Centrality], "&gt;= " &amp; J8) - COUNTIF(Vertices[Betweenness Centrality], "&gt;=" &amp; J9)</f>
        <v>3</v>
      </c>
      <c r="L8" s="38">
        <f t="shared" si="5"/>
        <v>0.14189255813953489</v>
      </c>
      <c r="M8" s="39">
        <f>COUNTIF(Vertices[Closeness Centrality], "&gt;= " &amp; L8) - COUNTIF(Vertices[Closeness Centrality], "&gt;=" &amp; L9)</f>
        <v>0</v>
      </c>
      <c r="N8" s="38">
        <f t="shared" si="6"/>
        <v>1.0935627906976744E-2</v>
      </c>
      <c r="O8" s="39">
        <f>COUNTIF(Vertices[Eigenvector Centrality], "&gt;= " &amp; N8) - COUNTIF(Vertices[Eigenvector Centrality], "&gt;=" &amp; N9)</f>
        <v>5</v>
      </c>
      <c r="P8" s="38">
        <f t="shared" si="7"/>
        <v>0.76965360465116295</v>
      </c>
      <c r="Q8" s="39">
        <f>COUNTIF(Vertices[PageRank], "&gt;= " &amp; P8) - COUNTIF(Vertices[PageRank], "&gt;=" &amp; P9)</f>
        <v>5</v>
      </c>
      <c r="R8" s="38">
        <f t="shared" si="8"/>
        <v>6.9767441860465115E-2</v>
      </c>
      <c r="S8" s="44">
        <f>COUNTIF(Vertices[Clustering Coefficient], "&gt;= " &amp; R8) - COUNTIF(Vertices[Clustering Coefficient], "&gt;=" &amp; R9)</f>
        <v>2</v>
      </c>
      <c r="T8" s="38" t="e">
        <f t="shared" ca="1" si="9"/>
        <v>#REF!</v>
      </c>
      <c r="U8" s="39" t="e">
        <f t="shared" ca="1" si="0"/>
        <v>#REF!</v>
      </c>
    </row>
    <row r="9" spans="1:24" x14ac:dyDescent="0.3">
      <c r="A9" s="97"/>
      <c r="B9" s="97"/>
      <c r="D9" s="33">
        <f t="shared" si="1"/>
        <v>2.7906976744186047</v>
      </c>
      <c r="E9" s="3">
        <f>COUNTIF(Vertices[Degree], "&gt;= " &amp; D9) - COUNTIF(Vertices[Degree], "&gt;=" &amp; D10)</f>
        <v>4</v>
      </c>
      <c r="F9" s="40">
        <f t="shared" si="2"/>
        <v>1.1395348837209305</v>
      </c>
      <c r="G9" s="41">
        <f>COUNTIF(Vertices[In-Degree], "&gt;= " &amp; F9) - COUNTIF(Vertices[In-Degree], "&gt;=" &amp; F10)</f>
        <v>0</v>
      </c>
      <c r="H9" s="40">
        <f t="shared" si="3"/>
        <v>1.1395348837209305</v>
      </c>
      <c r="I9" s="41">
        <f>COUNTIF(Vertices[Out-Degree], "&gt;= " &amp; H9) - COUNTIF(Vertices[Out-Degree], "&gt;=" &amp; H10)</f>
        <v>0</v>
      </c>
      <c r="J9" s="40">
        <f t="shared" si="4"/>
        <v>191.93449604651164</v>
      </c>
      <c r="K9" s="41">
        <f>COUNTIF(Vertices[Betweenness Centrality], "&gt;= " &amp; J9) - COUNTIF(Vertices[Betweenness Centrality], "&gt;=" &amp; J10)</f>
        <v>1</v>
      </c>
      <c r="L9" s="40">
        <f t="shared" si="5"/>
        <v>0.1650846511627907</v>
      </c>
      <c r="M9" s="41">
        <f>COUNTIF(Vertices[Closeness Centrality], "&gt;= " &amp; L9) - COUNTIF(Vertices[Closeness Centrality], "&gt;=" &amp; L10)</f>
        <v>0</v>
      </c>
      <c r="N9" s="40">
        <f t="shared" si="6"/>
        <v>1.2758232558139534E-2</v>
      </c>
      <c r="O9" s="41">
        <f>COUNTIF(Vertices[Eigenvector Centrality], "&gt;= " &amp; N9) - COUNTIF(Vertices[Eigenvector Centrality], "&gt;=" &amp; N10)</f>
        <v>1</v>
      </c>
      <c r="P9" s="40">
        <f t="shared" si="7"/>
        <v>0.83520837209302345</v>
      </c>
      <c r="Q9" s="41">
        <f>COUNTIF(Vertices[PageRank], "&gt;= " &amp; P9) - COUNTIF(Vertices[PageRank], "&gt;=" &amp; P10)</f>
        <v>0</v>
      </c>
      <c r="R9" s="40">
        <f t="shared" si="8"/>
        <v>8.1395348837209308E-2</v>
      </c>
      <c r="S9" s="45">
        <f>COUNTIF(Vertices[Clustering Coefficient], "&gt;= " &amp; R9) - COUNTIF(Vertices[Clustering Coefficient], "&gt;=" &amp; R10)</f>
        <v>0</v>
      </c>
      <c r="T9" s="40" t="e">
        <f t="shared" ca="1" si="9"/>
        <v>#REF!</v>
      </c>
      <c r="U9" s="41" t="e">
        <f t="shared" ca="1" si="0"/>
        <v>#REF!</v>
      </c>
    </row>
    <row r="10" spans="1:24" x14ac:dyDescent="0.3">
      <c r="A10" s="35" t="s">
        <v>151</v>
      </c>
      <c r="B10" s="35">
        <v>0</v>
      </c>
      <c r="D10" s="33">
        <f t="shared" si="1"/>
        <v>3.0465116279069768</v>
      </c>
      <c r="E10" s="3">
        <f>COUNTIF(Vertices[Degree], "&gt;= " &amp; D10) - COUNTIF(Vertices[Degree], "&gt;=" &amp; D11)</f>
        <v>0</v>
      </c>
      <c r="F10" s="38">
        <f t="shared" si="2"/>
        <v>1.3023255813953492</v>
      </c>
      <c r="G10" s="39">
        <f>COUNTIF(Vertices[In-Degree], "&gt;= " &amp; F10) - COUNTIF(Vertices[In-Degree], "&gt;=" &amp; F11)</f>
        <v>0</v>
      </c>
      <c r="H10" s="38">
        <f t="shared" si="3"/>
        <v>1.3023255813953492</v>
      </c>
      <c r="I10" s="39">
        <f>COUNTIF(Vertices[Out-Degree], "&gt;= " &amp; H10) - COUNTIF(Vertices[Out-Degree], "&gt;=" &amp; H11)</f>
        <v>0</v>
      </c>
      <c r="J10" s="38">
        <f t="shared" si="4"/>
        <v>219.35370976744187</v>
      </c>
      <c r="K10" s="39">
        <f>COUNTIF(Vertices[Betweenness Centrality], "&gt;= " &amp; J10) - COUNTIF(Vertices[Betweenness Centrality], "&gt;=" &amp; J11)</f>
        <v>3</v>
      </c>
      <c r="L10" s="38">
        <f t="shared" si="5"/>
        <v>0.18827674418604651</v>
      </c>
      <c r="M10" s="39">
        <f>COUNTIF(Vertices[Closeness Centrality], "&gt;= " &amp; L10) - COUNTIF(Vertices[Closeness Centrality], "&gt;=" &amp; L11)</f>
        <v>0</v>
      </c>
      <c r="N10" s="38">
        <f t="shared" si="6"/>
        <v>1.4580837209302325E-2</v>
      </c>
      <c r="O10" s="39">
        <f>COUNTIF(Vertices[Eigenvector Centrality], "&gt;= " &amp; N10) - COUNTIF(Vertices[Eigenvector Centrality], "&gt;=" &amp; N11)</f>
        <v>3</v>
      </c>
      <c r="P10" s="38">
        <f t="shared" si="7"/>
        <v>0.90076313953488396</v>
      </c>
      <c r="Q10" s="39">
        <f>COUNTIF(Vertices[PageRank], "&gt;= " &amp; P10) - COUNTIF(Vertices[PageRank], "&gt;=" &amp; P11)</f>
        <v>3</v>
      </c>
      <c r="R10" s="38">
        <f t="shared" si="8"/>
        <v>9.3023255813953487E-2</v>
      </c>
      <c r="S10" s="44">
        <f>COUNTIF(Vertices[Clustering Coefficient], "&gt;= " &amp; R10) - COUNTIF(Vertices[Clustering Coefficient], "&gt;=" &amp; R11)</f>
        <v>2</v>
      </c>
      <c r="T10" s="38" t="e">
        <f t="shared" ca="1" si="9"/>
        <v>#REF!</v>
      </c>
      <c r="U10" s="39" t="e">
        <f t="shared" ca="1" si="0"/>
        <v>#REF!</v>
      </c>
    </row>
    <row r="11" spans="1:24" x14ac:dyDescent="0.3">
      <c r="A11" s="97"/>
      <c r="B11" s="97"/>
      <c r="D11" s="33">
        <f t="shared" si="1"/>
        <v>3.3023255813953489</v>
      </c>
      <c r="E11" s="3">
        <f>COUNTIF(Vertices[Degree], "&gt;= " &amp; D11) - COUNTIF(Vertices[Degree], "&gt;=" &amp; D12)</f>
        <v>0</v>
      </c>
      <c r="F11" s="40">
        <f t="shared" si="2"/>
        <v>1.4651162790697678</v>
      </c>
      <c r="G11" s="41">
        <f>COUNTIF(Vertices[In-Degree], "&gt;= " &amp; F11) - COUNTIF(Vertices[In-Degree], "&gt;=" &amp; F12)</f>
        <v>0</v>
      </c>
      <c r="H11" s="40">
        <f t="shared" si="3"/>
        <v>1.4651162790697678</v>
      </c>
      <c r="I11" s="41">
        <f>COUNTIF(Vertices[Out-Degree], "&gt;= " &amp; H11) - COUNTIF(Vertices[Out-Degree], "&gt;=" &amp; H12)</f>
        <v>0</v>
      </c>
      <c r="J11" s="40">
        <f t="shared" si="4"/>
        <v>246.7729234883721</v>
      </c>
      <c r="K11" s="41">
        <f>COUNTIF(Vertices[Betweenness Centrality], "&gt;= " &amp; J11) - COUNTIF(Vertices[Betweenness Centrality], "&gt;=" &amp; J12)</f>
        <v>1</v>
      </c>
      <c r="L11" s="40">
        <f t="shared" si="5"/>
        <v>0.21146883720930232</v>
      </c>
      <c r="M11" s="41">
        <f>COUNTIF(Vertices[Closeness Centrality], "&gt;= " &amp; L11) - COUNTIF(Vertices[Closeness Centrality], "&gt;=" &amp; L12)</f>
        <v>0</v>
      </c>
      <c r="N11" s="40">
        <f t="shared" si="6"/>
        <v>1.6403441860465114E-2</v>
      </c>
      <c r="O11" s="41">
        <f>COUNTIF(Vertices[Eigenvector Centrality], "&gt;= " &amp; N11) - COUNTIF(Vertices[Eigenvector Centrality], "&gt;=" &amp; N12)</f>
        <v>3</v>
      </c>
      <c r="P11" s="40">
        <f t="shared" si="7"/>
        <v>0.96631790697674447</v>
      </c>
      <c r="Q11" s="41">
        <f>COUNTIF(Vertices[PageRank], "&gt;= " &amp; P11) - COUNTIF(Vertices[PageRank], "&gt;=" &amp; P12)</f>
        <v>7</v>
      </c>
      <c r="R11" s="40">
        <f t="shared" si="8"/>
        <v>0.10465116279069767</v>
      </c>
      <c r="S11" s="45">
        <f>COUNTIF(Vertices[Clustering Coefficient], "&gt;= " &amp; R11) - COUNTIF(Vertices[Clustering Coefficient], "&gt;=" &amp; R12)</f>
        <v>0</v>
      </c>
      <c r="T11" s="40" t="e">
        <f t="shared" ca="1" si="9"/>
        <v>#REF!</v>
      </c>
      <c r="U11" s="41" t="e">
        <f t="shared" ca="1" si="0"/>
        <v>#REF!</v>
      </c>
    </row>
    <row r="12" spans="1:24" x14ac:dyDescent="0.3">
      <c r="A12" s="35" t="s">
        <v>170</v>
      </c>
      <c r="B12" s="35">
        <v>9.5238095238095233E-2</v>
      </c>
      <c r="D12" s="33">
        <f t="shared" si="1"/>
        <v>3.558139534883721</v>
      </c>
      <c r="E12" s="3">
        <f>COUNTIF(Vertices[Degree], "&gt;= " &amp; D12) - COUNTIF(Vertices[Degree], "&gt;=" &amp; D13)</f>
        <v>0</v>
      </c>
      <c r="F12" s="38">
        <f t="shared" si="2"/>
        <v>1.6279069767441865</v>
      </c>
      <c r="G12" s="39">
        <f>COUNTIF(Vertices[In-Degree], "&gt;= " &amp; F12) - COUNTIF(Vertices[In-Degree], "&gt;=" &amp; F13)</f>
        <v>0</v>
      </c>
      <c r="H12" s="38">
        <f t="shared" si="3"/>
        <v>1.6279069767441865</v>
      </c>
      <c r="I12" s="39">
        <f>COUNTIF(Vertices[Out-Degree], "&gt;= " &amp; H12) - COUNTIF(Vertices[Out-Degree], "&gt;=" &amp; H13)</f>
        <v>0</v>
      </c>
      <c r="J12" s="38">
        <f t="shared" si="4"/>
        <v>274.19213720930236</v>
      </c>
      <c r="K12" s="39">
        <f>COUNTIF(Vertices[Betweenness Centrality], "&gt;= " &amp; J12) - COUNTIF(Vertices[Betweenness Centrality], "&gt;=" &amp; J13)</f>
        <v>2</v>
      </c>
      <c r="L12" s="38">
        <f t="shared" si="5"/>
        <v>0.23466093023255813</v>
      </c>
      <c r="M12" s="39">
        <f>COUNTIF(Vertices[Closeness Centrality], "&gt;= " &amp; L12) - COUNTIF(Vertices[Closeness Centrality], "&gt;=" &amp; L13)</f>
        <v>0</v>
      </c>
      <c r="N12" s="38">
        <f t="shared" si="6"/>
        <v>1.8226046511627902E-2</v>
      </c>
      <c r="O12" s="39">
        <f>COUNTIF(Vertices[Eigenvector Centrality], "&gt;= " &amp; N12) - COUNTIF(Vertices[Eigenvector Centrality], "&gt;=" &amp; N13)</f>
        <v>2</v>
      </c>
      <c r="P12" s="38">
        <f t="shared" si="7"/>
        <v>1.0318726744186049</v>
      </c>
      <c r="Q12" s="39">
        <f>COUNTIF(Vertices[PageRank], "&gt;= " &amp; P12) - COUNTIF(Vertices[PageRank], "&gt;=" &amp; P13)</f>
        <v>1</v>
      </c>
      <c r="R12" s="38">
        <f t="shared" si="8"/>
        <v>0.11627906976744184</v>
      </c>
      <c r="S12" s="44">
        <f>COUNTIF(Vertices[Clustering Coefficient], "&gt;= " &amp; R12) - COUNTIF(Vertices[Clustering Coefficient], "&gt;=" &amp; R13)</f>
        <v>0</v>
      </c>
      <c r="T12" s="38" t="e">
        <f t="shared" ca="1" si="9"/>
        <v>#REF!</v>
      </c>
      <c r="U12" s="39" t="e">
        <f t="shared" ca="1" si="0"/>
        <v>#REF!</v>
      </c>
    </row>
    <row r="13" spans="1:24" x14ac:dyDescent="0.3">
      <c r="A13" s="35" t="s">
        <v>171</v>
      </c>
      <c r="B13" s="35">
        <v>0.17391304347826086</v>
      </c>
      <c r="D13" s="33">
        <f t="shared" si="1"/>
        <v>3.8139534883720931</v>
      </c>
      <c r="E13" s="3">
        <f>COUNTIF(Vertices[Degree], "&gt;= " &amp; D13) - COUNTIF(Vertices[Degree], "&gt;=" &amp; D14)</f>
        <v>9</v>
      </c>
      <c r="F13" s="40">
        <f t="shared" si="2"/>
        <v>1.7906976744186052</v>
      </c>
      <c r="G13" s="41">
        <f>COUNTIF(Vertices[In-Degree], "&gt;= " &amp; F13) - COUNTIF(Vertices[In-Degree], "&gt;=" &amp; F14)</f>
        <v>0</v>
      </c>
      <c r="H13" s="40">
        <f t="shared" si="3"/>
        <v>1.7906976744186052</v>
      </c>
      <c r="I13" s="41">
        <f>COUNTIF(Vertices[Out-Degree], "&gt;= " &amp; H13) - COUNTIF(Vertices[Out-Degree], "&gt;=" &amp; H14)</f>
        <v>0</v>
      </c>
      <c r="J13" s="40">
        <f t="shared" si="4"/>
        <v>301.61135093023262</v>
      </c>
      <c r="K13" s="41">
        <f>COUNTIF(Vertices[Betweenness Centrality], "&gt;= " &amp; J13) - COUNTIF(Vertices[Betweenness Centrality], "&gt;=" &amp; J14)</f>
        <v>0</v>
      </c>
      <c r="L13" s="40">
        <f t="shared" si="5"/>
        <v>0.25785302325581394</v>
      </c>
      <c r="M13" s="41">
        <f>COUNTIF(Vertices[Closeness Centrality], "&gt;= " &amp; L13) - COUNTIF(Vertices[Closeness Centrality], "&gt;=" &amp; L14)</f>
        <v>0</v>
      </c>
      <c r="N13" s="40">
        <f t="shared" si="6"/>
        <v>2.0048651162790691E-2</v>
      </c>
      <c r="O13" s="41">
        <f>COUNTIF(Vertices[Eigenvector Centrality], "&gt;= " &amp; N13) - COUNTIF(Vertices[Eigenvector Centrality], "&gt;=" &amp; N14)</f>
        <v>1</v>
      </c>
      <c r="P13" s="40">
        <f t="shared" si="7"/>
        <v>1.0974274418604653</v>
      </c>
      <c r="Q13" s="41">
        <f>COUNTIF(Vertices[PageRank], "&gt;= " &amp; P13) - COUNTIF(Vertices[PageRank], "&gt;=" &amp; P14)</f>
        <v>5</v>
      </c>
      <c r="R13" s="40">
        <f t="shared" si="8"/>
        <v>0.12790697674418602</v>
      </c>
      <c r="S13" s="45">
        <f>COUNTIF(Vertices[Clustering Coefficient], "&gt;= " &amp; R13) - COUNTIF(Vertices[Clustering Coefficient], "&gt;=" &amp; R14)</f>
        <v>0</v>
      </c>
      <c r="T13" s="40" t="e">
        <f t="shared" ca="1" si="9"/>
        <v>#REF!</v>
      </c>
      <c r="U13" s="41" t="e">
        <f t="shared" ca="1" si="0"/>
        <v>#REF!</v>
      </c>
    </row>
    <row r="14" spans="1:24" x14ac:dyDescent="0.3">
      <c r="A14" s="97"/>
      <c r="B14" s="97"/>
      <c r="D14" s="33">
        <f t="shared" si="1"/>
        <v>4.0697674418604652</v>
      </c>
      <c r="E14" s="3">
        <f>COUNTIF(Vertices[Degree], "&gt;= " &amp; D14) - COUNTIF(Vertices[Degree], "&gt;=" &amp; D15)</f>
        <v>0</v>
      </c>
      <c r="F14" s="38">
        <f t="shared" si="2"/>
        <v>1.9534883720930238</v>
      </c>
      <c r="G14" s="39">
        <f>COUNTIF(Vertices[In-Degree], "&gt;= " &amp; F14) - COUNTIF(Vertices[In-Degree], "&gt;=" &amp; F15)</f>
        <v>12</v>
      </c>
      <c r="H14" s="38">
        <f t="shared" si="3"/>
        <v>1.9534883720930238</v>
      </c>
      <c r="I14" s="39">
        <f>COUNTIF(Vertices[Out-Degree], "&gt;= " &amp; H14) - COUNTIF(Vertices[Out-Degree], "&gt;=" &amp; H15)</f>
        <v>12</v>
      </c>
      <c r="J14" s="38">
        <f t="shared" si="4"/>
        <v>329.03056465116288</v>
      </c>
      <c r="K14" s="39">
        <f>COUNTIF(Vertices[Betweenness Centrality], "&gt;= " &amp; J14) - COUNTIF(Vertices[Betweenness Centrality], "&gt;=" &amp; J15)</f>
        <v>1</v>
      </c>
      <c r="L14" s="38">
        <f t="shared" si="5"/>
        <v>0.28104511627906975</v>
      </c>
      <c r="M14" s="39">
        <f>COUNTIF(Vertices[Closeness Centrality], "&gt;= " &amp; L14) - COUNTIF(Vertices[Closeness Centrality], "&gt;=" &amp; L15)</f>
        <v>0</v>
      </c>
      <c r="N14" s="38">
        <f t="shared" si="6"/>
        <v>2.187125581395348E-2</v>
      </c>
      <c r="O14" s="39">
        <f>COUNTIF(Vertices[Eigenvector Centrality], "&gt;= " &amp; N14) - COUNTIF(Vertices[Eigenvector Centrality], "&gt;=" &amp; N15)</f>
        <v>1</v>
      </c>
      <c r="P14" s="38">
        <f t="shared" si="7"/>
        <v>1.1629822093023257</v>
      </c>
      <c r="Q14" s="39">
        <f>COUNTIF(Vertices[PageRank], "&gt;= " &amp; P14) - COUNTIF(Vertices[PageRank], "&gt;=" &amp; P15)</f>
        <v>1</v>
      </c>
      <c r="R14" s="38">
        <f t="shared" si="8"/>
        <v>0.1395348837209302</v>
      </c>
      <c r="S14" s="44">
        <f>COUNTIF(Vertices[Clustering Coefficient], "&gt;= " &amp; R14) - COUNTIF(Vertices[Clustering Coefficient], "&gt;=" &amp; R15)</f>
        <v>0</v>
      </c>
      <c r="T14" s="38" t="e">
        <f t="shared" ca="1" si="9"/>
        <v>#REF!</v>
      </c>
      <c r="U14" s="39" t="e">
        <f t="shared" ca="1" si="0"/>
        <v>#REF!</v>
      </c>
    </row>
    <row r="15" spans="1:24" x14ac:dyDescent="0.3">
      <c r="A15" s="35" t="s">
        <v>152</v>
      </c>
      <c r="B15" s="35">
        <v>5</v>
      </c>
      <c r="D15" s="33">
        <f t="shared" si="1"/>
        <v>4.3255813953488378</v>
      </c>
      <c r="E15" s="3">
        <f>COUNTIF(Vertices[Degree], "&gt;= " &amp; D15) - COUNTIF(Vertices[Degree], "&gt;=" &amp; D16)</f>
        <v>0</v>
      </c>
      <c r="F15" s="40">
        <f t="shared" si="2"/>
        <v>2.1162790697674425</v>
      </c>
      <c r="G15" s="41">
        <f>COUNTIF(Vertices[In-Degree], "&gt;= " &amp; F15) - COUNTIF(Vertices[In-Degree], "&gt;=" &amp; F16)</f>
        <v>0</v>
      </c>
      <c r="H15" s="40">
        <f t="shared" si="3"/>
        <v>2.1162790697674425</v>
      </c>
      <c r="I15" s="41">
        <f>COUNTIF(Vertices[Out-Degree], "&gt;= " &amp; H15) - COUNTIF(Vertices[Out-Degree], "&gt;=" &amp; H16)</f>
        <v>0</v>
      </c>
      <c r="J15" s="40">
        <f t="shared" si="4"/>
        <v>356.44977837209314</v>
      </c>
      <c r="K15" s="41">
        <f>COUNTIF(Vertices[Betweenness Centrality], "&gt;= " &amp; J15) - COUNTIF(Vertices[Betweenness Centrality], "&gt;=" &amp; J16)</f>
        <v>2</v>
      </c>
      <c r="L15" s="40">
        <f t="shared" si="5"/>
        <v>0.30423720930232556</v>
      </c>
      <c r="M15" s="41">
        <f>COUNTIF(Vertices[Closeness Centrality], "&gt;= " &amp; L15) - COUNTIF(Vertices[Closeness Centrality], "&gt;=" &amp; L16)</f>
        <v>0</v>
      </c>
      <c r="N15" s="40">
        <f t="shared" si="6"/>
        <v>2.3693860465116269E-2</v>
      </c>
      <c r="O15" s="41">
        <f>COUNTIF(Vertices[Eigenvector Centrality], "&gt;= " &amp; N15) - COUNTIF(Vertices[Eigenvector Centrality], "&gt;=" &amp; N16)</f>
        <v>0</v>
      </c>
      <c r="P15" s="40">
        <f t="shared" si="7"/>
        <v>1.228536976744186</v>
      </c>
      <c r="Q15" s="41">
        <f>COUNTIF(Vertices[PageRank], "&gt;= " &amp; P15) - COUNTIF(Vertices[PageRank], "&gt;=" &amp; P16)</f>
        <v>0</v>
      </c>
      <c r="R15" s="40">
        <f t="shared" si="8"/>
        <v>0.15116279069767438</v>
      </c>
      <c r="S15" s="45">
        <f>COUNTIF(Vertices[Clustering Coefficient], "&gt;= " &amp; R15) - COUNTIF(Vertices[Clustering Coefficient], "&gt;=" &amp; R16)</f>
        <v>0</v>
      </c>
      <c r="T15" s="40" t="e">
        <f t="shared" ca="1" si="9"/>
        <v>#REF!</v>
      </c>
      <c r="U15" s="41" t="e">
        <f t="shared" ca="1" si="0"/>
        <v>#REF!</v>
      </c>
    </row>
    <row r="16" spans="1:24" x14ac:dyDescent="0.3">
      <c r="A16" s="35" t="s">
        <v>153</v>
      </c>
      <c r="B16" s="35">
        <v>0</v>
      </c>
      <c r="D16" s="33">
        <f t="shared" si="1"/>
        <v>4.5813953488372103</v>
      </c>
      <c r="E16" s="3">
        <f>COUNTIF(Vertices[Degree], "&gt;= " &amp; D16) - COUNTIF(Vertices[Degree], "&gt;=" &amp; D17)</f>
        <v>0</v>
      </c>
      <c r="F16" s="38">
        <f t="shared" si="2"/>
        <v>2.279069767441861</v>
      </c>
      <c r="G16" s="39">
        <f>COUNTIF(Vertices[In-Degree], "&gt;= " &amp; F16) - COUNTIF(Vertices[In-Degree], "&gt;=" &amp; F17)</f>
        <v>0</v>
      </c>
      <c r="H16" s="38">
        <f t="shared" si="3"/>
        <v>2.279069767441861</v>
      </c>
      <c r="I16" s="39">
        <f>COUNTIF(Vertices[Out-Degree], "&gt;= " &amp; H16) - COUNTIF(Vertices[Out-Degree], "&gt;=" &amp; H17)</f>
        <v>0</v>
      </c>
      <c r="J16" s="38">
        <f t="shared" si="4"/>
        <v>383.86899209302339</v>
      </c>
      <c r="K16" s="39">
        <f>COUNTIF(Vertices[Betweenness Centrality], "&gt;= " &amp; J16) - COUNTIF(Vertices[Betweenness Centrality], "&gt;=" &amp; J17)</f>
        <v>0</v>
      </c>
      <c r="L16" s="38">
        <f t="shared" si="5"/>
        <v>0.32742930232558137</v>
      </c>
      <c r="M16" s="39">
        <f>COUNTIF(Vertices[Closeness Centrality], "&gt;= " &amp; L16) - COUNTIF(Vertices[Closeness Centrality], "&gt;=" &amp; L17)</f>
        <v>2</v>
      </c>
      <c r="N16" s="38">
        <f t="shared" si="6"/>
        <v>2.5516465116279058E-2</v>
      </c>
      <c r="O16" s="39">
        <f>COUNTIF(Vertices[Eigenvector Centrality], "&gt;= " &amp; N16) - COUNTIF(Vertices[Eigenvector Centrality], "&gt;=" &amp; N17)</f>
        <v>0</v>
      </c>
      <c r="P16" s="38">
        <f t="shared" si="7"/>
        <v>1.2940917441860464</v>
      </c>
      <c r="Q16" s="39">
        <f>COUNTIF(Vertices[PageRank], "&gt;= " &amp; P16) - COUNTIF(Vertices[PageRank], "&gt;=" &amp; P17)</f>
        <v>1</v>
      </c>
      <c r="R16" s="38">
        <f t="shared" si="8"/>
        <v>0.16279069767441856</v>
      </c>
      <c r="S16" s="44">
        <f>COUNTIF(Vertices[Clustering Coefficient], "&gt;= " &amp; R16) - COUNTIF(Vertices[Clustering Coefficient], "&gt;=" &amp; R17)</f>
        <v>3</v>
      </c>
      <c r="T16" s="38" t="e">
        <f t="shared" ca="1" si="9"/>
        <v>#REF!</v>
      </c>
      <c r="U16" s="39" t="e">
        <f t="shared" ca="1" si="0"/>
        <v>#REF!</v>
      </c>
    </row>
    <row r="17" spans="1:21" x14ac:dyDescent="0.3">
      <c r="A17" s="35" t="s">
        <v>154</v>
      </c>
      <c r="B17" s="35">
        <v>65</v>
      </c>
      <c r="D17" s="33">
        <f t="shared" si="1"/>
        <v>4.8372093023255829</v>
      </c>
      <c r="E17" s="3">
        <f>COUNTIF(Vertices[Degree], "&gt;= " &amp; D17) - COUNTIF(Vertices[Degree], "&gt;=" &amp; D18)</f>
        <v>3</v>
      </c>
      <c r="F17" s="40">
        <f t="shared" si="2"/>
        <v>2.4418604651162794</v>
      </c>
      <c r="G17" s="41">
        <f>COUNTIF(Vertices[In-Degree], "&gt;= " &amp; F17) - COUNTIF(Vertices[In-Degree], "&gt;=" &amp; F18)</f>
        <v>0</v>
      </c>
      <c r="H17" s="40">
        <f t="shared" si="3"/>
        <v>2.4418604651162794</v>
      </c>
      <c r="I17" s="41">
        <f>COUNTIF(Vertices[Out-Degree], "&gt;= " &amp; H17) - COUNTIF(Vertices[Out-Degree], "&gt;=" &amp; H18)</f>
        <v>0</v>
      </c>
      <c r="J17" s="40">
        <f t="shared" si="4"/>
        <v>411.28820581395365</v>
      </c>
      <c r="K17" s="41">
        <f>COUNTIF(Vertices[Betweenness Centrality], "&gt;= " &amp; J17) - COUNTIF(Vertices[Betweenness Centrality], "&gt;=" &amp; J18)</f>
        <v>0</v>
      </c>
      <c r="L17" s="40">
        <f t="shared" si="5"/>
        <v>0.35062139534883718</v>
      </c>
      <c r="M17" s="41">
        <f>COUNTIF(Vertices[Closeness Centrality], "&gt;= " &amp; L17) - COUNTIF(Vertices[Closeness Centrality], "&gt;=" &amp; L18)</f>
        <v>0</v>
      </c>
      <c r="N17" s="40">
        <f t="shared" si="6"/>
        <v>2.7339069767441847E-2</v>
      </c>
      <c r="O17" s="41">
        <f>COUNTIF(Vertices[Eigenvector Centrality], "&gt;= " &amp; N17) - COUNTIF(Vertices[Eigenvector Centrality], "&gt;=" &amp; N18)</f>
        <v>0</v>
      </c>
      <c r="P17" s="40">
        <f t="shared" si="7"/>
        <v>1.3596465116279068</v>
      </c>
      <c r="Q17" s="41">
        <f>COUNTIF(Vertices[PageRank], "&gt;= " &amp; P17) - COUNTIF(Vertices[PageRank], "&gt;=" &amp; P18)</f>
        <v>2</v>
      </c>
      <c r="R17" s="40">
        <f t="shared" si="8"/>
        <v>0.17441860465116274</v>
      </c>
      <c r="S17" s="45">
        <f>COUNTIF(Vertices[Clustering Coefficient], "&gt;= " &amp; R17) - COUNTIF(Vertices[Clustering Coefficient], "&gt;=" &amp; R18)</f>
        <v>0</v>
      </c>
      <c r="T17" s="40" t="e">
        <f t="shared" ca="1" si="9"/>
        <v>#REF!</v>
      </c>
      <c r="U17" s="41" t="e">
        <f t="shared" ca="1" si="0"/>
        <v>#REF!</v>
      </c>
    </row>
    <row r="18" spans="1:21" x14ac:dyDescent="0.3">
      <c r="A18" s="35" t="s">
        <v>155</v>
      </c>
      <c r="B18" s="35">
        <v>110</v>
      </c>
      <c r="D18" s="33">
        <f t="shared" si="1"/>
        <v>5.0930232558139554</v>
      </c>
      <c r="E18" s="3">
        <f>COUNTIF(Vertices[Degree], "&gt;= " &amp; D18) - COUNTIF(Vertices[Degree], "&gt;=" &amp; D19)</f>
        <v>0</v>
      </c>
      <c r="F18" s="38">
        <f t="shared" si="2"/>
        <v>2.6046511627906979</v>
      </c>
      <c r="G18" s="39">
        <f>COUNTIF(Vertices[In-Degree], "&gt;= " &amp; F18) - COUNTIF(Vertices[In-Degree], "&gt;=" &amp; F19)</f>
        <v>0</v>
      </c>
      <c r="H18" s="38">
        <f t="shared" si="3"/>
        <v>2.6046511627906979</v>
      </c>
      <c r="I18" s="39">
        <f>COUNTIF(Vertices[Out-Degree], "&gt;= " &amp; H18) - COUNTIF(Vertices[Out-Degree], "&gt;=" &amp; H19)</f>
        <v>0</v>
      </c>
      <c r="J18" s="38">
        <f t="shared" si="4"/>
        <v>438.70741953488391</v>
      </c>
      <c r="K18" s="39">
        <f>COUNTIF(Vertices[Betweenness Centrality], "&gt;= " &amp; J18) - COUNTIF(Vertices[Betweenness Centrality], "&gt;=" &amp; J19)</f>
        <v>0</v>
      </c>
      <c r="L18" s="38">
        <f t="shared" si="5"/>
        <v>0.37381348837209299</v>
      </c>
      <c r="M18" s="39">
        <f>COUNTIF(Vertices[Closeness Centrality], "&gt;= " &amp; L18) - COUNTIF(Vertices[Closeness Centrality], "&gt;=" &amp; L19)</f>
        <v>0</v>
      </c>
      <c r="N18" s="38">
        <f t="shared" si="6"/>
        <v>2.9161674418604636E-2</v>
      </c>
      <c r="O18" s="39">
        <f>COUNTIF(Vertices[Eigenvector Centrality], "&gt;= " &amp; N18) - COUNTIF(Vertices[Eigenvector Centrality], "&gt;=" &amp; N19)</f>
        <v>0</v>
      </c>
      <c r="P18" s="38">
        <f t="shared" si="7"/>
        <v>1.4252012790697672</v>
      </c>
      <c r="Q18" s="39">
        <f>COUNTIF(Vertices[PageRank], "&gt;= " &amp; P18) - COUNTIF(Vertices[PageRank], "&gt;=" &amp; P19)</f>
        <v>2</v>
      </c>
      <c r="R18" s="38">
        <f t="shared" si="8"/>
        <v>0.18604651162790692</v>
      </c>
      <c r="S18" s="44">
        <f>COUNTIF(Vertices[Clustering Coefficient], "&gt;= " &amp; R18) - COUNTIF(Vertices[Clustering Coefficient], "&gt;=" &amp; R19)</f>
        <v>0</v>
      </c>
      <c r="T18" s="38" t="e">
        <f t="shared" ca="1" si="9"/>
        <v>#REF!</v>
      </c>
      <c r="U18" s="39" t="e">
        <f t="shared" ca="1" si="0"/>
        <v>#REF!</v>
      </c>
    </row>
    <row r="19" spans="1:21" x14ac:dyDescent="0.3">
      <c r="A19" s="97"/>
      <c r="B19" s="97"/>
      <c r="D19" s="33">
        <f t="shared" si="1"/>
        <v>5.348837209302328</v>
      </c>
      <c r="E19" s="3">
        <f>COUNTIF(Vertices[Degree], "&gt;= " &amp; D19) - COUNTIF(Vertices[Degree], "&gt;=" &amp; D20)</f>
        <v>0</v>
      </c>
      <c r="F19" s="40">
        <f t="shared" si="2"/>
        <v>2.7674418604651163</v>
      </c>
      <c r="G19" s="41">
        <f>COUNTIF(Vertices[In-Degree], "&gt;= " &amp; F19) - COUNTIF(Vertices[In-Degree], "&gt;=" &amp; F20)</f>
        <v>0</v>
      </c>
      <c r="H19" s="40">
        <f t="shared" si="3"/>
        <v>2.7674418604651163</v>
      </c>
      <c r="I19" s="41">
        <f>COUNTIF(Vertices[Out-Degree], "&gt;= " &amp; H19) - COUNTIF(Vertices[Out-Degree], "&gt;=" &amp; H20)</f>
        <v>0</v>
      </c>
      <c r="J19" s="40">
        <f t="shared" si="4"/>
        <v>466.12663325581417</v>
      </c>
      <c r="K19" s="41">
        <f>COUNTIF(Vertices[Betweenness Centrality], "&gt;= " &amp; J19) - COUNTIF(Vertices[Betweenness Centrality], "&gt;=" &amp; J20)</f>
        <v>0</v>
      </c>
      <c r="L19" s="40">
        <f t="shared" si="5"/>
        <v>0.39700558139534881</v>
      </c>
      <c r="M19" s="41">
        <f>COUNTIF(Vertices[Closeness Centrality], "&gt;= " &amp; L19) - COUNTIF(Vertices[Closeness Centrality], "&gt;=" &amp; L20)</f>
        <v>0</v>
      </c>
      <c r="N19" s="40">
        <f t="shared" si="6"/>
        <v>3.0984279069767424E-2</v>
      </c>
      <c r="O19" s="41">
        <f>COUNTIF(Vertices[Eigenvector Centrality], "&gt;= " &amp; N19) - COUNTIF(Vertices[Eigenvector Centrality], "&gt;=" &amp; N20)</f>
        <v>2</v>
      </c>
      <c r="P19" s="40">
        <f t="shared" si="7"/>
        <v>1.4907560465116276</v>
      </c>
      <c r="Q19" s="41">
        <f>COUNTIF(Vertices[PageRank], "&gt;= " &amp; P19) - COUNTIF(Vertices[PageRank], "&gt;=" &amp; P20)</f>
        <v>1</v>
      </c>
      <c r="R19" s="40">
        <f t="shared" si="8"/>
        <v>0.1976744186046511</v>
      </c>
      <c r="S19" s="45">
        <f>COUNTIF(Vertices[Clustering Coefficient], "&gt;= " &amp; R19) - COUNTIF(Vertices[Clustering Coefficient], "&gt;=" &amp; R20)</f>
        <v>1</v>
      </c>
      <c r="T19" s="40" t="e">
        <f t="shared" ca="1" si="9"/>
        <v>#REF!</v>
      </c>
      <c r="U19" s="41" t="e">
        <f t="shared" ca="1" si="0"/>
        <v>#REF!</v>
      </c>
    </row>
    <row r="20" spans="1:21" x14ac:dyDescent="0.3">
      <c r="A20" s="35" t="s">
        <v>156</v>
      </c>
      <c r="B20" s="35">
        <v>9</v>
      </c>
      <c r="D20" s="33">
        <f t="shared" si="1"/>
        <v>5.6046511627907005</v>
      </c>
      <c r="E20" s="3">
        <f>COUNTIF(Vertices[Degree], "&gt;= " &amp; D20) - COUNTIF(Vertices[Degree], "&gt;=" &amp; D21)</f>
        <v>0</v>
      </c>
      <c r="F20" s="38">
        <f t="shared" si="2"/>
        <v>2.9302325581395348</v>
      </c>
      <c r="G20" s="39">
        <f>COUNTIF(Vertices[In-Degree], "&gt;= " &amp; F20) - COUNTIF(Vertices[In-Degree], "&gt;=" &amp; F21)</f>
        <v>3</v>
      </c>
      <c r="H20" s="38">
        <f t="shared" si="3"/>
        <v>2.9302325581395348</v>
      </c>
      <c r="I20" s="39">
        <f>COUNTIF(Vertices[Out-Degree], "&gt;= " &amp; H20) - COUNTIF(Vertices[Out-Degree], "&gt;=" &amp; H21)</f>
        <v>6</v>
      </c>
      <c r="J20" s="38">
        <f t="shared" si="4"/>
        <v>493.54584697674443</v>
      </c>
      <c r="K20" s="39">
        <f>COUNTIF(Vertices[Betweenness Centrality], "&gt;= " &amp; J20) - COUNTIF(Vertices[Betweenness Centrality], "&gt;=" &amp; J21)</f>
        <v>0</v>
      </c>
      <c r="L20" s="38">
        <f t="shared" si="5"/>
        <v>0.42019767441860462</v>
      </c>
      <c r="M20" s="39">
        <f>COUNTIF(Vertices[Closeness Centrality], "&gt;= " &amp; L20) - COUNTIF(Vertices[Closeness Centrality], "&gt;=" &amp; L21)</f>
        <v>0</v>
      </c>
      <c r="N20" s="38">
        <f t="shared" si="6"/>
        <v>3.2806883720930213E-2</v>
      </c>
      <c r="O20" s="39">
        <f>COUNTIF(Vertices[Eigenvector Centrality], "&gt;= " &amp; N20) - COUNTIF(Vertices[Eigenvector Centrality], "&gt;=" &amp; N21)</f>
        <v>1</v>
      </c>
      <c r="P20" s="38">
        <f t="shared" si="7"/>
        <v>1.556310813953488</v>
      </c>
      <c r="Q20" s="39">
        <f>COUNTIF(Vertices[PageRank], "&gt;= " &amp; P20) - COUNTIF(Vertices[PageRank], "&gt;=" &amp; P21)</f>
        <v>0</v>
      </c>
      <c r="R20" s="38">
        <f t="shared" si="8"/>
        <v>0.20930232558139528</v>
      </c>
      <c r="S20" s="44">
        <f>COUNTIF(Vertices[Clustering Coefficient], "&gt;= " &amp; R20) - COUNTIF(Vertices[Clustering Coefficient], "&gt;=" &amp; R21)</f>
        <v>0</v>
      </c>
      <c r="T20" s="38" t="e">
        <f t="shared" ca="1" si="9"/>
        <v>#REF!</v>
      </c>
      <c r="U20" s="39" t="e">
        <f t="shared" ca="1" si="0"/>
        <v>#REF!</v>
      </c>
    </row>
    <row r="21" spans="1:21" x14ac:dyDescent="0.3">
      <c r="A21" s="35" t="s">
        <v>157</v>
      </c>
      <c r="B21" s="35">
        <v>3.5459260000000001</v>
      </c>
      <c r="D21" s="33">
        <f t="shared" si="1"/>
        <v>5.8604651162790731</v>
      </c>
      <c r="E21" s="3">
        <f>COUNTIF(Vertices[Degree], "&gt;= " &amp; D21) - COUNTIF(Vertices[Degree], "&gt;=" &amp; D22)</f>
        <v>2</v>
      </c>
      <c r="F21" s="40">
        <f t="shared" si="2"/>
        <v>3.0930232558139532</v>
      </c>
      <c r="G21" s="41">
        <f>COUNTIF(Vertices[In-Degree], "&gt;= " &amp; F21) - COUNTIF(Vertices[In-Degree], "&gt;=" &amp; F22)</f>
        <v>0</v>
      </c>
      <c r="H21" s="40">
        <f t="shared" si="3"/>
        <v>3.0930232558139532</v>
      </c>
      <c r="I21" s="41">
        <f>COUNTIF(Vertices[Out-Degree], "&gt;= " &amp; H21) - COUNTIF(Vertices[Out-Degree], "&gt;=" &amp; H22)</f>
        <v>0</v>
      </c>
      <c r="J21" s="40">
        <f t="shared" si="4"/>
        <v>520.96506069767463</v>
      </c>
      <c r="K21" s="41">
        <f>COUNTIF(Vertices[Betweenness Centrality], "&gt;= " &amp; J21) - COUNTIF(Vertices[Betweenness Centrality], "&gt;=" &amp; J22)</f>
        <v>0</v>
      </c>
      <c r="L21" s="40">
        <f t="shared" si="5"/>
        <v>0.44338976744186043</v>
      </c>
      <c r="M21" s="41">
        <f>COUNTIF(Vertices[Closeness Centrality], "&gt;= " &amp; L21) - COUNTIF(Vertices[Closeness Centrality], "&gt;=" &amp; L22)</f>
        <v>0</v>
      </c>
      <c r="N21" s="40">
        <f t="shared" si="6"/>
        <v>3.4629488372093002E-2</v>
      </c>
      <c r="O21" s="41">
        <f>COUNTIF(Vertices[Eigenvector Centrality], "&gt;= " &amp; N21) - COUNTIF(Vertices[Eigenvector Centrality], "&gt;=" &amp; N22)</f>
        <v>1</v>
      </c>
      <c r="P21" s="40">
        <f t="shared" si="7"/>
        <v>1.6218655813953484</v>
      </c>
      <c r="Q21" s="41">
        <f>COUNTIF(Vertices[PageRank], "&gt;= " &amp; P21) - COUNTIF(Vertices[PageRank], "&gt;=" &amp; P22)</f>
        <v>2</v>
      </c>
      <c r="R21" s="40">
        <f t="shared" si="8"/>
        <v>0.22093023255813946</v>
      </c>
      <c r="S21" s="45">
        <f>COUNTIF(Vertices[Clustering Coefficient], "&gt;= " &amp; R21) - COUNTIF(Vertices[Clustering Coefficient], "&gt;=" &amp; R22)</f>
        <v>0</v>
      </c>
      <c r="T21" s="40" t="e">
        <f t="shared" ca="1" si="9"/>
        <v>#REF!</v>
      </c>
      <c r="U21" s="41" t="e">
        <f t="shared" ca="1" si="0"/>
        <v>#REF!</v>
      </c>
    </row>
    <row r="22" spans="1:21" x14ac:dyDescent="0.3">
      <c r="A22" s="97"/>
      <c r="B22" s="97"/>
      <c r="D22" s="33">
        <f t="shared" si="1"/>
        <v>6.1162790697674456</v>
      </c>
      <c r="E22" s="3">
        <f>COUNTIF(Vertices[Degree], "&gt;= " &amp; D22) - COUNTIF(Vertices[Degree], "&gt;=" &amp; D23)</f>
        <v>0</v>
      </c>
      <c r="F22" s="38">
        <f t="shared" si="2"/>
        <v>3.2558139534883717</v>
      </c>
      <c r="G22" s="39">
        <f>COUNTIF(Vertices[In-Degree], "&gt;= " &amp; F22) - COUNTIF(Vertices[In-Degree], "&gt;=" &amp; F23)</f>
        <v>0</v>
      </c>
      <c r="H22" s="38">
        <f t="shared" si="3"/>
        <v>3.2558139534883717</v>
      </c>
      <c r="I22" s="39">
        <f>COUNTIF(Vertices[Out-Degree], "&gt;= " &amp; H22) - COUNTIF(Vertices[Out-Degree], "&gt;=" &amp; H23)</f>
        <v>0</v>
      </c>
      <c r="J22" s="38">
        <f t="shared" si="4"/>
        <v>548.38427441860483</v>
      </c>
      <c r="K22" s="39">
        <f>COUNTIF(Vertices[Betweenness Centrality], "&gt;= " &amp; J22) - COUNTIF(Vertices[Betweenness Centrality], "&gt;=" &amp; J23)</f>
        <v>1</v>
      </c>
      <c r="L22" s="38">
        <f t="shared" si="5"/>
        <v>0.46658186046511624</v>
      </c>
      <c r="M22" s="39">
        <f>COUNTIF(Vertices[Closeness Centrality], "&gt;= " &amp; L22) - COUNTIF(Vertices[Closeness Centrality], "&gt;=" &amp; L23)</f>
        <v>0</v>
      </c>
      <c r="N22" s="38">
        <f t="shared" si="6"/>
        <v>3.6452093023255791E-2</v>
      </c>
      <c r="O22" s="39">
        <f>COUNTIF(Vertices[Eigenvector Centrality], "&gt;= " &amp; N22) - COUNTIF(Vertices[Eigenvector Centrality], "&gt;=" &amp; N23)</f>
        <v>2</v>
      </c>
      <c r="P22" s="38">
        <f t="shared" si="7"/>
        <v>1.6874203488372088</v>
      </c>
      <c r="Q22" s="39">
        <f>COUNTIF(Vertices[PageRank], "&gt;= " &amp; P22) - COUNTIF(Vertices[PageRank], "&gt;=" &amp; P23)</f>
        <v>1</v>
      </c>
      <c r="R22" s="38">
        <f t="shared" si="8"/>
        <v>0.23255813953488363</v>
      </c>
      <c r="S22" s="44">
        <f>COUNTIF(Vertices[Clustering Coefficient], "&gt;= " &amp; R22) - COUNTIF(Vertices[Clustering Coefficient], "&gt;=" &amp; R23)</f>
        <v>0</v>
      </c>
      <c r="T22" s="38" t="e">
        <f t="shared" ca="1" si="9"/>
        <v>#REF!</v>
      </c>
      <c r="U22" s="39" t="e">
        <f t="shared" ca="1" si="0"/>
        <v>#REF!</v>
      </c>
    </row>
    <row r="23" spans="1:21" x14ac:dyDescent="0.3">
      <c r="A23" s="35" t="s">
        <v>158</v>
      </c>
      <c r="B23" s="35">
        <v>2.1288411699370603E-2</v>
      </c>
      <c r="D23" s="33">
        <f t="shared" si="1"/>
        <v>6.3720930232558182</v>
      </c>
      <c r="E23" s="3">
        <f>COUNTIF(Vertices[Degree], "&gt;= " &amp; D23) - COUNTIF(Vertices[Degree], "&gt;=" &amp; D24)</f>
        <v>0</v>
      </c>
      <c r="F23" s="40">
        <f t="shared" si="2"/>
        <v>3.4186046511627901</v>
      </c>
      <c r="G23" s="41">
        <f>COUNTIF(Vertices[In-Degree], "&gt;= " &amp; F23) - COUNTIF(Vertices[In-Degree], "&gt;=" &amp; F24)</f>
        <v>0</v>
      </c>
      <c r="H23" s="40">
        <f t="shared" si="3"/>
        <v>3.4186046511627901</v>
      </c>
      <c r="I23" s="41">
        <f>COUNTIF(Vertices[Out-Degree], "&gt;= " &amp; H23) - COUNTIF(Vertices[Out-Degree], "&gt;=" &amp; H24)</f>
        <v>0</v>
      </c>
      <c r="J23" s="40">
        <f t="shared" si="4"/>
        <v>575.80348813953503</v>
      </c>
      <c r="K23" s="41">
        <f>COUNTIF(Vertices[Betweenness Centrality], "&gt;= " &amp; J23) - COUNTIF(Vertices[Betweenness Centrality], "&gt;=" &amp; J24)</f>
        <v>0</v>
      </c>
      <c r="L23" s="40">
        <f t="shared" si="5"/>
        <v>0.48977395348837205</v>
      </c>
      <c r="M23" s="41">
        <f>COUNTIF(Vertices[Closeness Centrality], "&gt;= " &amp; L23) - COUNTIF(Vertices[Closeness Centrality], "&gt;=" &amp; L24)</f>
        <v>1</v>
      </c>
      <c r="N23" s="40">
        <f t="shared" si="6"/>
        <v>3.827469767441858E-2</v>
      </c>
      <c r="O23" s="41">
        <f>COUNTIF(Vertices[Eigenvector Centrality], "&gt;= " &amp; N23) - COUNTIF(Vertices[Eigenvector Centrality], "&gt;=" &amp; N24)</f>
        <v>1</v>
      </c>
      <c r="P23" s="40">
        <f t="shared" si="7"/>
        <v>1.7529751162790692</v>
      </c>
      <c r="Q23" s="41">
        <f>COUNTIF(Vertices[PageRank], "&gt;= " &amp; P23) - COUNTIF(Vertices[PageRank], "&gt;=" &amp; P24)</f>
        <v>0</v>
      </c>
      <c r="R23" s="40">
        <f t="shared" si="8"/>
        <v>0.24418604651162781</v>
      </c>
      <c r="S23" s="45">
        <f>COUNTIF(Vertices[Clustering Coefficient], "&gt;= " &amp; R23) - COUNTIF(Vertices[Clustering Coefficient], "&gt;=" &amp; R24)</f>
        <v>0</v>
      </c>
      <c r="T23" s="40" t="e">
        <f t="shared" ca="1" si="9"/>
        <v>#REF!</v>
      </c>
      <c r="U23" s="41" t="e">
        <f t="shared" ca="1" si="0"/>
        <v>#REF!</v>
      </c>
    </row>
    <row r="24" spans="1:21" x14ac:dyDescent="0.3">
      <c r="A24" s="35" t="s">
        <v>252</v>
      </c>
      <c r="B24" s="35" t="s">
        <v>254</v>
      </c>
      <c r="D24" s="33">
        <f t="shared" si="1"/>
        <v>6.6279069767441907</v>
      </c>
      <c r="E24" s="3">
        <f>COUNTIF(Vertices[Degree], "&gt;= " &amp; D24) - COUNTIF(Vertices[Degree], "&gt;=" &amp; D25)</f>
        <v>0</v>
      </c>
      <c r="F24" s="38">
        <f t="shared" si="2"/>
        <v>3.5813953488372086</v>
      </c>
      <c r="G24" s="39">
        <f>COUNTIF(Vertices[In-Degree], "&gt;= " &amp; F24) - COUNTIF(Vertices[In-Degree], "&gt;=" &amp; F25)</f>
        <v>0</v>
      </c>
      <c r="H24" s="38">
        <f t="shared" si="3"/>
        <v>3.5813953488372086</v>
      </c>
      <c r="I24" s="39">
        <f>COUNTIF(Vertices[Out-Degree], "&gt;= " &amp; H24) - COUNTIF(Vertices[Out-Degree], "&gt;=" &amp; H25)</f>
        <v>0</v>
      </c>
      <c r="J24" s="38">
        <f t="shared" si="4"/>
        <v>603.22270186046524</v>
      </c>
      <c r="K24" s="39">
        <f>COUNTIF(Vertices[Betweenness Centrality], "&gt;= " &amp; J24) - COUNTIF(Vertices[Betweenness Centrality], "&gt;=" &amp; J25)</f>
        <v>0</v>
      </c>
      <c r="L24" s="38">
        <f t="shared" si="5"/>
        <v>0.51296604651162792</v>
      </c>
      <c r="M24" s="39">
        <f>COUNTIF(Vertices[Closeness Centrality], "&gt;= " &amp; L24) - COUNTIF(Vertices[Closeness Centrality], "&gt;=" &amp; L25)</f>
        <v>0</v>
      </c>
      <c r="N24" s="38">
        <f t="shared" si="6"/>
        <v>4.0097302325581369E-2</v>
      </c>
      <c r="O24" s="39">
        <f>COUNTIF(Vertices[Eigenvector Centrality], "&gt;= " &amp; N24) - COUNTIF(Vertices[Eigenvector Centrality], "&gt;=" &amp; N25)</f>
        <v>1</v>
      </c>
      <c r="P24" s="38">
        <f t="shared" si="7"/>
        <v>1.8185298837209296</v>
      </c>
      <c r="Q24" s="39">
        <f>COUNTIF(Vertices[PageRank], "&gt;= " &amp; P24) - COUNTIF(Vertices[PageRank], "&gt;=" &amp; P25)</f>
        <v>1</v>
      </c>
      <c r="R24" s="38">
        <f t="shared" si="8"/>
        <v>0.25581395348837199</v>
      </c>
      <c r="S24" s="44">
        <f>COUNTIF(Vertices[Clustering Coefficient], "&gt;= " &amp; R24) - COUNTIF(Vertices[Clustering Coefficient], "&gt;=" &amp; R25)</f>
        <v>0</v>
      </c>
      <c r="T24" s="38" t="e">
        <f t="shared" ca="1" si="9"/>
        <v>#REF!</v>
      </c>
      <c r="U24" s="39" t="e">
        <f t="shared" ca="1" si="0"/>
        <v>#REF!</v>
      </c>
    </row>
    <row r="25" spans="1:21" x14ac:dyDescent="0.3">
      <c r="A25" s="97"/>
      <c r="B25" s="97"/>
      <c r="D25" s="33">
        <f t="shared" si="1"/>
        <v>6.8837209302325633</v>
      </c>
      <c r="E25" s="3">
        <f>COUNTIF(Vertices[Degree], "&gt;= " &amp; D25) - COUNTIF(Vertices[Degree], "&gt;=" &amp; D26)</f>
        <v>2</v>
      </c>
      <c r="F25" s="40">
        <f t="shared" si="2"/>
        <v>3.744186046511627</v>
      </c>
      <c r="G25" s="41">
        <f>COUNTIF(Vertices[In-Degree], "&gt;= " &amp; F25) - COUNTIF(Vertices[In-Degree], "&gt;=" &amp; F26)</f>
        <v>0</v>
      </c>
      <c r="H25" s="40">
        <f t="shared" si="3"/>
        <v>3.744186046511627</v>
      </c>
      <c r="I25" s="41">
        <f>COUNTIF(Vertices[Out-Degree], "&gt;= " &amp; H25) - COUNTIF(Vertices[Out-Degree], "&gt;=" &amp; H26)</f>
        <v>0</v>
      </c>
      <c r="J25" s="40">
        <f t="shared" si="4"/>
        <v>630.64191558139544</v>
      </c>
      <c r="K25" s="41">
        <f>COUNTIF(Vertices[Betweenness Centrality], "&gt;= " &amp; J25) - COUNTIF(Vertices[Betweenness Centrality], "&gt;=" &amp; J26)</f>
        <v>0</v>
      </c>
      <c r="L25" s="40">
        <f t="shared" si="5"/>
        <v>0.53615813953488378</v>
      </c>
      <c r="M25" s="41">
        <f>COUNTIF(Vertices[Closeness Centrality], "&gt;= " &amp; L25) - COUNTIF(Vertices[Closeness Centrality], "&gt;=" &amp; L26)</f>
        <v>0</v>
      </c>
      <c r="N25" s="40">
        <f t="shared" si="6"/>
        <v>4.1919906976744158E-2</v>
      </c>
      <c r="O25" s="41">
        <f>COUNTIF(Vertices[Eigenvector Centrality], "&gt;= " &amp; N25) - COUNTIF(Vertices[Eigenvector Centrality], "&gt;=" &amp; N26)</f>
        <v>1</v>
      </c>
      <c r="P25" s="40">
        <f t="shared" si="7"/>
        <v>1.88408465116279</v>
      </c>
      <c r="Q25" s="41">
        <f>COUNTIF(Vertices[PageRank], "&gt;= " &amp; P25) - COUNTIF(Vertices[PageRank], "&gt;=" &amp; P26)</f>
        <v>1</v>
      </c>
      <c r="R25" s="40">
        <f t="shared" si="8"/>
        <v>0.2674418604651162</v>
      </c>
      <c r="S25" s="45">
        <f>COUNTIF(Vertices[Clustering Coefficient], "&gt;= " &amp; R25) - COUNTIF(Vertices[Clustering Coefficient], "&gt;=" &amp; R26)</f>
        <v>0</v>
      </c>
      <c r="T25" s="40" t="e">
        <f t="shared" ca="1" si="9"/>
        <v>#REF!</v>
      </c>
      <c r="U25" s="41" t="e">
        <f t="shared" ca="1" si="0"/>
        <v>#REF!</v>
      </c>
    </row>
    <row r="26" spans="1:21" x14ac:dyDescent="0.3">
      <c r="A26" s="35" t="s">
        <v>253</v>
      </c>
      <c r="B26" s="35" t="s">
        <v>255</v>
      </c>
      <c r="D26" s="33">
        <f t="shared" si="1"/>
        <v>7.1395348837209358</v>
      </c>
      <c r="E26" s="3">
        <f>COUNTIF(Vertices[Degree], "&gt;= " &amp; D26) - COUNTIF(Vertices[Degree], "&gt;=" &amp; D27)</f>
        <v>0</v>
      </c>
      <c r="F26" s="38">
        <f t="shared" si="2"/>
        <v>3.9069767441860455</v>
      </c>
      <c r="G26" s="39">
        <f>COUNTIF(Vertices[In-Degree], "&gt;= " &amp; F26) - COUNTIF(Vertices[In-Degree], "&gt;=" &amp; F27)</f>
        <v>4</v>
      </c>
      <c r="H26" s="38">
        <f t="shared" si="3"/>
        <v>3.9069767441860455</v>
      </c>
      <c r="I26" s="39">
        <f>COUNTIF(Vertices[Out-Degree], "&gt;= " &amp; H26) - COUNTIF(Vertices[Out-Degree], "&gt;=" &amp; H27)</f>
        <v>4</v>
      </c>
      <c r="J26" s="38">
        <f t="shared" si="4"/>
        <v>658.06112930232564</v>
      </c>
      <c r="K26" s="39">
        <f>COUNTIF(Vertices[Betweenness Centrality], "&gt;= " &amp; J26) - COUNTIF(Vertices[Betweenness Centrality], "&gt;=" &amp; J27)</f>
        <v>0</v>
      </c>
      <c r="L26" s="38">
        <f t="shared" si="5"/>
        <v>0.55935023255813965</v>
      </c>
      <c r="M26" s="39">
        <f>COUNTIF(Vertices[Closeness Centrality], "&gt;= " &amp; L26) - COUNTIF(Vertices[Closeness Centrality], "&gt;=" &amp; L27)</f>
        <v>0</v>
      </c>
      <c r="N26" s="38">
        <f t="shared" si="6"/>
        <v>4.3742511627906946E-2</v>
      </c>
      <c r="O26" s="39">
        <f>COUNTIF(Vertices[Eigenvector Centrality], "&gt;= " &amp; N26) - COUNTIF(Vertices[Eigenvector Centrality], "&gt;=" &amp; N27)</f>
        <v>1</v>
      </c>
      <c r="P26" s="38">
        <f t="shared" si="7"/>
        <v>1.9496394186046504</v>
      </c>
      <c r="Q26" s="39">
        <f>COUNTIF(Vertices[PageRank], "&gt;= " &amp; P26) - COUNTIF(Vertices[PageRank], "&gt;=" &amp; P27)</f>
        <v>1</v>
      </c>
      <c r="R26" s="38">
        <f t="shared" si="8"/>
        <v>0.27906976744186041</v>
      </c>
      <c r="S26" s="44">
        <f>COUNTIF(Vertices[Clustering Coefficient], "&gt;= " &amp; R26) - COUNTIF(Vertices[Clustering Coefficient], "&gt;=" &amp; R27)</f>
        <v>0</v>
      </c>
      <c r="T26" s="38" t="e">
        <f t="shared" ca="1" si="9"/>
        <v>#REF!</v>
      </c>
      <c r="U26" s="39" t="e">
        <f t="shared" ca="1" si="0"/>
        <v>#REF!</v>
      </c>
    </row>
    <row r="27" spans="1:21" x14ac:dyDescent="0.3">
      <c r="D27" s="33">
        <f t="shared" si="1"/>
        <v>7.3953488372093084</v>
      </c>
      <c r="E27" s="3">
        <f>COUNTIF(Vertices[Degree], "&gt;= " &amp; D27) - COUNTIF(Vertices[Degree], "&gt;=" &amp; D28)</f>
        <v>0</v>
      </c>
      <c r="F27" s="40">
        <f t="shared" si="2"/>
        <v>4.0697674418604644</v>
      </c>
      <c r="G27" s="41">
        <f>COUNTIF(Vertices[In-Degree], "&gt;= " &amp; F27) - COUNTIF(Vertices[In-Degree], "&gt;=" &amp; F28)</f>
        <v>0</v>
      </c>
      <c r="H27" s="40">
        <f t="shared" si="3"/>
        <v>4.0697674418604644</v>
      </c>
      <c r="I27" s="41">
        <f>COUNTIF(Vertices[Out-Degree], "&gt;= " &amp; H27) - COUNTIF(Vertices[Out-Degree], "&gt;=" &amp; H28)</f>
        <v>0</v>
      </c>
      <c r="J27" s="40">
        <f t="shared" si="4"/>
        <v>685.48034302325584</v>
      </c>
      <c r="K27" s="41">
        <f>COUNTIF(Vertices[Betweenness Centrality], "&gt;= " &amp; J27) - COUNTIF(Vertices[Betweenness Centrality], "&gt;=" &amp; J28)</f>
        <v>1</v>
      </c>
      <c r="L27" s="40">
        <f t="shared" si="5"/>
        <v>0.58254232558139551</v>
      </c>
      <c r="M27" s="41">
        <f>COUNTIF(Vertices[Closeness Centrality], "&gt;= " &amp; L27) - COUNTIF(Vertices[Closeness Centrality], "&gt;=" &amp; L28)</f>
        <v>0</v>
      </c>
      <c r="N27" s="40">
        <f t="shared" si="6"/>
        <v>4.5565116279069735E-2</v>
      </c>
      <c r="O27" s="41">
        <f>COUNTIF(Vertices[Eigenvector Centrality], "&gt;= " &amp; N27) - COUNTIF(Vertices[Eigenvector Centrality], "&gt;=" &amp; N28)</f>
        <v>0</v>
      </c>
      <c r="P27" s="40">
        <f t="shared" si="7"/>
        <v>2.0151941860465108</v>
      </c>
      <c r="Q27" s="41">
        <f>COUNTIF(Vertices[PageRank], "&gt;= " &amp; P27) - COUNTIF(Vertices[PageRank], "&gt;=" &amp; P28)</f>
        <v>0</v>
      </c>
      <c r="R27" s="40">
        <f t="shared" si="8"/>
        <v>0.29069767441860461</v>
      </c>
      <c r="S27" s="45">
        <f>COUNTIF(Vertices[Clustering Coefficient], "&gt;= " &amp; R27) - COUNTIF(Vertices[Clustering Coefficient], "&gt;=" &amp; R28)</f>
        <v>0</v>
      </c>
      <c r="T27" s="40" t="e">
        <f t="shared" ca="1" si="9"/>
        <v>#REF!</v>
      </c>
      <c r="U27" s="41" t="e">
        <f t="shared" ca="1" si="0"/>
        <v>#REF!</v>
      </c>
    </row>
    <row r="28" spans="1:21" x14ac:dyDescent="0.3">
      <c r="D28" s="33">
        <f t="shared" si="1"/>
        <v>7.6511627906976809</v>
      </c>
      <c r="E28" s="3">
        <f>COUNTIF(Vertices[Degree], "&gt;= " &amp; D28) - COUNTIF(Vertices[Degree], "&gt;=" &amp; D29)</f>
        <v>0</v>
      </c>
      <c r="F28" s="38">
        <f t="shared" si="2"/>
        <v>4.2325581395348832</v>
      </c>
      <c r="G28" s="39">
        <f>COUNTIF(Vertices[In-Degree], "&gt;= " &amp; F28) - COUNTIF(Vertices[In-Degree], "&gt;=" &amp; F29)</f>
        <v>0</v>
      </c>
      <c r="H28" s="38">
        <f t="shared" si="3"/>
        <v>4.2325581395348832</v>
      </c>
      <c r="I28" s="39">
        <f>COUNTIF(Vertices[Out-Degree], "&gt;= " &amp; H28) - COUNTIF(Vertices[Out-Degree], "&gt;=" &amp; H29)</f>
        <v>0</v>
      </c>
      <c r="J28" s="38">
        <f t="shared" si="4"/>
        <v>712.89955674418604</v>
      </c>
      <c r="K28" s="39">
        <f>COUNTIF(Vertices[Betweenness Centrality], "&gt;= " &amp; J28) - COUNTIF(Vertices[Betweenness Centrality], "&gt;=" &amp; J29)</f>
        <v>1</v>
      </c>
      <c r="L28" s="38">
        <f t="shared" si="5"/>
        <v>0.60573441860465138</v>
      </c>
      <c r="M28" s="39">
        <f>COUNTIF(Vertices[Closeness Centrality], "&gt;= " &amp; L28) - COUNTIF(Vertices[Closeness Centrality], "&gt;=" &amp; L29)</f>
        <v>0</v>
      </c>
      <c r="N28" s="38">
        <f t="shared" si="6"/>
        <v>4.7387720930232524E-2</v>
      </c>
      <c r="O28" s="39">
        <f>COUNTIF(Vertices[Eigenvector Centrality], "&gt;= " &amp; N28) - COUNTIF(Vertices[Eigenvector Centrality], "&gt;=" &amp; N29)</f>
        <v>1</v>
      </c>
      <c r="P28" s="38">
        <f t="shared" si="7"/>
        <v>2.0807489534883712</v>
      </c>
      <c r="Q28" s="39">
        <f>COUNTIF(Vertices[PageRank], "&gt;= " &amp; P28) - COUNTIF(Vertices[PageRank], "&gt;=" &amp; P29)</f>
        <v>1</v>
      </c>
      <c r="R28" s="38">
        <f t="shared" si="8"/>
        <v>0.30232558139534882</v>
      </c>
      <c r="S28" s="44">
        <f>COUNTIF(Vertices[Clustering Coefficient], "&gt;= " &amp; R28) - COUNTIF(Vertices[Clustering Coefficient], "&gt;=" &amp; R29)</f>
        <v>0</v>
      </c>
      <c r="T28" s="38" t="e">
        <f t="shared" ca="1" si="9"/>
        <v>#REF!</v>
      </c>
      <c r="U28" s="39" t="e">
        <f t="shared" ca="1" si="0"/>
        <v>#REF!</v>
      </c>
    </row>
    <row r="29" spans="1:21" x14ac:dyDescent="0.3">
      <c r="A29" t="s">
        <v>163</v>
      </c>
      <c r="B29" t="s">
        <v>17</v>
      </c>
      <c r="D29" s="33">
        <f t="shared" si="1"/>
        <v>7.9069767441860535</v>
      </c>
      <c r="E29" s="3">
        <f>COUNTIF(Vertices[Degree], "&gt;= " &amp; D29) - COUNTIF(Vertices[Degree], "&gt;=" &amp; D30)</f>
        <v>2</v>
      </c>
      <c r="F29" s="40">
        <f t="shared" si="2"/>
        <v>4.3953488372093021</v>
      </c>
      <c r="G29" s="41">
        <f>COUNTIF(Vertices[In-Degree], "&gt;= " &amp; F29) - COUNTIF(Vertices[In-Degree], "&gt;=" &amp; F30)</f>
        <v>0</v>
      </c>
      <c r="H29" s="40">
        <f t="shared" si="3"/>
        <v>4.3953488372093021</v>
      </c>
      <c r="I29" s="41">
        <f>COUNTIF(Vertices[Out-Degree], "&gt;= " &amp; H29) - COUNTIF(Vertices[Out-Degree], "&gt;=" &amp; H30)</f>
        <v>0</v>
      </c>
      <c r="J29" s="40">
        <f t="shared" si="4"/>
        <v>740.31877046511624</v>
      </c>
      <c r="K29" s="41">
        <f>COUNTIF(Vertices[Betweenness Centrality], "&gt;= " &amp; J29) - COUNTIF(Vertices[Betweenness Centrality], "&gt;=" &amp; J30)</f>
        <v>0</v>
      </c>
      <c r="L29" s="40">
        <f t="shared" si="5"/>
        <v>0.62892651162790725</v>
      </c>
      <c r="M29" s="41">
        <f>COUNTIF(Vertices[Closeness Centrality], "&gt;= " &amp; L29) - COUNTIF(Vertices[Closeness Centrality], "&gt;=" &amp; L30)</f>
        <v>0</v>
      </c>
      <c r="N29" s="40">
        <f t="shared" si="6"/>
        <v>4.9210325581395313E-2</v>
      </c>
      <c r="O29" s="41">
        <f>COUNTIF(Vertices[Eigenvector Centrality], "&gt;= " &amp; N29) - COUNTIF(Vertices[Eigenvector Centrality], "&gt;=" &amp; N30)</f>
        <v>0</v>
      </c>
      <c r="P29" s="40">
        <f t="shared" si="7"/>
        <v>2.1463037209302316</v>
      </c>
      <c r="Q29" s="41">
        <f>COUNTIF(Vertices[PageRank], "&gt;= " &amp; P29) - COUNTIF(Vertices[PageRank], "&gt;=" &amp; P30)</f>
        <v>0</v>
      </c>
      <c r="R29" s="40">
        <f t="shared" si="8"/>
        <v>0.31395348837209303</v>
      </c>
      <c r="S29" s="45">
        <f>COUNTIF(Vertices[Clustering Coefficient], "&gt;= " &amp; R29) - COUNTIF(Vertices[Clustering Coefficient], "&gt;=" &amp; R30)</f>
        <v>0</v>
      </c>
      <c r="T29" s="40" t="e">
        <f t="shared" ca="1" si="9"/>
        <v>#REF!</v>
      </c>
      <c r="U29" s="41" t="e">
        <f t="shared" ca="1" si="0"/>
        <v>#REF!</v>
      </c>
    </row>
    <row r="30" spans="1:21" x14ac:dyDescent="0.3">
      <c r="A30" s="34"/>
      <c r="B30" s="34"/>
      <c r="D30" s="33">
        <f t="shared" si="1"/>
        <v>8.162790697674426</v>
      </c>
      <c r="E30" s="3">
        <f>COUNTIF(Vertices[Degree], "&gt;= " &amp; D30) - COUNTIF(Vertices[Degree], "&gt;=" &amp; D31)</f>
        <v>0</v>
      </c>
      <c r="F30" s="38">
        <f t="shared" si="2"/>
        <v>4.558139534883721</v>
      </c>
      <c r="G30" s="39">
        <f>COUNTIF(Vertices[In-Degree], "&gt;= " &amp; F30) - COUNTIF(Vertices[In-Degree], "&gt;=" &amp; F31)</f>
        <v>0</v>
      </c>
      <c r="H30" s="38">
        <f t="shared" si="3"/>
        <v>4.558139534883721</v>
      </c>
      <c r="I30" s="39">
        <f>COUNTIF(Vertices[Out-Degree], "&gt;= " &amp; H30) - COUNTIF(Vertices[Out-Degree], "&gt;=" &amp; H31)</f>
        <v>0</v>
      </c>
      <c r="J30" s="38">
        <f t="shared" si="4"/>
        <v>767.73798418604645</v>
      </c>
      <c r="K30" s="39">
        <f>COUNTIF(Vertices[Betweenness Centrality], "&gt;= " &amp; J30) - COUNTIF(Vertices[Betweenness Centrality], "&gt;=" &amp; J31)</f>
        <v>0</v>
      </c>
      <c r="L30" s="38">
        <f t="shared" si="5"/>
        <v>0.65211860465116311</v>
      </c>
      <c r="M30" s="39">
        <f>COUNTIF(Vertices[Closeness Centrality], "&gt;= " &amp; L30) - COUNTIF(Vertices[Closeness Centrality], "&gt;=" &amp; L31)</f>
        <v>0</v>
      </c>
      <c r="N30" s="38">
        <f t="shared" si="6"/>
        <v>5.1032930232558102E-2</v>
      </c>
      <c r="O30" s="39">
        <f>COUNTIF(Vertices[Eigenvector Centrality], "&gt;= " &amp; N30) - COUNTIF(Vertices[Eigenvector Centrality], "&gt;=" &amp; N31)</f>
        <v>1</v>
      </c>
      <c r="P30" s="38">
        <f t="shared" si="7"/>
        <v>2.211858488372092</v>
      </c>
      <c r="Q30" s="39">
        <f>COUNTIF(Vertices[PageRank], "&gt;= " &amp; P30) - COUNTIF(Vertices[PageRank], "&gt;=" &amp; P31)</f>
        <v>0</v>
      </c>
      <c r="R30" s="38">
        <f t="shared" si="8"/>
        <v>0.32558139534883723</v>
      </c>
      <c r="S30" s="44">
        <f>COUNTIF(Vertices[Clustering Coefficient], "&gt;= " &amp; R30) - COUNTIF(Vertices[Clustering Coefficient], "&gt;=" &amp; R31)</f>
        <v>2</v>
      </c>
      <c r="T30" s="38" t="e">
        <f t="shared" ca="1" si="9"/>
        <v>#REF!</v>
      </c>
      <c r="U30" s="39" t="e">
        <f t="shared" ca="1" si="0"/>
        <v>#REF!</v>
      </c>
    </row>
    <row r="31" spans="1:21" x14ac:dyDescent="0.3">
      <c r="A31" s="34"/>
      <c r="B31" s="34"/>
      <c r="D31" s="33">
        <f t="shared" si="1"/>
        <v>8.4186046511627985</v>
      </c>
      <c r="E31" s="3">
        <f>COUNTIF(Vertices[Degree], "&gt;= " &amp; D31) - COUNTIF(Vertices[Degree], "&gt;=" &amp; D32)</f>
        <v>0</v>
      </c>
      <c r="F31" s="40">
        <f t="shared" si="2"/>
        <v>4.7209302325581399</v>
      </c>
      <c r="G31" s="41">
        <f>COUNTIF(Vertices[In-Degree], "&gt;= " &amp; F31) - COUNTIF(Vertices[In-Degree], "&gt;=" &amp; F32)</f>
        <v>0</v>
      </c>
      <c r="H31" s="40">
        <f t="shared" si="3"/>
        <v>4.7209302325581399</v>
      </c>
      <c r="I31" s="41">
        <f>COUNTIF(Vertices[Out-Degree], "&gt;= " &amp; H31) - COUNTIF(Vertices[Out-Degree], "&gt;=" &amp; H32)</f>
        <v>0</v>
      </c>
      <c r="J31" s="40">
        <f t="shared" si="4"/>
        <v>795.15719790697665</v>
      </c>
      <c r="K31" s="41">
        <f>COUNTIF(Vertices[Betweenness Centrality], "&gt;= " &amp; J31) - COUNTIF(Vertices[Betweenness Centrality], "&gt;=" &amp; J32)</f>
        <v>0</v>
      </c>
      <c r="L31" s="40">
        <f t="shared" si="5"/>
        <v>0.67531069767441898</v>
      </c>
      <c r="M31" s="41">
        <f>COUNTIF(Vertices[Closeness Centrality], "&gt;= " &amp; L31) - COUNTIF(Vertices[Closeness Centrality], "&gt;=" &amp; L32)</f>
        <v>0</v>
      </c>
      <c r="N31" s="40">
        <f t="shared" si="6"/>
        <v>5.2855534883720891E-2</v>
      </c>
      <c r="O31" s="41">
        <f>COUNTIF(Vertices[Eigenvector Centrality], "&gt;= " &amp; N31) - COUNTIF(Vertices[Eigenvector Centrality], "&gt;=" &amp; N32)</f>
        <v>0</v>
      </c>
      <c r="P31" s="40">
        <f t="shared" si="7"/>
        <v>2.2774132558139524</v>
      </c>
      <c r="Q31" s="41">
        <f>COUNTIF(Vertices[PageRank], "&gt;= " &amp; P31) - COUNTIF(Vertices[PageRank], "&gt;=" &amp; P32)</f>
        <v>0</v>
      </c>
      <c r="R31" s="40">
        <f t="shared" si="8"/>
        <v>0.33720930232558144</v>
      </c>
      <c r="S31" s="45">
        <f>COUNTIF(Vertices[Clustering Coefficient], "&gt;= " &amp; R31) - COUNTIF(Vertices[Clustering Coefficient], "&gt;=" &amp; R32)</f>
        <v>0</v>
      </c>
      <c r="T31" s="40" t="e">
        <f t="shared" ca="1" si="9"/>
        <v>#REF!</v>
      </c>
      <c r="U31" s="41" t="e">
        <f t="shared" ca="1" si="0"/>
        <v>#REF!</v>
      </c>
    </row>
    <row r="32" spans="1:21" x14ac:dyDescent="0.3">
      <c r="A32" s="34"/>
      <c r="B32" s="34"/>
      <c r="D32" s="33">
        <f t="shared" si="1"/>
        <v>8.6744186046511711</v>
      </c>
      <c r="E32" s="3">
        <f>COUNTIF(Vertices[Degree], "&gt;= " &amp; D32) - COUNTIF(Vertices[Degree], "&gt;=" &amp; D33)</f>
        <v>0</v>
      </c>
      <c r="F32" s="38">
        <f t="shared" si="2"/>
        <v>4.8837209302325588</v>
      </c>
      <c r="G32" s="39">
        <f>COUNTIF(Vertices[In-Degree], "&gt;= " &amp; F32) - COUNTIF(Vertices[In-Degree], "&gt;=" &amp; F33)</f>
        <v>4</v>
      </c>
      <c r="H32" s="38">
        <f t="shared" si="3"/>
        <v>4.8837209302325588</v>
      </c>
      <c r="I32" s="39">
        <f>COUNTIF(Vertices[Out-Degree], "&gt;= " &amp; H32) - COUNTIF(Vertices[Out-Degree], "&gt;=" &amp; H33)</f>
        <v>2</v>
      </c>
      <c r="J32" s="38">
        <f t="shared" si="4"/>
        <v>822.57641162790685</v>
      </c>
      <c r="K32" s="39">
        <f>COUNTIF(Vertices[Betweenness Centrality], "&gt;= " &amp; J32) - COUNTIF(Vertices[Betweenness Centrality], "&gt;=" &amp; J33)</f>
        <v>0</v>
      </c>
      <c r="L32" s="38">
        <f t="shared" si="5"/>
        <v>0.69850279069767485</v>
      </c>
      <c r="M32" s="39">
        <f>COUNTIF(Vertices[Closeness Centrality], "&gt;= " &amp; L32) - COUNTIF(Vertices[Closeness Centrality], "&gt;=" &amp; L33)</f>
        <v>0</v>
      </c>
      <c r="N32" s="38">
        <f t="shared" si="6"/>
        <v>5.467813953488368E-2</v>
      </c>
      <c r="O32" s="39">
        <f>COUNTIF(Vertices[Eigenvector Centrality], "&gt;= " &amp; N32) - COUNTIF(Vertices[Eigenvector Centrality], "&gt;=" &amp; N33)</f>
        <v>0</v>
      </c>
      <c r="P32" s="38">
        <f t="shared" si="7"/>
        <v>2.3429680232558128</v>
      </c>
      <c r="Q32" s="39">
        <f>COUNTIF(Vertices[PageRank], "&gt;= " &amp; P32) - COUNTIF(Vertices[PageRank], "&gt;=" &amp; P33)</f>
        <v>1</v>
      </c>
      <c r="R32" s="38">
        <f t="shared" si="8"/>
        <v>0.34883720930232565</v>
      </c>
      <c r="S32" s="44">
        <f>COUNTIF(Vertices[Clustering Coefficient], "&gt;= " &amp; R32) - COUNTIF(Vertices[Clustering Coefficient], "&gt;=" &amp; R33)</f>
        <v>0</v>
      </c>
      <c r="T32" s="38" t="e">
        <f t="shared" ca="1" si="9"/>
        <v>#REF!</v>
      </c>
      <c r="U32" s="39" t="e">
        <f t="shared" ca="1" si="0"/>
        <v>#REF!</v>
      </c>
    </row>
    <row r="33" spans="1:21" x14ac:dyDescent="0.3">
      <c r="D33" s="33">
        <f t="shared" si="1"/>
        <v>8.9302325581395436</v>
      </c>
      <c r="E33" s="3">
        <f>COUNTIF(Vertices[Degree], "&gt;= " &amp; D33) - COUNTIF(Vertices[Degree], "&gt;=" &amp; D34)</f>
        <v>2</v>
      </c>
      <c r="F33" s="40">
        <f t="shared" si="2"/>
        <v>5.0465116279069777</v>
      </c>
      <c r="G33" s="41">
        <f>COUNTIF(Vertices[In-Degree], "&gt;= " &amp; F33) - COUNTIF(Vertices[In-Degree], "&gt;=" &amp; F34)</f>
        <v>0</v>
      </c>
      <c r="H33" s="40">
        <f t="shared" si="3"/>
        <v>5.0465116279069777</v>
      </c>
      <c r="I33" s="41">
        <f>COUNTIF(Vertices[Out-Degree], "&gt;= " &amp; H33) - COUNTIF(Vertices[Out-Degree], "&gt;=" &amp; H34)</f>
        <v>0</v>
      </c>
      <c r="J33" s="40">
        <f t="shared" si="4"/>
        <v>849.99562534883705</v>
      </c>
      <c r="K33" s="41">
        <f>COUNTIF(Vertices[Betweenness Centrality], "&gt;= " &amp; J33) - COUNTIF(Vertices[Betweenness Centrality], "&gt;=" &amp; J34)</f>
        <v>2</v>
      </c>
      <c r="L33" s="40">
        <f t="shared" si="5"/>
        <v>0.72169488372093071</v>
      </c>
      <c r="M33" s="41">
        <f>COUNTIF(Vertices[Closeness Centrality], "&gt;= " &amp; L33) - COUNTIF(Vertices[Closeness Centrality], "&gt;=" &amp; L34)</f>
        <v>0</v>
      </c>
      <c r="N33" s="40">
        <f t="shared" si="6"/>
        <v>5.6500744186046468E-2</v>
      </c>
      <c r="O33" s="41">
        <f>COUNTIF(Vertices[Eigenvector Centrality], "&gt;= " &amp; N33) - COUNTIF(Vertices[Eigenvector Centrality], "&gt;=" &amp; N34)</f>
        <v>0</v>
      </c>
      <c r="P33" s="40">
        <f t="shared" si="7"/>
        <v>2.4085227906976732</v>
      </c>
      <c r="Q33" s="41">
        <f>COUNTIF(Vertices[PageRank], "&gt;= " &amp; P33) - COUNTIF(Vertices[PageRank], "&gt;=" &amp; P34)</f>
        <v>0</v>
      </c>
      <c r="R33" s="40">
        <f t="shared" si="8"/>
        <v>0.36046511627906985</v>
      </c>
      <c r="S33" s="45">
        <f>COUNTIF(Vertices[Clustering Coefficient], "&gt;= " &amp; R33) - COUNTIF(Vertices[Clustering Coefficient], "&gt;=" &amp; R34)</f>
        <v>0</v>
      </c>
      <c r="T33" s="40" t="e">
        <f t="shared" ca="1" si="9"/>
        <v>#REF!</v>
      </c>
      <c r="U33" s="41" t="e">
        <f t="shared" ca="1" si="0"/>
        <v>#REF!</v>
      </c>
    </row>
    <row r="34" spans="1:21" x14ac:dyDescent="0.3">
      <c r="D34" s="33">
        <f t="shared" si="1"/>
        <v>9.1860465116279162</v>
      </c>
      <c r="E34" s="3">
        <f>COUNTIF(Vertices[Degree], "&gt;= " &amp; D34) - COUNTIF(Vertices[Degree], "&gt;=" &amp; D35)</f>
        <v>0</v>
      </c>
      <c r="F34" s="38">
        <f t="shared" si="2"/>
        <v>5.2093023255813966</v>
      </c>
      <c r="G34" s="39">
        <f>COUNTIF(Vertices[In-Degree], "&gt;= " &amp; F34) - COUNTIF(Vertices[In-Degree], "&gt;=" &amp; F35)</f>
        <v>0</v>
      </c>
      <c r="H34" s="38">
        <f t="shared" si="3"/>
        <v>5.2093023255813966</v>
      </c>
      <c r="I34" s="39">
        <f>COUNTIF(Vertices[Out-Degree], "&gt;= " &amp; H34) - COUNTIF(Vertices[Out-Degree], "&gt;=" &amp; H35)</f>
        <v>0</v>
      </c>
      <c r="J34" s="38">
        <f t="shared" si="4"/>
        <v>877.41483906976725</v>
      </c>
      <c r="K34" s="39">
        <f>COUNTIF(Vertices[Betweenness Centrality], "&gt;= " &amp; J34) - COUNTIF(Vertices[Betweenness Centrality], "&gt;=" &amp; J35)</f>
        <v>0</v>
      </c>
      <c r="L34" s="38">
        <f t="shared" si="5"/>
        <v>0.74488697674418658</v>
      </c>
      <c r="M34" s="39">
        <f>COUNTIF(Vertices[Closeness Centrality], "&gt;= " &amp; L34) - COUNTIF(Vertices[Closeness Centrality], "&gt;=" &amp; L35)</f>
        <v>0</v>
      </c>
      <c r="N34" s="38">
        <f t="shared" si="6"/>
        <v>5.8323348837209257E-2</v>
      </c>
      <c r="O34" s="39">
        <f>COUNTIF(Vertices[Eigenvector Centrality], "&gt;= " &amp; N34) - COUNTIF(Vertices[Eigenvector Centrality], "&gt;=" &amp; N35)</f>
        <v>0</v>
      </c>
      <c r="P34" s="38">
        <f t="shared" si="7"/>
        <v>2.4740775581395336</v>
      </c>
      <c r="Q34" s="39">
        <f>COUNTIF(Vertices[PageRank], "&gt;= " &amp; P34) - COUNTIF(Vertices[PageRank], "&gt;=" &amp; P35)</f>
        <v>0</v>
      </c>
      <c r="R34" s="38">
        <f t="shared" si="8"/>
        <v>0.37209302325581406</v>
      </c>
      <c r="S34" s="44">
        <f>COUNTIF(Vertices[Clustering Coefficient], "&gt;= " &amp; R34) - COUNTIF(Vertices[Clustering Coefficient], "&gt;=" &amp; R35)</f>
        <v>0</v>
      </c>
      <c r="T34" s="38" t="e">
        <f t="shared" ca="1" si="9"/>
        <v>#REF!</v>
      </c>
      <c r="U34" s="39" t="e">
        <f t="shared" ca="1" si="0"/>
        <v>#REF!</v>
      </c>
    </row>
    <row r="35" spans="1:21" x14ac:dyDescent="0.3">
      <c r="D35" s="33">
        <f t="shared" si="1"/>
        <v>9.4418604651162887</v>
      </c>
      <c r="E35" s="3">
        <f>COUNTIF(Vertices[Degree], "&gt;= " &amp; D35) - COUNTIF(Vertices[Degree], "&gt;=" &amp; D36)</f>
        <v>0</v>
      </c>
      <c r="F35" s="40">
        <f t="shared" si="2"/>
        <v>5.3720930232558155</v>
      </c>
      <c r="G35" s="41">
        <f>COUNTIF(Vertices[In-Degree], "&gt;= " &amp; F35) - COUNTIF(Vertices[In-Degree], "&gt;=" &amp; F36)</f>
        <v>0</v>
      </c>
      <c r="H35" s="40">
        <f t="shared" si="3"/>
        <v>5.3720930232558155</v>
      </c>
      <c r="I35" s="41">
        <f>COUNTIF(Vertices[Out-Degree], "&gt;= " &amp; H35) - COUNTIF(Vertices[Out-Degree], "&gt;=" &amp; H36)</f>
        <v>0</v>
      </c>
      <c r="J35" s="40">
        <f t="shared" si="4"/>
        <v>904.83405279069746</v>
      </c>
      <c r="K35" s="41">
        <f>COUNTIF(Vertices[Betweenness Centrality], "&gt;= " &amp; J35) - COUNTIF(Vertices[Betweenness Centrality], "&gt;=" &amp; J36)</f>
        <v>0</v>
      </c>
      <c r="L35" s="40">
        <f t="shared" si="5"/>
        <v>0.76807906976744245</v>
      </c>
      <c r="M35" s="41">
        <f>COUNTIF(Vertices[Closeness Centrality], "&gt;= " &amp; L35) - COUNTIF(Vertices[Closeness Centrality], "&gt;=" &amp; L36)</f>
        <v>0</v>
      </c>
      <c r="N35" s="40">
        <f t="shared" si="6"/>
        <v>6.0145953488372046E-2</v>
      </c>
      <c r="O35" s="41">
        <f>COUNTIF(Vertices[Eigenvector Centrality], "&gt;= " &amp; N35) - COUNTIF(Vertices[Eigenvector Centrality], "&gt;=" &amp; N36)</f>
        <v>0</v>
      </c>
      <c r="P35" s="40">
        <f t="shared" si="7"/>
        <v>2.539632325581394</v>
      </c>
      <c r="Q35" s="41">
        <f>COUNTIF(Vertices[PageRank], "&gt;= " &amp; P35) - COUNTIF(Vertices[PageRank], "&gt;=" &amp; P36)</f>
        <v>0</v>
      </c>
      <c r="R35" s="40">
        <f t="shared" si="8"/>
        <v>0.38372093023255827</v>
      </c>
      <c r="S35" s="45">
        <f>COUNTIF(Vertices[Clustering Coefficient], "&gt;= " &amp; R35) - COUNTIF(Vertices[Clustering Coefficient], "&gt;=" &amp; R36)</f>
        <v>0</v>
      </c>
      <c r="T35" s="40" t="e">
        <f t="shared" ca="1" si="9"/>
        <v>#REF!</v>
      </c>
      <c r="U35" s="41" t="e">
        <f t="shared" ca="1" si="0"/>
        <v>#REF!</v>
      </c>
    </row>
    <row r="36" spans="1:21" x14ac:dyDescent="0.3">
      <c r="D36" s="33">
        <f t="shared" si="1"/>
        <v>9.6976744186046613</v>
      </c>
      <c r="E36" s="3">
        <f>COUNTIF(Vertices[Degree], "&gt;= " &amp; D36) - COUNTIF(Vertices[Degree], "&gt;=" &amp; D37)</f>
        <v>0</v>
      </c>
      <c r="F36" s="38">
        <f t="shared" si="2"/>
        <v>5.5348837209302344</v>
      </c>
      <c r="G36" s="39">
        <f>COUNTIF(Vertices[In-Degree], "&gt;= " &amp; F36) - COUNTIF(Vertices[In-Degree], "&gt;=" &amp; F37)</f>
        <v>0</v>
      </c>
      <c r="H36" s="38">
        <f t="shared" si="3"/>
        <v>5.5348837209302344</v>
      </c>
      <c r="I36" s="39">
        <f>COUNTIF(Vertices[Out-Degree], "&gt;= " &amp; H36) - COUNTIF(Vertices[Out-Degree], "&gt;=" &amp; H37)</f>
        <v>0</v>
      </c>
      <c r="J36" s="38">
        <f t="shared" si="4"/>
        <v>932.25326651162766</v>
      </c>
      <c r="K36" s="39">
        <f>COUNTIF(Vertices[Betweenness Centrality], "&gt;= " &amp; J36) - COUNTIF(Vertices[Betweenness Centrality], "&gt;=" &amp; J37)</f>
        <v>0</v>
      </c>
      <c r="L36" s="38">
        <f t="shared" si="5"/>
        <v>0.79127116279069831</v>
      </c>
      <c r="M36" s="39">
        <f>COUNTIF(Vertices[Closeness Centrality], "&gt;= " &amp; L36) - COUNTIF(Vertices[Closeness Centrality], "&gt;=" &amp; L37)</f>
        <v>0</v>
      </c>
      <c r="N36" s="38">
        <f t="shared" si="6"/>
        <v>6.1968558139534835E-2</v>
      </c>
      <c r="O36" s="39">
        <f>COUNTIF(Vertices[Eigenvector Centrality], "&gt;= " &amp; N36) - COUNTIF(Vertices[Eigenvector Centrality], "&gt;=" &amp; N37)</f>
        <v>0</v>
      </c>
      <c r="P36" s="38">
        <f t="shared" si="7"/>
        <v>2.6051870930232544</v>
      </c>
      <c r="Q36" s="39">
        <f>COUNTIF(Vertices[PageRank], "&gt;= " &amp; P36) - COUNTIF(Vertices[PageRank], "&gt;=" &amp; P37)</f>
        <v>0</v>
      </c>
      <c r="R36" s="38">
        <f t="shared" si="8"/>
        <v>0.39534883720930247</v>
      </c>
      <c r="S36" s="44">
        <f>COUNTIF(Vertices[Clustering Coefficient], "&gt;= " &amp; R36) - COUNTIF(Vertices[Clustering Coefficient], "&gt;=" &amp; R37)</f>
        <v>0</v>
      </c>
      <c r="T36" s="38" t="e">
        <f t="shared" ca="1" si="9"/>
        <v>#REF!</v>
      </c>
      <c r="U36" s="39" t="e">
        <f t="shared" ca="1" si="0"/>
        <v>#REF!</v>
      </c>
    </row>
    <row r="37" spans="1:21" x14ac:dyDescent="0.3">
      <c r="D37" s="33">
        <f t="shared" si="1"/>
        <v>9.9534883720930338</v>
      </c>
      <c r="E37" s="3">
        <f>COUNTIF(Vertices[Degree], "&gt;= " &amp; D37) - COUNTIF(Vertices[Degree], "&gt;=" &amp; D38)</f>
        <v>1</v>
      </c>
      <c r="F37" s="40">
        <f t="shared" si="2"/>
        <v>5.6976744186046533</v>
      </c>
      <c r="G37" s="41">
        <f>COUNTIF(Vertices[In-Degree], "&gt;= " &amp; F37) - COUNTIF(Vertices[In-Degree], "&gt;=" &amp; F38)</f>
        <v>0</v>
      </c>
      <c r="H37" s="40">
        <f t="shared" si="3"/>
        <v>5.6976744186046533</v>
      </c>
      <c r="I37" s="41">
        <f>COUNTIF(Vertices[Out-Degree], "&gt;= " &amp; H37) - COUNTIF(Vertices[Out-Degree], "&gt;=" &amp; H38)</f>
        <v>0</v>
      </c>
      <c r="J37" s="40">
        <f t="shared" si="4"/>
        <v>959.67248023255786</v>
      </c>
      <c r="K37" s="41">
        <f>COUNTIF(Vertices[Betweenness Centrality], "&gt;= " &amp; J37) - COUNTIF(Vertices[Betweenness Centrality], "&gt;=" &amp; J38)</f>
        <v>0</v>
      </c>
      <c r="L37" s="40">
        <f t="shared" si="5"/>
        <v>0.81446325581395418</v>
      </c>
      <c r="M37" s="41">
        <f>COUNTIF(Vertices[Closeness Centrality], "&gt;= " &amp; L37) - COUNTIF(Vertices[Closeness Centrality], "&gt;=" &amp; L38)</f>
        <v>0</v>
      </c>
      <c r="N37" s="40">
        <f t="shared" si="6"/>
        <v>6.3791162790697631E-2</v>
      </c>
      <c r="O37" s="41">
        <f>COUNTIF(Vertices[Eigenvector Centrality], "&gt;= " &amp; N37) - COUNTIF(Vertices[Eigenvector Centrality], "&gt;=" &amp; N38)</f>
        <v>0</v>
      </c>
      <c r="P37" s="40">
        <f t="shared" si="7"/>
        <v>2.6707418604651147</v>
      </c>
      <c r="Q37" s="41">
        <f>COUNTIF(Vertices[PageRank], "&gt;= " &amp; P37) - COUNTIF(Vertices[PageRank], "&gt;=" &amp; P38)</f>
        <v>0</v>
      </c>
      <c r="R37" s="40">
        <f t="shared" si="8"/>
        <v>0.40697674418604668</v>
      </c>
      <c r="S37" s="45">
        <f>COUNTIF(Vertices[Clustering Coefficient], "&gt;= " &amp; R37) - COUNTIF(Vertices[Clustering Coefficient], "&gt;=" &amp; R38)</f>
        <v>0</v>
      </c>
      <c r="T37" s="40" t="e">
        <f t="shared" ca="1" si="9"/>
        <v>#REF!</v>
      </c>
      <c r="U37" s="41" t="e">
        <f t="shared" ca="1" si="0"/>
        <v>#REF!</v>
      </c>
    </row>
    <row r="38" spans="1:21" x14ac:dyDescent="0.3">
      <c r="D38" s="33">
        <f t="shared" si="1"/>
        <v>10.209302325581406</v>
      </c>
      <c r="E38" s="3">
        <f>COUNTIF(Vertices[Degree], "&gt;= " &amp; D38) - COUNTIF(Vertices[Degree], "&gt;=" &amp; D39)</f>
        <v>0</v>
      </c>
      <c r="F38" s="38">
        <f t="shared" si="2"/>
        <v>5.8604651162790722</v>
      </c>
      <c r="G38" s="39">
        <f>COUNTIF(Vertices[In-Degree], "&gt;= " &amp; F38) - COUNTIF(Vertices[In-Degree], "&gt;=" &amp; F39)</f>
        <v>0</v>
      </c>
      <c r="H38" s="38">
        <f t="shared" si="3"/>
        <v>5.8604651162790722</v>
      </c>
      <c r="I38" s="39">
        <f>COUNTIF(Vertices[Out-Degree], "&gt;= " &amp; H38) - COUNTIF(Vertices[Out-Degree], "&gt;=" &amp; H39)</f>
        <v>1</v>
      </c>
      <c r="J38" s="38">
        <f t="shared" si="4"/>
        <v>987.09169395348806</v>
      </c>
      <c r="K38" s="39">
        <f>COUNTIF(Vertices[Betweenness Centrality], "&gt;= " &amp; J38) - COUNTIF(Vertices[Betweenness Centrality], "&gt;=" &amp; J39)</f>
        <v>0</v>
      </c>
      <c r="L38" s="38">
        <f t="shared" si="5"/>
        <v>0.83765534883721005</v>
      </c>
      <c r="M38" s="39">
        <f>COUNTIF(Vertices[Closeness Centrality], "&gt;= " &amp; L38) - COUNTIF(Vertices[Closeness Centrality], "&gt;=" &amp; L39)</f>
        <v>0</v>
      </c>
      <c r="N38" s="38">
        <f t="shared" si="6"/>
        <v>6.5613767441860427E-2</v>
      </c>
      <c r="O38" s="39">
        <f>COUNTIF(Vertices[Eigenvector Centrality], "&gt;= " &amp; N38) - COUNTIF(Vertices[Eigenvector Centrality], "&gt;=" &amp; N39)</f>
        <v>0</v>
      </c>
      <c r="P38" s="38">
        <f t="shared" si="7"/>
        <v>2.7362966279069751</v>
      </c>
      <c r="Q38" s="39">
        <f>COUNTIF(Vertices[PageRank], "&gt;= " &amp; P38) - COUNTIF(Vertices[PageRank], "&gt;=" &amp; P39)</f>
        <v>2</v>
      </c>
      <c r="R38" s="38">
        <f t="shared" si="8"/>
        <v>0.41860465116279089</v>
      </c>
      <c r="S38" s="44">
        <f>COUNTIF(Vertices[Clustering Coefficient], "&gt;= " &amp; R38) - COUNTIF(Vertices[Clustering Coefficient], "&gt;=" &amp; R39)</f>
        <v>0</v>
      </c>
      <c r="T38" s="38" t="e">
        <f t="shared" ca="1" si="9"/>
        <v>#REF!</v>
      </c>
      <c r="U38" s="39" t="e">
        <f t="shared" ca="1" si="0"/>
        <v>#REF!</v>
      </c>
    </row>
    <row r="39" spans="1:21" x14ac:dyDescent="0.3">
      <c r="D39" s="33">
        <f t="shared" si="1"/>
        <v>10.465116279069779</v>
      </c>
      <c r="E39" s="3">
        <f>COUNTIF(Vertices[Degree], "&gt;= " &amp; D39) - COUNTIF(Vertices[Degree], "&gt;=" &amp; D40)</f>
        <v>0</v>
      </c>
      <c r="F39" s="40">
        <f t="shared" si="2"/>
        <v>6.0232558139534911</v>
      </c>
      <c r="G39" s="41">
        <f>COUNTIF(Vertices[In-Degree], "&gt;= " &amp; F39) - COUNTIF(Vertices[In-Degree], "&gt;=" &amp; F40)</f>
        <v>0</v>
      </c>
      <c r="H39" s="40">
        <f t="shared" si="3"/>
        <v>6.0232558139534911</v>
      </c>
      <c r="I39" s="41">
        <f>COUNTIF(Vertices[Out-Degree], "&gt;= " &amp; H39) - COUNTIF(Vertices[Out-Degree], "&gt;=" &amp; H40)</f>
        <v>0</v>
      </c>
      <c r="J39" s="40">
        <f t="shared" si="4"/>
        <v>1014.5109076744183</v>
      </c>
      <c r="K39" s="41">
        <f>COUNTIF(Vertices[Betweenness Centrality], "&gt;= " &amp; J39) - COUNTIF(Vertices[Betweenness Centrality], "&gt;=" &amp; J40)</f>
        <v>0</v>
      </c>
      <c r="L39" s="40">
        <f t="shared" si="5"/>
        <v>0.86084744186046591</v>
      </c>
      <c r="M39" s="41">
        <f>COUNTIF(Vertices[Closeness Centrality], "&gt;= " &amp; L39) - COUNTIF(Vertices[Closeness Centrality], "&gt;=" &amp; L40)</f>
        <v>0</v>
      </c>
      <c r="N39" s="40">
        <f t="shared" si="6"/>
        <v>6.7436372093023222E-2</v>
      </c>
      <c r="O39" s="41">
        <f>COUNTIF(Vertices[Eigenvector Centrality], "&gt;= " &amp; N39) - COUNTIF(Vertices[Eigenvector Centrality], "&gt;=" &amp; N40)</f>
        <v>0</v>
      </c>
      <c r="P39" s="40">
        <f t="shared" si="7"/>
        <v>2.8018513953488355</v>
      </c>
      <c r="Q39" s="41">
        <f>COUNTIF(Vertices[PageRank], "&gt;= " &amp; P39) - COUNTIF(Vertices[PageRank], "&gt;=" &amp; P40)</f>
        <v>0</v>
      </c>
      <c r="R39" s="40">
        <f t="shared" si="8"/>
        <v>0.43023255813953509</v>
      </c>
      <c r="S39" s="45">
        <f>COUNTIF(Vertices[Clustering Coefficient], "&gt;= " &amp; R39) - COUNTIF(Vertices[Clustering Coefficient], "&gt;=" &amp; R40)</f>
        <v>0</v>
      </c>
      <c r="T39" s="40" t="e">
        <f t="shared" ca="1" si="9"/>
        <v>#REF!</v>
      </c>
      <c r="U39" s="41" t="e">
        <f t="shared" ca="1" si="0"/>
        <v>#REF!</v>
      </c>
    </row>
    <row r="40" spans="1:21" x14ac:dyDescent="0.3">
      <c r="D40" s="33">
        <f t="shared" si="1"/>
        <v>10.720930232558151</v>
      </c>
      <c r="E40" s="3">
        <f>COUNTIF(Vertices[Degree], "&gt;= " &amp; D40) - COUNTIF(Vertices[Degree], "&gt;=" &amp; D41)</f>
        <v>0</v>
      </c>
      <c r="F40" s="38">
        <f t="shared" si="2"/>
        <v>6.18604651162791</v>
      </c>
      <c r="G40" s="39">
        <f>COUNTIF(Vertices[In-Degree], "&gt;= " &amp; F40) - COUNTIF(Vertices[In-Degree], "&gt;=" &amp; F41)</f>
        <v>0</v>
      </c>
      <c r="H40" s="38">
        <f t="shared" si="3"/>
        <v>6.18604651162791</v>
      </c>
      <c r="I40" s="39">
        <f>COUNTIF(Vertices[Out-Degree], "&gt;= " &amp; H40) - COUNTIF(Vertices[Out-Degree], "&gt;=" &amp; H41)</f>
        <v>0</v>
      </c>
      <c r="J40" s="38">
        <f t="shared" si="4"/>
        <v>1041.9301213953486</v>
      </c>
      <c r="K40" s="39">
        <f>COUNTIF(Vertices[Betweenness Centrality], "&gt;= " &amp; J40) - COUNTIF(Vertices[Betweenness Centrality], "&gt;=" &amp; J41)</f>
        <v>0</v>
      </c>
      <c r="L40" s="38">
        <f t="shared" si="5"/>
        <v>0.88403953488372178</v>
      </c>
      <c r="M40" s="39">
        <f>COUNTIF(Vertices[Closeness Centrality], "&gt;= " &amp; L40) - COUNTIF(Vertices[Closeness Centrality], "&gt;=" &amp; L41)</f>
        <v>0</v>
      </c>
      <c r="N40" s="38">
        <f t="shared" si="6"/>
        <v>6.9258976744186018E-2</v>
      </c>
      <c r="O40" s="39">
        <f>COUNTIF(Vertices[Eigenvector Centrality], "&gt;= " &amp; N40) - COUNTIF(Vertices[Eigenvector Centrality], "&gt;=" &amp; N41)</f>
        <v>0</v>
      </c>
      <c r="P40" s="38">
        <f t="shared" si="7"/>
        <v>2.8674061627906959</v>
      </c>
      <c r="Q40" s="39">
        <f>COUNTIF(Vertices[PageRank], "&gt;= " &amp; P40) - COUNTIF(Vertices[PageRank], "&gt;=" &amp; P41)</f>
        <v>0</v>
      </c>
      <c r="R40" s="38">
        <f t="shared" si="8"/>
        <v>0.4418604651162793</v>
      </c>
      <c r="S40" s="44">
        <f>COUNTIF(Vertices[Clustering Coefficient], "&gt;= " &amp; R40) - COUNTIF(Vertices[Clustering Coefficient], "&gt;=" &amp; R41)</f>
        <v>0</v>
      </c>
      <c r="T40" s="38" t="e">
        <f t="shared" ca="1" si="9"/>
        <v>#REF!</v>
      </c>
      <c r="U40" s="39" t="e">
        <f t="shared" ca="1" si="0"/>
        <v>#REF!</v>
      </c>
    </row>
    <row r="41" spans="1:21" x14ac:dyDescent="0.3">
      <c r="D41" s="33">
        <f t="shared" si="1"/>
        <v>10.976744186046524</v>
      </c>
      <c r="E41" s="3">
        <f>COUNTIF(Vertices[Degree], "&gt;= " &amp; D41) - COUNTIF(Vertices[Degree], "&gt;=" &amp; D42)</f>
        <v>0</v>
      </c>
      <c r="F41" s="40">
        <f t="shared" si="2"/>
        <v>6.3488372093023289</v>
      </c>
      <c r="G41" s="41">
        <f>COUNTIF(Vertices[In-Degree], "&gt;= " &amp; F41) - COUNTIF(Vertices[In-Degree], "&gt;=" &amp; F42)</f>
        <v>0</v>
      </c>
      <c r="H41" s="40">
        <f t="shared" si="3"/>
        <v>6.3488372093023289</v>
      </c>
      <c r="I41" s="41">
        <f>COUNTIF(Vertices[Out-Degree], "&gt;= " &amp; H41) - COUNTIF(Vertices[Out-Degree], "&gt;=" &amp; H42)</f>
        <v>0</v>
      </c>
      <c r="J41" s="40">
        <f t="shared" si="4"/>
        <v>1069.3493351162788</v>
      </c>
      <c r="K41" s="41">
        <f>COUNTIF(Vertices[Betweenness Centrality], "&gt;= " &amp; J41) - COUNTIF(Vertices[Betweenness Centrality], "&gt;=" &amp; J42)</f>
        <v>0</v>
      </c>
      <c r="L41" s="40">
        <f t="shared" si="5"/>
        <v>0.90723162790697764</v>
      </c>
      <c r="M41" s="41">
        <f>COUNTIF(Vertices[Closeness Centrality], "&gt;= " &amp; L41) - COUNTIF(Vertices[Closeness Centrality], "&gt;=" &amp; L42)</f>
        <v>0</v>
      </c>
      <c r="N41" s="40">
        <f t="shared" si="6"/>
        <v>7.1081581395348814E-2</v>
      </c>
      <c r="O41" s="41">
        <f>COUNTIF(Vertices[Eigenvector Centrality], "&gt;= " &amp; N41) - COUNTIF(Vertices[Eigenvector Centrality], "&gt;=" &amp; N42)</f>
        <v>0</v>
      </c>
      <c r="P41" s="40">
        <f t="shared" si="7"/>
        <v>2.9329609302325563</v>
      </c>
      <c r="Q41" s="41">
        <f>COUNTIF(Vertices[PageRank], "&gt;= " &amp; P41) - COUNTIF(Vertices[PageRank], "&gt;=" &amp; P42)</f>
        <v>0</v>
      </c>
      <c r="R41" s="40">
        <f t="shared" si="8"/>
        <v>0.45348837209302351</v>
      </c>
      <c r="S41" s="45">
        <f>COUNTIF(Vertices[Clustering Coefficient], "&gt;= " &amp; R41) - COUNTIF(Vertices[Clustering Coefficient], "&gt;=" &amp; R42)</f>
        <v>0</v>
      </c>
      <c r="T41" s="40" t="e">
        <f t="shared" ca="1" si="9"/>
        <v>#REF!</v>
      </c>
      <c r="U41" s="41" t="e">
        <f t="shared" ca="1" si="0"/>
        <v>#REF!</v>
      </c>
    </row>
    <row r="42" spans="1:21" x14ac:dyDescent="0.3">
      <c r="D42" s="33">
        <f t="shared" si="1"/>
        <v>11.232558139534897</v>
      </c>
      <c r="E42" s="3">
        <f>COUNTIF(Vertices[Degree], "&gt;= " &amp; D42) - COUNTIF(Vertices[Degree], "&gt;=" &amp; D43)</f>
        <v>0</v>
      </c>
      <c r="F42" s="38">
        <f t="shared" si="2"/>
        <v>6.5116279069767478</v>
      </c>
      <c r="G42" s="39">
        <f>COUNTIF(Vertices[In-Degree], "&gt;= " &amp; F42) - COUNTIF(Vertices[In-Degree], "&gt;=" &amp; F43)</f>
        <v>0</v>
      </c>
      <c r="H42" s="38">
        <f t="shared" si="3"/>
        <v>6.5116279069767478</v>
      </c>
      <c r="I42" s="39">
        <f>COUNTIF(Vertices[Out-Degree], "&gt;= " &amp; H42) - COUNTIF(Vertices[Out-Degree], "&gt;=" &amp; H43)</f>
        <v>0</v>
      </c>
      <c r="J42" s="38">
        <f t="shared" si="4"/>
        <v>1096.768548837209</v>
      </c>
      <c r="K42" s="39">
        <f>COUNTIF(Vertices[Betweenness Centrality], "&gt;= " &amp; J42) - COUNTIF(Vertices[Betweenness Centrality], "&gt;=" &amp; J43)</f>
        <v>0</v>
      </c>
      <c r="L42" s="38">
        <f t="shared" si="5"/>
        <v>0.93042372093023351</v>
      </c>
      <c r="M42" s="39">
        <f>COUNTIF(Vertices[Closeness Centrality], "&gt;= " &amp; L42) - COUNTIF(Vertices[Closeness Centrality], "&gt;=" &amp; L43)</f>
        <v>0</v>
      </c>
      <c r="N42" s="38">
        <f t="shared" si="6"/>
        <v>7.290418604651161E-2</v>
      </c>
      <c r="O42" s="39">
        <f>COUNTIF(Vertices[Eigenvector Centrality], "&gt;= " &amp; N42) - COUNTIF(Vertices[Eigenvector Centrality], "&gt;=" &amp; N43)</f>
        <v>0</v>
      </c>
      <c r="P42" s="38">
        <f t="shared" si="7"/>
        <v>2.9985156976744167</v>
      </c>
      <c r="Q42" s="39">
        <f>COUNTIF(Vertices[PageRank], "&gt;= " &amp; P42) - COUNTIF(Vertices[PageRank], "&gt;=" &amp; P43)</f>
        <v>0</v>
      </c>
      <c r="R42" s="38">
        <f t="shared" si="8"/>
        <v>0.46511627906976771</v>
      </c>
      <c r="S42" s="44">
        <f>COUNTIF(Vertices[Clustering Coefficient], "&gt;= " &amp; R42) - COUNTIF(Vertices[Clustering Coefficient], "&gt;=" &amp; R43)</f>
        <v>0</v>
      </c>
      <c r="T42" s="38" t="e">
        <f t="shared" ca="1" si="9"/>
        <v>#REF!</v>
      </c>
      <c r="U42" s="39" t="e">
        <f t="shared" ca="1" si="0"/>
        <v>#REF!</v>
      </c>
    </row>
    <row r="43" spans="1:21" x14ac:dyDescent="0.3">
      <c r="A43" s="34" t="s">
        <v>81</v>
      </c>
      <c r="B43" s="47">
        <f>IF(COUNT(Vertices[Degree])&gt;0, D2, NoMetricMessage)</f>
        <v>1</v>
      </c>
      <c r="D43" s="33">
        <f t="shared" si="1"/>
        <v>11.488372093023269</v>
      </c>
      <c r="E43" s="3">
        <f>COUNTIF(Vertices[Degree], "&gt;= " &amp; D43) - COUNTIF(Vertices[Degree], "&gt;=" &amp; D44)</f>
        <v>0</v>
      </c>
      <c r="F43" s="40">
        <f t="shared" si="2"/>
        <v>6.6744186046511667</v>
      </c>
      <c r="G43" s="41">
        <f>COUNTIF(Vertices[In-Degree], "&gt;= " &amp; F43) - COUNTIF(Vertices[In-Degree], "&gt;=" &amp; F44)</f>
        <v>0</v>
      </c>
      <c r="H43" s="40">
        <f t="shared" si="3"/>
        <v>6.6744186046511667</v>
      </c>
      <c r="I43" s="41">
        <f>COUNTIF(Vertices[Out-Degree], "&gt;= " &amp; H43) - COUNTIF(Vertices[Out-Degree], "&gt;=" &amp; H44)</f>
        <v>0</v>
      </c>
      <c r="J43" s="40">
        <f t="shared" si="4"/>
        <v>1124.1877625581392</v>
      </c>
      <c r="K43" s="41">
        <f>COUNTIF(Vertices[Betweenness Centrality], "&gt;= " &amp; J43) - COUNTIF(Vertices[Betweenness Centrality], "&gt;=" &amp; J44)</f>
        <v>1</v>
      </c>
      <c r="L43" s="40">
        <f t="shared" si="5"/>
        <v>0.95361581395348938</v>
      </c>
      <c r="M43" s="41">
        <f>COUNTIF(Vertices[Closeness Centrality], "&gt;= " &amp; L43) - COUNTIF(Vertices[Closeness Centrality], "&gt;=" &amp; L44)</f>
        <v>0</v>
      </c>
      <c r="N43" s="40">
        <f t="shared" si="6"/>
        <v>7.4726790697674406E-2</v>
      </c>
      <c r="O43" s="41">
        <f>COUNTIF(Vertices[Eigenvector Centrality], "&gt;= " &amp; N43) - COUNTIF(Vertices[Eigenvector Centrality], "&gt;=" &amp; N44)</f>
        <v>0</v>
      </c>
      <c r="P43" s="40">
        <f t="shared" si="7"/>
        <v>3.0640704651162771</v>
      </c>
      <c r="Q43" s="41">
        <f>COUNTIF(Vertices[PageRank], "&gt;= " &amp; P43) - COUNTIF(Vertices[PageRank], "&gt;=" &amp; P44)</f>
        <v>0</v>
      </c>
      <c r="R43" s="40">
        <f t="shared" si="8"/>
        <v>0.47674418604651192</v>
      </c>
      <c r="S43" s="45">
        <f>COUNTIF(Vertices[Clustering Coefficient], "&gt;= " &amp; R43) - COUNTIF(Vertices[Clustering Coefficient], "&gt;=" &amp; R44)</f>
        <v>0</v>
      </c>
      <c r="T43" s="40" t="e">
        <f t="shared" ca="1" si="9"/>
        <v>#REF!</v>
      </c>
      <c r="U43" s="41" t="e">
        <f t="shared" ca="1" si="0"/>
        <v>#REF!</v>
      </c>
    </row>
    <row r="44" spans="1:21" x14ac:dyDescent="0.3">
      <c r="A44" s="34" t="s">
        <v>82</v>
      </c>
      <c r="B44" s="47">
        <f>IF(COUNT(Vertices[Degree])&gt;0, D45, NoMetricMessage)</f>
        <v>12</v>
      </c>
      <c r="D44" s="33">
        <f t="shared" si="1"/>
        <v>11.744186046511642</v>
      </c>
      <c r="E44" s="3">
        <f>COUNTIF(Vertices[Degree], "&gt;= " &amp; D44) - COUNTIF(Vertices[Degree], "&gt;=" &amp; D45)</f>
        <v>0</v>
      </c>
      <c r="F44" s="38">
        <f t="shared" si="2"/>
        <v>6.8372093023255855</v>
      </c>
      <c r="G44" s="39">
        <f>COUNTIF(Vertices[In-Degree], "&gt;= " &amp; F44) - COUNTIF(Vertices[In-Degree], "&gt;=" &amp; F45)</f>
        <v>0</v>
      </c>
      <c r="H44" s="38">
        <f t="shared" si="3"/>
        <v>6.8372093023255855</v>
      </c>
      <c r="I44" s="39">
        <f>COUNTIF(Vertices[Out-Degree], "&gt;= " &amp; H44) - COUNTIF(Vertices[Out-Degree], "&gt;=" &amp; H45)</f>
        <v>0</v>
      </c>
      <c r="J44" s="38">
        <f t="shared" si="4"/>
        <v>1151.6069762790694</v>
      </c>
      <c r="K44" s="39">
        <f>COUNTIF(Vertices[Betweenness Centrality], "&gt;= " &amp; J44) - COUNTIF(Vertices[Betweenness Centrality], "&gt;=" &amp; J45)</f>
        <v>0</v>
      </c>
      <c r="L44" s="38">
        <f t="shared" si="5"/>
        <v>0.97680790697674524</v>
      </c>
      <c r="M44" s="39">
        <f>COUNTIF(Vertices[Closeness Centrality], "&gt;= " &amp; L44) - COUNTIF(Vertices[Closeness Centrality], "&gt;=" &amp; L45)</f>
        <v>0</v>
      </c>
      <c r="N44" s="38">
        <f t="shared" si="6"/>
        <v>7.6549395348837201E-2</v>
      </c>
      <c r="O44" s="39">
        <f>COUNTIF(Vertices[Eigenvector Centrality], "&gt;= " &amp; N44) - COUNTIF(Vertices[Eigenvector Centrality], "&gt;=" &amp; N45)</f>
        <v>0</v>
      </c>
      <c r="P44" s="38">
        <f t="shared" si="7"/>
        <v>3.1296252325581375</v>
      </c>
      <c r="Q44" s="39">
        <f>COUNTIF(Vertices[PageRank], "&gt;= " &amp; P44) - COUNTIF(Vertices[PageRank], "&gt;=" &amp; P45)</f>
        <v>0</v>
      </c>
      <c r="R44" s="38">
        <f t="shared" si="8"/>
        <v>0.48837209302325613</v>
      </c>
      <c r="S44" s="44">
        <f>COUNTIF(Vertices[Clustering Coefficient], "&gt;= " &amp; R44) - COUNTIF(Vertices[Clustering Coefficient], "&gt;=" &amp; R45)</f>
        <v>0</v>
      </c>
      <c r="T44" s="38" t="e">
        <f t="shared" ca="1" si="9"/>
        <v>#REF!</v>
      </c>
      <c r="U44" s="39" t="e">
        <f t="shared" ca="1" si="0"/>
        <v>#REF!</v>
      </c>
    </row>
    <row r="45" spans="1:21" x14ac:dyDescent="0.3">
      <c r="A45" s="34" t="s">
        <v>83</v>
      </c>
      <c r="B45" s="48">
        <f>IFERROR(AVERAGE(Vertices[Degree]),NoMetricMessage)</f>
        <v>2.8947368421052633</v>
      </c>
      <c r="D45" s="33">
        <f>MAX(Vertices[Degree])</f>
        <v>12</v>
      </c>
      <c r="E45" s="3">
        <f>COUNTIF(Vertices[Degree], "&gt;= " &amp; D45) - COUNTIF(Vertices[Degree], "&gt;=" &amp; D46)</f>
        <v>1</v>
      </c>
      <c r="F45" s="42">
        <f>MAX(Vertices[In-Degree])</f>
        <v>7</v>
      </c>
      <c r="G45" s="43">
        <f>COUNTIF(Vertices[In-Degree], "&gt;= " &amp; F45) - COUNTIF(Vertices[In-Degree], "&gt;=" &amp; F46)</f>
        <v>1</v>
      </c>
      <c r="H45" s="42">
        <f>MAX(Vertices[Out-Degree])</f>
        <v>7</v>
      </c>
      <c r="I45" s="43">
        <f>COUNTIF(Vertices[Out-Degree], "&gt;= " &amp; H45) - COUNTIF(Vertices[Out-Degree], "&gt;=" &amp; H46)</f>
        <v>1</v>
      </c>
      <c r="J45" s="42">
        <f>MAX(Vertices[Betweenness Centrality])</f>
        <v>1179.02619</v>
      </c>
      <c r="K45" s="43">
        <f>COUNTIF(Vertices[Betweenness Centrality], "&gt;= " &amp; J45) - COUNTIF(Vertices[Betweenness Centrality], "&gt;=" &amp; J46)</f>
        <v>1</v>
      </c>
      <c r="L45" s="42">
        <f>MAX(Vertices[Closeness Centrality])</f>
        <v>1</v>
      </c>
      <c r="M45" s="43">
        <f>COUNTIF(Vertices[Closeness Centrality], "&gt;= " &amp; L45) - COUNTIF(Vertices[Closeness Centrality], "&gt;=" &amp; L46)</f>
        <v>6</v>
      </c>
      <c r="N45" s="42">
        <f>MAX(Vertices[Eigenvector Centrality])</f>
        <v>7.8371999999999997E-2</v>
      </c>
      <c r="O45" s="43">
        <f>COUNTIF(Vertices[Eigenvector Centrality], "&gt;= " &amp; N45) - COUNTIF(Vertices[Eigenvector Centrality], "&gt;=" &amp; N46)</f>
        <v>1</v>
      </c>
      <c r="P45" s="42">
        <f>MAX(Vertices[PageRank])</f>
        <v>3.1951800000000001</v>
      </c>
      <c r="Q45" s="43">
        <f>COUNTIF(Vertices[PageRank], "&gt;= " &amp; P45) - COUNTIF(Vertices[PageRank], "&gt;=" &amp; P46)</f>
        <v>1</v>
      </c>
      <c r="R45" s="42">
        <f>MAX(Vertices[Clustering Coefficient])</f>
        <v>0.5</v>
      </c>
      <c r="S45" s="46">
        <f>COUNTIF(Vertices[Clustering Coefficient], "&gt;= " &amp; R45) - COUNTIF(Vertices[Clustering Coefficient], "&gt;=" &amp; R46)</f>
        <v>3</v>
      </c>
      <c r="T45" s="42" t="e">
        <f ca="1">MAX(INDIRECT(DynamicFilterSourceColumnRange))</f>
        <v>#REF!</v>
      </c>
      <c r="U45" s="43" t="e">
        <f t="shared" ca="1" si="0"/>
        <v>#REF!</v>
      </c>
    </row>
    <row r="46" spans="1:21" x14ac:dyDescent="0.3">
      <c r="A46" s="34" t="s">
        <v>84</v>
      </c>
      <c r="B46" s="48">
        <f>IFERROR(MEDIAN(Vertices[Degree]),NoMetricMessage)</f>
        <v>2</v>
      </c>
    </row>
    <row r="57" spans="1:2" x14ac:dyDescent="0.3">
      <c r="A57" s="34" t="s">
        <v>88</v>
      </c>
      <c r="B57" s="47">
        <f>IF(COUNT(Vertices[In-Degree])&gt;0, F2, NoMetricMessage)</f>
        <v>0</v>
      </c>
    </row>
    <row r="58" spans="1:2" x14ac:dyDescent="0.3">
      <c r="A58" s="34" t="s">
        <v>89</v>
      </c>
      <c r="B58" s="47">
        <f>IF(COUNT(Vertices[In-Degree])&gt;0, F45, NoMetricMessage)</f>
        <v>7</v>
      </c>
    </row>
    <row r="59" spans="1:2" x14ac:dyDescent="0.3">
      <c r="A59" s="34" t="s">
        <v>90</v>
      </c>
      <c r="B59" s="48">
        <f>IFERROR(AVERAGE(Vertices[In-Degree]),NoMetricMessage)</f>
        <v>1.5540540540540539</v>
      </c>
    </row>
    <row r="60" spans="1:2" x14ac:dyDescent="0.3">
      <c r="A60" s="34" t="s">
        <v>91</v>
      </c>
      <c r="B60" s="48">
        <f>IFERROR(MEDIAN(Vertices[In-Degree]),NoMetricMessage)</f>
        <v>1</v>
      </c>
    </row>
    <row r="71" spans="1:2" x14ac:dyDescent="0.3">
      <c r="A71" s="34" t="s">
        <v>94</v>
      </c>
      <c r="B71" s="47">
        <f>IF(COUNT(Vertices[Out-Degree])&gt;0, H2, NoMetricMessage)</f>
        <v>0</v>
      </c>
    </row>
    <row r="72" spans="1:2" x14ac:dyDescent="0.3">
      <c r="A72" s="34" t="s">
        <v>95</v>
      </c>
      <c r="B72" s="47">
        <f>IF(COUNT(Vertices[Out-Degree])&gt;0, H45, NoMetricMessage)</f>
        <v>7</v>
      </c>
    </row>
    <row r="73" spans="1:2" x14ac:dyDescent="0.3">
      <c r="A73" s="34" t="s">
        <v>96</v>
      </c>
      <c r="B73" s="48">
        <f>IFERROR(AVERAGE(Vertices[Out-Degree]),NoMetricMessage)</f>
        <v>1.5540540540540539</v>
      </c>
    </row>
    <row r="74" spans="1:2" x14ac:dyDescent="0.3">
      <c r="A74" s="34" t="s">
        <v>97</v>
      </c>
      <c r="B74" s="48">
        <f>IFERROR(MEDIAN(Vertices[Out-Degree]),NoMetricMessage)</f>
        <v>1</v>
      </c>
    </row>
    <row r="85" spans="1:2" x14ac:dyDescent="0.3">
      <c r="A85" s="34" t="s">
        <v>100</v>
      </c>
      <c r="B85" s="48">
        <f>IF(COUNT(Vertices[Betweenness Centrality])&gt;0, J2, NoMetricMessage)</f>
        <v>0</v>
      </c>
    </row>
    <row r="86" spans="1:2" x14ac:dyDescent="0.3">
      <c r="A86" s="34" t="s">
        <v>101</v>
      </c>
      <c r="B86" s="48">
        <f>IF(COUNT(Vertices[Betweenness Centrality])&gt;0, J45, NoMetricMessage)</f>
        <v>1179.02619</v>
      </c>
    </row>
    <row r="87" spans="1:2" x14ac:dyDescent="0.3">
      <c r="A87" s="34" t="s">
        <v>102</v>
      </c>
      <c r="B87" s="48">
        <f>IFERROR(AVERAGE(Vertices[Betweenness Centrality]),NoMetricMessage)</f>
        <v>147.08108106756757</v>
      </c>
    </row>
    <row r="88" spans="1:2" x14ac:dyDescent="0.3">
      <c r="A88" s="34" t="s">
        <v>103</v>
      </c>
      <c r="B88" s="48">
        <f>IFERROR(MEDIAN(Vertices[Betweenness Centrality]),NoMetricMessage)</f>
        <v>40.985714000000002</v>
      </c>
    </row>
    <row r="99" spans="1:2" x14ac:dyDescent="0.3">
      <c r="A99" s="34" t="s">
        <v>106</v>
      </c>
      <c r="B99" s="48">
        <f>IF(COUNT(Vertices[Closeness Centrality])&gt;0, L2, NoMetricMessage)</f>
        <v>2.7399999999999998E-3</v>
      </c>
    </row>
    <row r="100" spans="1:2" x14ac:dyDescent="0.3">
      <c r="A100" s="34" t="s">
        <v>107</v>
      </c>
      <c r="B100" s="48">
        <f>IF(COUNT(Vertices[Closeness Centrality])&gt;0, L45, NoMetricMessage)</f>
        <v>1</v>
      </c>
    </row>
    <row r="101" spans="1:2" x14ac:dyDescent="0.3">
      <c r="A101" s="34" t="s">
        <v>108</v>
      </c>
      <c r="B101" s="48">
        <f>IFERROR(AVERAGE(Vertices[Closeness Centrality]),NoMetricMessage)</f>
        <v>0.10077862162162163</v>
      </c>
    </row>
    <row r="102" spans="1:2" x14ac:dyDescent="0.3">
      <c r="A102" s="34" t="s">
        <v>109</v>
      </c>
      <c r="B102" s="48">
        <f>IFERROR(MEDIAN(Vertices[Closeness Centrality]),NoMetricMessage)</f>
        <v>4.5250000000000004E-3</v>
      </c>
    </row>
    <row r="113" spans="1:2" x14ac:dyDescent="0.3">
      <c r="A113" s="34" t="s">
        <v>112</v>
      </c>
      <c r="B113" s="48">
        <f>IF(COUNT(Vertices[Eigenvector Centrality])&gt;0, N2, NoMetricMessage)</f>
        <v>0</v>
      </c>
    </row>
    <row r="114" spans="1:2" x14ac:dyDescent="0.3">
      <c r="A114" s="34" t="s">
        <v>113</v>
      </c>
      <c r="B114" s="48">
        <f>IF(COUNT(Vertices[Eigenvector Centrality])&gt;0, N45, NoMetricMessage)</f>
        <v>7.8371999999999997E-2</v>
      </c>
    </row>
    <row r="115" spans="1:2" x14ac:dyDescent="0.3">
      <c r="A115" s="34" t="s">
        <v>114</v>
      </c>
      <c r="B115" s="48">
        <f>IFERROR(AVERAGE(Vertices[Eigenvector Centrality]),NoMetricMessage)</f>
        <v>1.3513459459459455E-2</v>
      </c>
    </row>
    <row r="116" spans="1:2" x14ac:dyDescent="0.3">
      <c r="A116" s="34" t="s">
        <v>115</v>
      </c>
      <c r="B116" s="48">
        <f>IFERROR(MEDIAN(Vertices[Eigenvector Centrality]),NoMetricMessage)</f>
        <v>8.3405000000000007E-3</v>
      </c>
    </row>
    <row r="127" spans="1:2" x14ac:dyDescent="0.3">
      <c r="A127" s="34" t="s">
        <v>140</v>
      </c>
      <c r="B127" s="48">
        <f>IF(COUNT(Vertices[PageRank])&gt;0, P2, NoMetricMessage)</f>
        <v>0.37632500000000002</v>
      </c>
    </row>
    <row r="128" spans="1:2" x14ac:dyDescent="0.3">
      <c r="A128" s="34" t="s">
        <v>141</v>
      </c>
      <c r="B128" s="48">
        <f>IF(COUNT(Vertices[PageRank])&gt;0, P45, NoMetricMessage)</f>
        <v>3.1951800000000001</v>
      </c>
    </row>
    <row r="129" spans="1:2" x14ac:dyDescent="0.3">
      <c r="A129" s="34" t="s">
        <v>142</v>
      </c>
      <c r="B129" s="48">
        <f>IFERROR(AVERAGE(Vertices[PageRank]),NoMetricMessage)</f>
        <v>0.99999304054054083</v>
      </c>
    </row>
    <row r="130" spans="1:2" x14ac:dyDescent="0.3">
      <c r="A130" s="34" t="s">
        <v>143</v>
      </c>
      <c r="B130" s="48">
        <f>IFERROR(MEDIAN(Vertices[PageRank]),NoMetricMessage)</f>
        <v>0.774505</v>
      </c>
    </row>
    <row r="141" spans="1:2" x14ac:dyDescent="0.3">
      <c r="A141" s="34" t="s">
        <v>118</v>
      </c>
      <c r="B141" s="48">
        <f>IF(COUNT(Vertices[Clustering Coefficient])&gt;0, R2, NoMetricMessage)</f>
        <v>0</v>
      </c>
    </row>
    <row r="142" spans="1:2" x14ac:dyDescent="0.3">
      <c r="A142" s="34" t="s">
        <v>119</v>
      </c>
      <c r="B142" s="48">
        <f>IF(COUNT(Vertices[Clustering Coefficient])&gt;0, R45, NoMetricMessage)</f>
        <v>0.5</v>
      </c>
    </row>
    <row r="143" spans="1:2" x14ac:dyDescent="0.3">
      <c r="A143" s="34" t="s">
        <v>120</v>
      </c>
      <c r="B143" s="48">
        <f>IFERROR(AVERAGE(Vertices[Clustering Coefficient]),NoMetricMessage)</f>
        <v>4.5275145275145277E-2</v>
      </c>
    </row>
    <row r="144" spans="1:2" x14ac:dyDescent="0.3">
      <c r="A144" s="34" t="s">
        <v>121</v>
      </c>
      <c r="B144" s="48">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104</v>
      </c>
    </row>
    <row r="3" spans="1:18" x14ac:dyDescent="0.3">
      <c r="A3" s="1" t="s">
        <v>52</v>
      </c>
      <c r="B3" s="1" t="s">
        <v>133</v>
      </c>
      <c r="C3" t="s">
        <v>52</v>
      </c>
      <c r="D3" t="s">
        <v>56</v>
      </c>
      <c r="E3" t="s">
        <v>56</v>
      </c>
      <c r="F3" s="1" t="s">
        <v>52</v>
      </c>
      <c r="G3" t="s">
        <v>66</v>
      </c>
      <c r="H3" t="s">
        <v>68</v>
      </c>
      <c r="J3" t="s">
        <v>30</v>
      </c>
      <c r="K3" t="s">
        <v>273</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275</v>
      </c>
    </row>
    <row r="6" spans="1:18" x14ac:dyDescent="0.3">
      <c r="A6">
        <v>0</v>
      </c>
      <c r="B6" s="1" t="s">
        <v>136</v>
      </c>
      <c r="C6">
        <v>1</v>
      </c>
      <c r="D6" t="s">
        <v>59</v>
      </c>
      <c r="E6" t="s">
        <v>59</v>
      </c>
      <c r="F6">
        <v>0</v>
      </c>
      <c r="H6" t="s">
        <v>71</v>
      </c>
      <c r="J6" t="s">
        <v>173</v>
      </c>
      <c r="K6">
        <v>1</v>
      </c>
      <c r="R6" t="s">
        <v>129</v>
      </c>
    </row>
    <row r="7" spans="1:18" x14ac:dyDescent="0.3">
      <c r="A7">
        <v>2</v>
      </c>
      <c r="B7">
        <v>1</v>
      </c>
      <c r="C7">
        <v>0</v>
      </c>
      <c r="D7" t="s">
        <v>60</v>
      </c>
      <c r="E7" t="s">
        <v>60</v>
      </c>
      <c r="F7">
        <v>2</v>
      </c>
      <c r="H7" t="s">
        <v>72</v>
      </c>
      <c r="J7" t="s">
        <v>250</v>
      </c>
      <c r="K7" t="s">
        <v>274</v>
      </c>
    </row>
    <row r="8" spans="1:18" x14ac:dyDescent="0.3">
      <c r="A8"/>
      <c r="B8">
        <v>2</v>
      </c>
      <c r="C8">
        <v>2</v>
      </c>
      <c r="D8" t="s">
        <v>61</v>
      </c>
      <c r="E8" t="s">
        <v>61</v>
      </c>
      <c r="H8" t="s">
        <v>73</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heetViews>
  <sheetFormatPr defaultRowHeight="14.4" x14ac:dyDescent="0.3"/>
  <cols>
    <col min="1" max="1" width="36.21875" bestFit="1" customWidth="1"/>
    <col min="2" max="2" width="18.77734375" bestFit="1" customWidth="1"/>
  </cols>
  <sheetData>
    <row r="1" spans="1:2" ht="14.4" customHeight="1" x14ac:dyDescent="0.3">
      <c r="A1" s="13" t="s">
        <v>256</v>
      </c>
      <c r="B1" s="13" t="s">
        <v>257</v>
      </c>
    </row>
    <row r="2" spans="1:2" x14ac:dyDescent="0.3">
      <c r="A2" s="96"/>
      <c r="B2" s="96"/>
    </row>
    <row r="4" spans="1:2" ht="14.4" customHeight="1" x14ac:dyDescent="0.3">
      <c r="A4" s="13" t="s">
        <v>258</v>
      </c>
      <c r="B4" s="13" t="s">
        <v>257</v>
      </c>
    </row>
    <row r="5" spans="1:2" x14ac:dyDescent="0.3">
      <c r="A5" s="96"/>
      <c r="B5" s="96"/>
    </row>
    <row r="7" spans="1:2" ht="14.4" customHeight="1" x14ac:dyDescent="0.3">
      <c r="A7" s="13" t="s">
        <v>261</v>
      </c>
      <c r="B7" s="13" t="s">
        <v>257</v>
      </c>
    </row>
    <row r="8" spans="1:2" x14ac:dyDescent="0.3">
      <c r="A8" s="96"/>
      <c r="B8" s="96"/>
    </row>
    <row r="10" spans="1:2" ht="14.4" customHeight="1" x14ac:dyDescent="0.3">
      <c r="A10" s="13" t="s">
        <v>263</v>
      </c>
      <c r="B10" s="13" t="s">
        <v>257</v>
      </c>
    </row>
    <row r="11" spans="1:2" x14ac:dyDescent="0.3">
      <c r="A11" s="96"/>
      <c r="B11" s="96"/>
    </row>
    <row r="13" spans="1:2" ht="14.4" customHeight="1" x14ac:dyDescent="0.3">
      <c r="A13" s="13" t="s">
        <v>265</v>
      </c>
      <c r="B13" s="13" t="s">
        <v>257</v>
      </c>
    </row>
    <row r="14" spans="1:2" x14ac:dyDescent="0.3">
      <c r="A14" s="96"/>
      <c r="B14" s="96"/>
    </row>
    <row r="16" spans="1:2" ht="14.4" customHeight="1" x14ac:dyDescent="0.3">
      <c r="A16" s="13" t="s">
        <v>267</v>
      </c>
      <c r="B16" s="13" t="s">
        <v>257</v>
      </c>
    </row>
    <row r="17" spans="1:2" x14ac:dyDescent="0.3">
      <c r="A17" s="96"/>
      <c r="B17" s="96"/>
    </row>
    <row r="19" spans="1:2" ht="14.4" customHeight="1" x14ac:dyDescent="0.3">
      <c r="A19" s="13" t="s">
        <v>269</v>
      </c>
      <c r="B19" s="13" t="s">
        <v>257</v>
      </c>
    </row>
    <row r="20" spans="1:2" x14ac:dyDescent="0.3">
      <c r="A20" s="96"/>
      <c r="B20" s="96"/>
    </row>
    <row r="22" spans="1:2" ht="14.4" customHeight="1" x14ac:dyDescent="0.3">
      <c r="A22" s="13" t="s">
        <v>271</v>
      </c>
      <c r="B22" s="13" t="s">
        <v>257</v>
      </c>
    </row>
    <row r="23" spans="1:2" x14ac:dyDescent="0.3">
      <c r="A23" s="96"/>
      <c r="B23" s="96"/>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Derek Hansen</cp:lastModifiedBy>
  <dcterms:created xsi:type="dcterms:W3CDTF">2008-01-30T00:41:58Z</dcterms:created>
  <dcterms:modified xsi:type="dcterms:W3CDTF">2013-05-17T22:37:58Z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