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/Library/CloudStorage/Dropbox/DSA303/Lessons/8 Areal Data/"/>
    </mc:Choice>
  </mc:AlternateContent>
  <xr:revisionPtr revIDLastSave="0" documentId="13_ncr:1_{23F21188-3222-A641-AACD-8F6E24E176E5}" xr6:coauthVersionLast="47" xr6:coauthVersionMax="47" xr10:uidLastSave="{00000000-0000-0000-0000-000000000000}"/>
  <bookViews>
    <workbookView xWindow="0" yWindow="500" windowWidth="38400" windowHeight="19480" xr2:uid="{41F8C68A-BA81-E644-98E0-1352D02F153E}"/>
  </bookViews>
  <sheets>
    <sheet name="Moran's I" sheetId="1" r:id="rId1"/>
    <sheet name="Moran's I row normalised" sheetId="3" r:id="rId2"/>
    <sheet name="Geary's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5" i="3"/>
  <c r="F21" i="1"/>
  <c r="F23" i="1"/>
  <c r="F23" i="2"/>
  <c r="G3" i="3"/>
  <c r="G3" i="2"/>
  <c r="M18" i="3"/>
  <c r="M17" i="1"/>
  <c r="F9" i="1"/>
  <c r="C25" i="1" l="1"/>
  <c r="G3" i="1"/>
  <c r="F9" i="2" l="1"/>
  <c r="F23" i="3"/>
  <c r="D21" i="3"/>
  <c r="F20" i="3"/>
  <c r="F19" i="3"/>
  <c r="F18" i="3"/>
  <c r="M17" i="3"/>
  <c r="F17" i="3"/>
  <c r="F16" i="3"/>
  <c r="F15" i="3"/>
  <c r="F14" i="3"/>
  <c r="F13" i="3"/>
  <c r="F12" i="3"/>
  <c r="F11" i="3"/>
  <c r="F10" i="3"/>
  <c r="F9" i="3"/>
  <c r="F21" i="3" l="1"/>
  <c r="F16" i="1"/>
  <c r="F12" i="1"/>
  <c r="D21" i="2"/>
  <c r="F20" i="2"/>
  <c r="F19" i="2"/>
  <c r="F18" i="2"/>
  <c r="F17" i="2"/>
  <c r="F16" i="2"/>
  <c r="F15" i="2"/>
  <c r="F14" i="2"/>
  <c r="F13" i="2"/>
  <c r="F12" i="2"/>
  <c r="F11" i="2"/>
  <c r="F10" i="2"/>
  <c r="F20" i="1"/>
  <c r="F19" i="1"/>
  <c r="F18" i="1"/>
  <c r="F17" i="1"/>
  <c r="F15" i="1"/>
  <c r="F14" i="1"/>
  <c r="F13" i="1"/>
  <c r="F11" i="1"/>
  <c r="F10" i="1"/>
  <c r="D21" i="1"/>
  <c r="F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tc={160358A9-DD96-5B4D-A06D-6536EF1ED3F4}</author>
    <author>tc={A53B9D5D-848F-4856-8D99-1C680F9FE964}</author>
  </authors>
  <commentList>
    <comment ref="I15" authorId="0" shapeId="0" xr:uid="{160358A9-DD96-5B4D-A06D-6536EF1ED3F4}">
      <text>
        <t>[Threaded comment]
Your version of Excel allows you to read this threaded comment; however, any edits to it will get removed if the file is opened in a newer version of Excel. Learn more: https://go.microsoft.com/fwlink/?linkid=870924
Comment:
    Lag of X</t>
      </text>
    </comment>
    <comment ref="F23" authorId="1" shapeId="0" xr:uid="{A53B9D5D-848F-4856-8D99-1C680F9FE964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squared deviations from the mean</t>
      </text>
    </comment>
  </commentList>
</comments>
</file>

<file path=xl/sharedStrings.xml><?xml version="1.0" encoding="utf-8"?>
<sst xmlns="http://schemas.openxmlformats.org/spreadsheetml/2006/main" count="217" uniqueCount="79">
  <si>
    <t>i</t>
  </si>
  <si>
    <t>j</t>
  </si>
  <si>
    <t>(3-4)(2-4)</t>
  </si>
  <si>
    <t>(3-4)(4-4)</t>
  </si>
  <si>
    <t>(3-4)(7-4)</t>
  </si>
  <si>
    <t>(2-4)(7-4)</t>
  </si>
  <si>
    <t>(2-4)(3-4)</t>
  </si>
  <si>
    <t>(2-4)(4-4)</t>
  </si>
  <si>
    <t>(4-4)(3-4)</t>
  </si>
  <si>
    <t>(4-4)(2-4)</t>
  </si>
  <si>
    <t>(4-4)(7-4)</t>
  </si>
  <si>
    <t>(7-4)(3-4)</t>
  </si>
  <si>
    <t>(7-4)(2-4)</t>
  </si>
  <si>
    <t>(7-4)(4-4)</t>
  </si>
  <si>
    <t>c_ij=(x_i-x_bar)(x_j-x_bar)</t>
  </si>
  <si>
    <t>w_ij</t>
  </si>
  <si>
    <t>w_ij.c_ij</t>
  </si>
  <si>
    <t>Moran's I =</t>
  </si>
  <si>
    <t>(3-2)(3-2)</t>
  </si>
  <si>
    <t>(3-4)(3-4)</t>
  </si>
  <si>
    <t>(3-7)(3-7)</t>
  </si>
  <si>
    <t>(2-3)(2-3)</t>
  </si>
  <si>
    <t>(2-4)(2-4)</t>
  </si>
  <si>
    <t>(2-7)(2-7)</t>
  </si>
  <si>
    <t>(4-3)(4-3)</t>
  </si>
  <si>
    <t>(4-2)(4-2)</t>
  </si>
  <si>
    <t>(4-7)(4-7)</t>
  </si>
  <si>
    <t>(7-3)(7-3)</t>
  </si>
  <si>
    <t>(7-2)(7-2)</t>
  </si>
  <si>
    <t>(7-4)(7-4)</t>
  </si>
  <si>
    <t>c_ij=(x_i-x_j)^2</t>
  </si>
  <si>
    <t>sum(w_ij.c_ij) =</t>
  </si>
  <si>
    <t>sum((x_i-x_bar)^2) =</t>
  </si>
  <si>
    <t>nVar(X) =</t>
  </si>
  <si>
    <r>
      <t xml:space="preserve">Worktable for deriving Global Moran's I for </t>
    </r>
    <r>
      <rPr>
        <b/>
        <sz val="12"/>
        <color theme="1"/>
        <rFont val="Calibri"/>
        <family val="2"/>
        <scheme val="minor"/>
      </rPr>
      <t>W=rook</t>
    </r>
  </si>
  <si>
    <t xml:space="preserve">x_bar = </t>
  </si>
  <si>
    <t>W matrix</t>
  </si>
  <si>
    <t>x</t>
  </si>
  <si>
    <t>Wx</t>
  </si>
  <si>
    <t>correlation =</t>
  </si>
  <si>
    <t>regression slope =</t>
  </si>
  <si>
    <t>(same as Moran's I)</t>
  </si>
  <si>
    <t>corr(x,Wx) =</t>
  </si>
  <si>
    <t>(negative)</t>
  </si>
  <si>
    <r>
      <t xml:space="preserve">Worktable for deriving Global Geary's C for </t>
    </r>
    <r>
      <rPr>
        <b/>
        <sz val="12"/>
        <color theme="1"/>
        <rFont val="Calibri"/>
        <family val="2"/>
        <scheme val="minor"/>
      </rPr>
      <t>W=rook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</si>
  <si>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</si>
  <si>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</si>
  <si>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</si>
  <si>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</si>
  <si>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</si>
  <si>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</si>
  <si>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</si>
  <si>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</si>
  <si>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</si>
  <si>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</si>
  <si>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</si>
  <si>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</si>
  <si>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</si>
  <si>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</si>
  <si>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</si>
  <si>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</si>
  <si>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</si>
  <si>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</si>
  <si>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</si>
  <si>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</si>
  <si>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</si>
  <si>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</si>
  <si>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</si>
  <si>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</si>
  <si>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Geary's C =</t>
  </si>
  <si>
    <t>4 spatial units: A B C D</t>
  </si>
  <si>
    <t>A</t>
  </si>
  <si>
    <t>B</t>
  </si>
  <si>
    <t>C</t>
  </si>
  <si>
    <t>D</t>
  </si>
  <si>
    <t>A: (x=3)</t>
  </si>
  <si>
    <t>B: (x=2)</t>
  </si>
  <si>
    <t>D: (x=7)</t>
  </si>
  <si>
    <t>C: (x=4)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</si>
</sst>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4" fillId="5" borderId="0" xfId="0" applyFont="1" applyFill="1" applyAlignment="1">
      <alignment horizontal="center"/>
    </xf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Continuous"/>
    </xf>
    <xf numFmtId="0" fontId="5" fillId="0" borderId="10" xfId="0" applyFont="1" applyBorder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Moran's Scatterplot shows negative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'Moran''s I'!$I$15</c:f>
              <c:strCache>
                <c:ptCount val="1"/>
                <c:pt idx="0">
                  <c:v>Wx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'Moran''s I'!$H$16:$H$19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xVal>
          <c:yVal>
            <c:numRef>
              <c:f>'Moran''s I'!$I$16:$I$19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F-4117-B247-9FC76AA6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74672"/>
        <c:axId val="2056475088"/>
      </c:scatterChart>
      <c:valAx>
        <c:axId val="20564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75088"/>
        <c:crosses val="autoZero"/>
        <c:crossBetween val="midCat"/>
      </c:valAx>
      <c:valAx>
        <c:axId val="20564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Moran's Scatterplot shows negative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'Moran''s I row normalised'!$I$15</c:f>
              <c:strCache>
                <c:ptCount val="1"/>
                <c:pt idx="0">
                  <c:v>Wx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'Moran''s I row normalised'!$H$16:$H$19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xVal>
          <c:yVal>
            <c:numRef>
              <c:f>'Moran''s I row normalised'!$I$16:$I$19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8-4AEA-950A-05EACC5D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74672"/>
        <c:axId val="2056475088"/>
      </c:scatterChart>
      <c:valAx>
        <c:axId val="20564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75088"/>
        <c:crosses val="autoZero"/>
        <c:crossBetween val="midCat"/>
      </c:valAx>
      <c:valAx>
        <c:axId val="20564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20</xdr:row>
      <xdr:rowOff>19050</xdr:rowOff>
    </xdr:from>
    <xdr:to>
      <xdr:col>12</xdr:col>
      <xdr:colOff>463550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8D5C8-FE3E-9857-371E-D6CC056F8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20</xdr:row>
      <xdr:rowOff>19050</xdr:rowOff>
    </xdr:from>
    <xdr:to>
      <xdr:col>12</xdr:col>
      <xdr:colOff>463550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256CA-3B82-434F-B281-5BDA79EF1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U Shew Fan" id="{22916C13-C0F1-4194-8963-8AAD67C19780}" userId="S::sfliu@smu.edu.sg::50e7d13f-dca5-461d-9568-0e22b8ebb4a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5" dT="2023-03-14T09:41:05.59" personId="{22916C13-C0F1-4194-8963-8AAD67C19780}" id="{160358A9-DD96-5B4D-A06D-6536EF1ED3F4}">
    <text>Lag of X</text>
  </threadedComment>
  <threadedComment ref="F23" dT="2022-10-11T08:24:47.71" personId="{22916C13-C0F1-4194-8963-8AAD67C19780}" id="{A53B9D5D-848F-4856-8D99-1C680F9FE964}">
    <text>Sum of squared deviations from the mean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B35A-AAAE-A54B-8E81-41CD803EE150}">
  <dimension ref="B1:N25"/>
  <sheetViews>
    <sheetView tabSelected="1" topLeftCell="A3" zoomScale="160" zoomScaleNormal="160" workbookViewId="0">
      <selection activeCell="K15" sqref="K15"/>
    </sheetView>
  </sheetViews>
  <sheetFormatPr baseColWidth="10" defaultColWidth="10.6640625" defaultRowHeight="16" x14ac:dyDescent="0.2"/>
  <cols>
    <col min="5" max="5" width="23" bestFit="1" customWidth="1"/>
  </cols>
  <sheetData>
    <row r="1" spans="2:13" x14ac:dyDescent="0.2">
      <c r="C1" s="4" t="s">
        <v>1</v>
      </c>
      <c r="D1" s="4"/>
    </row>
    <row r="2" spans="2:13" ht="60" customHeight="1" x14ac:dyDescent="0.2">
      <c r="B2" s="4" t="s">
        <v>0</v>
      </c>
      <c r="C2" s="2" t="s">
        <v>75</v>
      </c>
      <c r="D2" s="2" t="s">
        <v>76</v>
      </c>
      <c r="F2" t="s">
        <v>70</v>
      </c>
    </row>
    <row r="3" spans="2:13" ht="63" customHeight="1" x14ac:dyDescent="0.2">
      <c r="B3" s="4"/>
      <c r="C3" s="2" t="s">
        <v>78</v>
      </c>
      <c r="D3" s="2" t="s">
        <v>77</v>
      </c>
      <c r="F3" t="s">
        <v>35</v>
      </c>
      <c r="G3">
        <f>AVERAGE(3,2,4,7)</f>
        <v>4</v>
      </c>
    </row>
    <row r="6" spans="2:13" x14ac:dyDescent="0.2">
      <c r="B6" t="s">
        <v>34</v>
      </c>
    </row>
    <row r="8" spans="2:13" x14ac:dyDescent="0.2">
      <c r="B8" s="1" t="s">
        <v>0</v>
      </c>
      <c r="C8" s="1" t="s">
        <v>1</v>
      </c>
      <c r="D8" s="1" t="s">
        <v>15</v>
      </c>
      <c r="E8" s="1" t="s">
        <v>14</v>
      </c>
      <c r="F8" s="1" t="s">
        <v>16</v>
      </c>
      <c r="G8" s="1"/>
      <c r="H8" s="16" t="s">
        <v>36</v>
      </c>
      <c r="I8" s="16" t="s">
        <v>71</v>
      </c>
      <c r="J8" s="16" t="s">
        <v>72</v>
      </c>
      <c r="K8" s="16" t="s">
        <v>73</v>
      </c>
      <c r="L8" s="16" t="s">
        <v>74</v>
      </c>
      <c r="M8" s="19" t="s">
        <v>37</v>
      </c>
    </row>
    <row r="9" spans="2:13" x14ac:dyDescent="0.2">
      <c r="B9" s="1" t="s">
        <v>71</v>
      </c>
      <c r="C9" s="1" t="s">
        <v>72</v>
      </c>
      <c r="D9" s="1">
        <v>1</v>
      </c>
      <c r="E9" s="1" t="s">
        <v>2</v>
      </c>
      <c r="F9" s="1">
        <f>(3-4)*(2-4)*D9</f>
        <v>2</v>
      </c>
      <c r="G9" s="1"/>
      <c r="H9" s="16" t="s">
        <v>71</v>
      </c>
      <c r="I9" s="8">
        <v>0</v>
      </c>
      <c r="J9" s="9">
        <v>1</v>
      </c>
      <c r="K9" s="9">
        <v>1</v>
      </c>
      <c r="L9" s="10">
        <v>0</v>
      </c>
      <c r="M9" s="19">
        <v>3</v>
      </c>
    </row>
    <row r="10" spans="2:13" x14ac:dyDescent="0.2">
      <c r="B10" s="1" t="s">
        <v>71</v>
      </c>
      <c r="C10" s="1" t="s">
        <v>73</v>
      </c>
      <c r="D10" s="1">
        <v>1</v>
      </c>
      <c r="E10" s="1" t="s">
        <v>3</v>
      </c>
      <c r="F10" s="1">
        <f>(3-4)*(4-4)*D10</f>
        <v>0</v>
      </c>
      <c r="G10" s="1"/>
      <c r="H10" s="16" t="s">
        <v>72</v>
      </c>
      <c r="I10" s="11">
        <v>1</v>
      </c>
      <c r="J10" s="1">
        <v>0</v>
      </c>
      <c r="K10" s="1">
        <v>0</v>
      </c>
      <c r="L10" s="12">
        <v>1</v>
      </c>
      <c r="M10" s="19">
        <v>2</v>
      </c>
    </row>
    <row r="11" spans="2:13" x14ac:dyDescent="0.2">
      <c r="B11" s="1" t="s">
        <v>71</v>
      </c>
      <c r="C11" s="1" t="s">
        <v>74</v>
      </c>
      <c r="D11" s="1">
        <v>0</v>
      </c>
      <c r="E11" s="1" t="s">
        <v>4</v>
      </c>
      <c r="F11" s="1">
        <f>(3-4)*(7-4)*D11</f>
        <v>0</v>
      </c>
      <c r="G11" s="1"/>
      <c r="H11" s="16" t="s">
        <v>73</v>
      </c>
      <c r="I11" s="11">
        <v>1</v>
      </c>
      <c r="J11" s="1">
        <v>0</v>
      </c>
      <c r="K11" s="1">
        <v>0</v>
      </c>
      <c r="L11" s="12">
        <v>1</v>
      </c>
      <c r="M11" s="19">
        <v>4</v>
      </c>
    </row>
    <row r="12" spans="2:13" x14ac:dyDescent="0.2">
      <c r="B12" s="1" t="s">
        <v>72</v>
      </c>
      <c r="C12" s="1" t="s">
        <v>71</v>
      </c>
      <c r="D12" s="1">
        <v>1</v>
      </c>
      <c r="E12" s="1" t="s">
        <v>6</v>
      </c>
      <c r="F12" s="1">
        <f>(2-4)*(3-4)*D12</f>
        <v>2</v>
      </c>
      <c r="G12" s="1"/>
      <c r="H12" s="16" t="s">
        <v>74</v>
      </c>
      <c r="I12" s="13">
        <v>0</v>
      </c>
      <c r="J12" s="14">
        <v>1</v>
      </c>
      <c r="K12" s="14">
        <v>1</v>
      </c>
      <c r="L12" s="15">
        <v>0</v>
      </c>
      <c r="M12" s="19">
        <v>7</v>
      </c>
    </row>
    <row r="13" spans="2:13" x14ac:dyDescent="0.2">
      <c r="B13" s="1" t="s">
        <v>72</v>
      </c>
      <c r="C13" s="1" t="s">
        <v>73</v>
      </c>
      <c r="D13" s="1">
        <v>0</v>
      </c>
      <c r="E13" s="1" t="s">
        <v>7</v>
      </c>
      <c r="F13" s="1">
        <f>(2-4)*(4-4)*D13</f>
        <v>0</v>
      </c>
      <c r="G13" s="1"/>
      <c r="H13" s="1"/>
      <c r="I13" s="1"/>
      <c r="J13" s="1"/>
      <c r="K13" s="1"/>
      <c r="L13" s="1"/>
    </row>
    <row r="14" spans="2:13" x14ac:dyDescent="0.2">
      <c r="B14" s="1" t="s">
        <v>72</v>
      </c>
      <c r="C14" s="1" t="s">
        <v>74</v>
      </c>
      <c r="D14" s="1">
        <v>1</v>
      </c>
      <c r="E14" s="1" t="s">
        <v>5</v>
      </c>
      <c r="F14" s="1">
        <f>(2-4)*(7-4)*D14</f>
        <v>-6</v>
      </c>
      <c r="G14" s="1"/>
      <c r="H14" s="1"/>
      <c r="I14" s="1"/>
      <c r="J14" s="1"/>
      <c r="K14" s="1"/>
      <c r="L14" s="1"/>
    </row>
    <row r="15" spans="2:13" x14ac:dyDescent="0.2">
      <c r="B15" s="1" t="s">
        <v>73</v>
      </c>
      <c r="C15" s="1" t="s">
        <v>71</v>
      </c>
      <c r="D15" s="1">
        <v>1</v>
      </c>
      <c r="E15" s="1" t="s">
        <v>8</v>
      </c>
      <c r="F15" s="1">
        <f>(4-4)*(3-4)*D15</f>
        <v>0</v>
      </c>
      <c r="G15" s="1"/>
      <c r="H15" s="1" t="s">
        <v>37</v>
      </c>
      <c r="I15" s="1" t="s">
        <v>38</v>
      </c>
      <c r="J15" s="1"/>
      <c r="K15" s="1"/>
      <c r="L15" s="1"/>
    </row>
    <row r="16" spans="2:13" x14ac:dyDescent="0.2">
      <c r="B16" s="1" t="s">
        <v>73</v>
      </c>
      <c r="C16" s="1" t="s">
        <v>72</v>
      </c>
      <c r="D16" s="1">
        <v>0</v>
      </c>
      <c r="E16" s="1" t="s">
        <v>9</v>
      </c>
      <c r="F16" s="1">
        <f>(4-4)*(2-4)*D16</f>
        <v>0</v>
      </c>
      <c r="G16" s="1"/>
      <c r="H16" s="1">
        <v>3</v>
      </c>
      <c r="I16" s="1">
        <v>6</v>
      </c>
      <c r="J16" s="1"/>
      <c r="K16" s="1"/>
      <c r="L16" s="1"/>
    </row>
    <row r="17" spans="2:14" x14ac:dyDescent="0.2">
      <c r="B17" s="1" t="s">
        <v>73</v>
      </c>
      <c r="C17" s="1" t="s">
        <v>74</v>
      </c>
      <c r="D17" s="1">
        <v>1</v>
      </c>
      <c r="E17" s="1" t="s">
        <v>10</v>
      </c>
      <c r="F17" s="1">
        <f>(4-4)*(7-4)*D17</f>
        <v>0</v>
      </c>
      <c r="G17" s="1"/>
      <c r="H17" s="1">
        <v>2</v>
      </c>
      <c r="I17" s="1">
        <v>10</v>
      </c>
      <c r="J17" s="1"/>
      <c r="K17" s="1" t="s">
        <v>42</v>
      </c>
      <c r="M17" s="1">
        <f>CORREL(H16:H19,I16:I19)</f>
        <v>-0.53452248382484879</v>
      </c>
      <c r="N17" t="s">
        <v>43</v>
      </c>
    </row>
    <row r="18" spans="2:14" x14ac:dyDescent="0.2">
      <c r="B18" s="1" t="s">
        <v>74</v>
      </c>
      <c r="C18" s="1" t="s">
        <v>71</v>
      </c>
      <c r="D18" s="1">
        <v>0</v>
      </c>
      <c r="E18" s="1" t="s">
        <v>11</v>
      </c>
      <c r="F18" s="1">
        <f>(7-4)*(3-4)*D18</f>
        <v>0</v>
      </c>
      <c r="G18" s="1"/>
      <c r="H18" s="1">
        <v>4</v>
      </c>
      <c r="I18" s="1">
        <v>10</v>
      </c>
      <c r="J18" s="1"/>
      <c r="K18" s="24"/>
      <c r="M18" s="1"/>
    </row>
    <row r="19" spans="2:14" x14ac:dyDescent="0.2">
      <c r="B19" s="1" t="s">
        <v>74</v>
      </c>
      <c r="C19" s="1" t="s">
        <v>72</v>
      </c>
      <c r="D19" s="1">
        <v>1</v>
      </c>
      <c r="E19" s="1" t="s">
        <v>12</v>
      </c>
      <c r="F19" s="1">
        <f>(7-4)*(2-4)*D19</f>
        <v>-6</v>
      </c>
      <c r="G19" s="1"/>
      <c r="H19" s="1">
        <v>7</v>
      </c>
      <c r="I19" s="1">
        <v>6</v>
      </c>
      <c r="J19" s="1"/>
      <c r="K19" s="1"/>
      <c r="L19" s="1"/>
    </row>
    <row r="20" spans="2:14" x14ac:dyDescent="0.2">
      <c r="B20" s="1" t="s">
        <v>74</v>
      </c>
      <c r="C20" s="1" t="s">
        <v>73</v>
      </c>
      <c r="D20" s="1">
        <v>1</v>
      </c>
      <c r="E20" s="1" t="s">
        <v>13</v>
      </c>
      <c r="F20" s="1">
        <f>(7-4)*(4-4)*D20</f>
        <v>0</v>
      </c>
      <c r="G20" s="1"/>
      <c r="H20" s="1"/>
      <c r="I20" s="1"/>
      <c r="J20" s="1"/>
      <c r="K20" s="1"/>
      <c r="L20" s="1"/>
    </row>
    <row r="21" spans="2:14" ht="17" thickBot="1" x14ac:dyDescent="0.25">
      <c r="B21" s="1"/>
      <c r="C21" s="1"/>
      <c r="D21" s="3">
        <f>SUM(D9:D20)</f>
        <v>8</v>
      </c>
      <c r="E21" s="1" t="s">
        <v>31</v>
      </c>
      <c r="F21" s="3">
        <f>SUM(F9:F20)</f>
        <v>-8</v>
      </c>
      <c r="G21" s="1"/>
      <c r="H21" s="1"/>
      <c r="I21" s="1"/>
      <c r="J21" s="1"/>
      <c r="K21" s="1"/>
      <c r="L21" s="1"/>
    </row>
    <row r="22" spans="2:14" ht="17" thickTop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4" x14ac:dyDescent="0.2">
      <c r="D23" s="1" t="s">
        <v>33</v>
      </c>
      <c r="E23" s="1" t="s">
        <v>32</v>
      </c>
      <c r="F23" s="1">
        <f>4*_xlfn.VAR.P(3,2,4,7)</f>
        <v>14</v>
      </c>
      <c r="G23" s="1"/>
      <c r="H23" s="1"/>
      <c r="I23" s="1"/>
      <c r="J23" s="1"/>
      <c r="K23" s="1"/>
      <c r="L23" s="1"/>
    </row>
    <row r="24" spans="2:14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4" x14ac:dyDescent="0.2">
      <c r="B25" s="5" t="s">
        <v>17</v>
      </c>
      <c r="C25" s="6">
        <f>(4/D21)*(F21/F23)</f>
        <v>-0.2857142857142857</v>
      </c>
    </row>
  </sheetData>
  <pageMargins left="0.7" right="0.7" top="0.75" bottom="0.75" header="0.3" footer="0.3"/>
  <pageSetup paperSize="9" orientation="portrait" r:id="rId1"/>
  <headerFooter>
    <oddHeader>&amp;C&amp;"Calibri"&amp;8&amp;K000000SMU Classification: Restricted&amp;1#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0DD2-766C-47D4-B20B-EE530DDDC3E6}">
  <dimension ref="B1:W38"/>
  <sheetViews>
    <sheetView topLeftCell="A6" zoomScale="125" zoomScaleNormal="85" workbookViewId="0">
      <selection activeCell="I16" sqref="I16:I19"/>
    </sheetView>
  </sheetViews>
  <sheetFormatPr baseColWidth="10" defaultColWidth="10.6640625" defaultRowHeight="16" x14ac:dyDescent="0.2"/>
  <cols>
    <col min="5" max="5" width="23" bestFit="1" customWidth="1"/>
  </cols>
  <sheetData>
    <row r="1" spans="2:13" x14ac:dyDescent="0.2">
      <c r="C1" s="4" t="s">
        <v>1</v>
      </c>
      <c r="D1" s="4"/>
    </row>
    <row r="2" spans="2:13" ht="60" customHeight="1" x14ac:dyDescent="0.2">
      <c r="B2" s="4" t="s">
        <v>0</v>
      </c>
      <c r="C2" s="2" t="s">
        <v>75</v>
      </c>
      <c r="D2" s="2" t="s">
        <v>76</v>
      </c>
      <c r="F2" t="s">
        <v>70</v>
      </c>
    </row>
    <row r="3" spans="2:13" ht="63" customHeight="1" x14ac:dyDescent="0.2">
      <c r="B3" s="4"/>
      <c r="C3" s="2" t="s">
        <v>78</v>
      </c>
      <c r="D3" s="2" t="s">
        <v>77</v>
      </c>
      <c r="F3" t="s">
        <v>35</v>
      </c>
      <c r="G3">
        <f>AVERAGE(3,2,4,7)</f>
        <v>4</v>
      </c>
    </row>
    <row r="6" spans="2:13" x14ac:dyDescent="0.2">
      <c r="B6" t="s">
        <v>34</v>
      </c>
    </row>
    <row r="8" spans="2:13" x14ac:dyDescent="0.2">
      <c r="B8" s="1" t="s">
        <v>0</v>
      </c>
      <c r="C8" s="1" t="s">
        <v>1</v>
      </c>
      <c r="D8" s="1" t="s">
        <v>15</v>
      </c>
      <c r="E8" s="1" t="s">
        <v>14</v>
      </c>
      <c r="F8" s="1" t="s">
        <v>16</v>
      </c>
      <c r="G8" s="1"/>
      <c r="H8" s="16" t="s">
        <v>36</v>
      </c>
      <c r="I8" s="16" t="s">
        <v>71</v>
      </c>
      <c r="J8" s="16" t="s">
        <v>72</v>
      </c>
      <c r="K8" s="16" t="s">
        <v>73</v>
      </c>
      <c r="L8" s="16" t="s">
        <v>74</v>
      </c>
      <c r="M8" s="17" t="s">
        <v>37</v>
      </c>
    </row>
    <row r="9" spans="2:13" x14ac:dyDescent="0.2">
      <c r="B9" s="1" t="s">
        <v>71</v>
      </c>
      <c r="C9" s="1" t="s">
        <v>72</v>
      </c>
      <c r="D9" s="1">
        <v>0.5</v>
      </c>
      <c r="E9" s="1" t="s">
        <v>2</v>
      </c>
      <c r="F9" s="1">
        <f>(3-4)*(2-4)*D9</f>
        <v>1</v>
      </c>
      <c r="G9" s="1"/>
      <c r="H9" s="16" t="s">
        <v>71</v>
      </c>
      <c r="I9" s="8">
        <v>0</v>
      </c>
      <c r="J9" s="9">
        <v>0.5</v>
      </c>
      <c r="K9" s="9">
        <v>0.5</v>
      </c>
      <c r="L9" s="10">
        <v>0</v>
      </c>
      <c r="M9" s="17">
        <v>3</v>
      </c>
    </row>
    <row r="10" spans="2:13" x14ac:dyDescent="0.2">
      <c r="B10" s="1" t="s">
        <v>71</v>
      </c>
      <c r="C10" s="1" t="s">
        <v>73</v>
      </c>
      <c r="D10" s="1">
        <v>0.5</v>
      </c>
      <c r="E10" s="1" t="s">
        <v>3</v>
      </c>
      <c r="F10" s="1">
        <f>(3-4)*(4-4)*D10</f>
        <v>0</v>
      </c>
      <c r="G10" s="1"/>
      <c r="H10" s="16" t="s">
        <v>72</v>
      </c>
      <c r="I10" s="11">
        <v>0.5</v>
      </c>
      <c r="J10" s="1">
        <v>0</v>
      </c>
      <c r="K10" s="1">
        <v>0</v>
      </c>
      <c r="L10" s="12">
        <v>0.5</v>
      </c>
      <c r="M10" s="17">
        <v>2</v>
      </c>
    </row>
    <row r="11" spans="2:13" x14ac:dyDescent="0.2">
      <c r="B11" s="1" t="s">
        <v>71</v>
      </c>
      <c r="C11" s="1" t="s">
        <v>74</v>
      </c>
      <c r="D11" s="1">
        <v>0</v>
      </c>
      <c r="E11" s="1" t="s">
        <v>4</v>
      </c>
      <c r="F11" s="1">
        <f>(3-4)*(7-4)*D11</f>
        <v>0</v>
      </c>
      <c r="G11" s="1"/>
      <c r="H11" s="16" t="s">
        <v>73</v>
      </c>
      <c r="I11" s="11">
        <v>0.5</v>
      </c>
      <c r="J11" s="1">
        <v>0</v>
      </c>
      <c r="K11" s="1">
        <v>0</v>
      </c>
      <c r="L11" s="12">
        <v>0.5</v>
      </c>
      <c r="M11" s="17">
        <v>4</v>
      </c>
    </row>
    <row r="12" spans="2:13" x14ac:dyDescent="0.2">
      <c r="B12" s="1" t="s">
        <v>72</v>
      </c>
      <c r="C12" s="1" t="s">
        <v>71</v>
      </c>
      <c r="D12" s="1">
        <v>0.5</v>
      </c>
      <c r="E12" s="1" t="s">
        <v>6</v>
      </c>
      <c r="F12" s="1">
        <f>(2-4)*(3-4)*D12</f>
        <v>1</v>
      </c>
      <c r="G12" s="1"/>
      <c r="H12" s="16" t="s">
        <v>74</v>
      </c>
      <c r="I12" s="13">
        <v>0</v>
      </c>
      <c r="J12" s="14">
        <v>0.5</v>
      </c>
      <c r="K12" s="14">
        <v>0.5</v>
      </c>
      <c r="L12" s="15">
        <v>0</v>
      </c>
      <c r="M12" s="17">
        <v>7</v>
      </c>
    </row>
    <row r="13" spans="2:13" x14ac:dyDescent="0.2">
      <c r="B13" s="1" t="s">
        <v>72</v>
      </c>
      <c r="C13" s="1" t="s">
        <v>73</v>
      </c>
      <c r="D13" s="1">
        <v>0</v>
      </c>
      <c r="E13" s="1" t="s">
        <v>7</v>
      </c>
      <c r="F13" s="1">
        <f>(2-4)*(4-4)*D13</f>
        <v>0</v>
      </c>
      <c r="G13" s="1"/>
      <c r="H13" s="1"/>
      <c r="I13" s="1"/>
      <c r="J13" s="1"/>
      <c r="K13" s="1"/>
      <c r="L13" s="1"/>
    </row>
    <row r="14" spans="2:13" x14ac:dyDescent="0.2">
      <c r="B14" s="1" t="s">
        <v>72</v>
      </c>
      <c r="C14" s="1" t="s">
        <v>74</v>
      </c>
      <c r="D14" s="1">
        <v>0.5</v>
      </c>
      <c r="E14" s="1" t="s">
        <v>5</v>
      </c>
      <c r="F14" s="1">
        <f>(2-4)*(7-4)*D14</f>
        <v>-3</v>
      </c>
      <c r="G14" s="1"/>
      <c r="H14" s="1"/>
      <c r="I14" s="1"/>
      <c r="J14" s="1"/>
      <c r="K14" s="1"/>
      <c r="L14" s="1"/>
    </row>
    <row r="15" spans="2:13" x14ac:dyDescent="0.2">
      <c r="B15" s="1" t="s">
        <v>73</v>
      </c>
      <c r="C15" s="1" t="s">
        <v>71</v>
      </c>
      <c r="D15" s="1">
        <v>0.5</v>
      </c>
      <c r="E15" s="1" t="s">
        <v>8</v>
      </c>
      <c r="F15" s="1">
        <f>(4-4)*(3-4)*D15</f>
        <v>0</v>
      </c>
      <c r="G15" s="1"/>
      <c r="H15" s="1" t="s">
        <v>37</v>
      </c>
      <c r="I15" s="1" t="s">
        <v>38</v>
      </c>
      <c r="J15" s="1"/>
      <c r="K15" s="1"/>
      <c r="L15" s="1"/>
    </row>
    <row r="16" spans="2:13" x14ac:dyDescent="0.2">
      <c r="B16" s="1" t="s">
        <v>73</v>
      </c>
      <c r="C16" s="1" t="s">
        <v>72</v>
      </c>
      <c r="D16" s="1">
        <v>0</v>
      </c>
      <c r="E16" s="1" t="s">
        <v>9</v>
      </c>
      <c r="F16" s="1">
        <f>(4-4)*(2-4)*D16</f>
        <v>0</v>
      </c>
      <c r="G16" s="1"/>
      <c r="H16" s="1">
        <v>3</v>
      </c>
      <c r="I16" s="1">
        <v>3</v>
      </c>
      <c r="J16" s="1"/>
      <c r="K16" s="1"/>
      <c r="L16" s="1"/>
    </row>
    <row r="17" spans="2:20" x14ac:dyDescent="0.2">
      <c r="B17" s="1" t="s">
        <v>73</v>
      </c>
      <c r="C17" s="1" t="s">
        <v>74</v>
      </c>
      <c r="D17" s="1">
        <v>0.5</v>
      </c>
      <c r="E17" s="1" t="s">
        <v>10</v>
      </c>
      <c r="F17" s="1">
        <f>(4-4)*(7-4)*D17</f>
        <v>0</v>
      </c>
      <c r="G17" s="1"/>
      <c r="H17" s="1">
        <v>2</v>
      </c>
      <c r="I17" s="1">
        <v>5</v>
      </c>
      <c r="J17" s="1"/>
      <c r="K17" s="1" t="s">
        <v>39</v>
      </c>
      <c r="M17" s="1">
        <f>CORREL(H16:H19,I16:I19)</f>
        <v>-0.53452248382484879</v>
      </c>
    </row>
    <row r="18" spans="2:20" x14ac:dyDescent="0.2">
      <c r="B18" s="1" t="s">
        <v>74</v>
      </c>
      <c r="C18" s="1" t="s">
        <v>71</v>
      </c>
      <c r="D18" s="1">
        <v>0</v>
      </c>
      <c r="E18" s="1" t="s">
        <v>11</v>
      </c>
      <c r="F18" s="1">
        <f>(7-4)*(3-4)*D18</f>
        <v>0</v>
      </c>
      <c r="G18" s="1"/>
      <c r="H18" s="1">
        <v>4</v>
      </c>
      <c r="I18" s="1">
        <v>5</v>
      </c>
      <c r="J18" s="1"/>
      <c r="K18" s="1" t="s">
        <v>40</v>
      </c>
      <c r="L18" s="1"/>
      <c r="M18" s="18">
        <f>M17*_xlfn.STDEV.P(I16:I19)/_xlfn.STDEV.P(H16:H19)</f>
        <v>-0.28571428571428575</v>
      </c>
      <c r="N18" t="s">
        <v>41</v>
      </c>
    </row>
    <row r="19" spans="2:20" x14ac:dyDescent="0.2">
      <c r="B19" s="1" t="s">
        <v>74</v>
      </c>
      <c r="C19" s="1" t="s">
        <v>72</v>
      </c>
      <c r="D19" s="1">
        <v>0.5</v>
      </c>
      <c r="E19" s="1" t="s">
        <v>12</v>
      </c>
      <c r="F19" s="1">
        <f>(7-4)*(2-4)*D19</f>
        <v>-3</v>
      </c>
      <c r="G19" s="1"/>
      <c r="H19" s="1">
        <v>7</v>
      </c>
      <c r="I19" s="1">
        <v>3</v>
      </c>
      <c r="J19" s="1"/>
      <c r="K19" s="1"/>
      <c r="L19" s="1"/>
    </row>
    <row r="20" spans="2:20" x14ac:dyDescent="0.2">
      <c r="B20" s="1" t="s">
        <v>74</v>
      </c>
      <c r="C20" s="1" t="s">
        <v>73</v>
      </c>
      <c r="D20" s="1">
        <v>0.5</v>
      </c>
      <c r="E20" s="1" t="s">
        <v>13</v>
      </c>
      <c r="F20" s="1">
        <f>(7-4)*(4-4)*D20</f>
        <v>0</v>
      </c>
      <c r="G20" s="1"/>
      <c r="H20" s="1"/>
      <c r="I20" s="1"/>
      <c r="J20" s="1"/>
      <c r="K20" s="1"/>
      <c r="L20" s="1"/>
    </row>
    <row r="21" spans="2:20" ht="17" thickBot="1" x14ac:dyDescent="0.25">
      <c r="B21" s="1"/>
      <c r="C21" s="1"/>
      <c r="D21" s="3">
        <f>SUM(D9:D20)</f>
        <v>4</v>
      </c>
      <c r="E21" s="1" t="s">
        <v>31</v>
      </c>
      <c r="F21" s="3">
        <f>SUM(F9:F20)</f>
        <v>-4</v>
      </c>
      <c r="G21" s="1"/>
      <c r="H21" s="1"/>
      <c r="I21" s="1"/>
      <c r="J21" s="1"/>
      <c r="K21" s="1"/>
      <c r="L21" s="1"/>
      <c r="O21" t="s">
        <v>45</v>
      </c>
    </row>
    <row r="22" spans="2:20" ht="18" thickTop="1" thickBo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20" x14ac:dyDescent="0.2">
      <c r="D23" s="1" t="s">
        <v>33</v>
      </c>
      <c r="E23" s="1" t="s">
        <v>32</v>
      </c>
      <c r="F23" s="1">
        <f>4*_xlfn.VAR.P(3,2,4,7)</f>
        <v>14</v>
      </c>
      <c r="G23" s="1"/>
      <c r="H23" s="1"/>
      <c r="I23" s="1"/>
      <c r="J23" s="1"/>
      <c r="K23" s="1"/>
      <c r="L23" s="1"/>
      <c r="O23" s="22" t="s">
        <v>46</v>
      </c>
      <c r="P23" s="22"/>
    </row>
    <row r="24" spans="2:20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O24" t="s">
        <v>47</v>
      </c>
      <c r="P24">
        <v>0.53452248382484902</v>
      </c>
    </row>
    <row r="25" spans="2:20" x14ac:dyDescent="0.2">
      <c r="E25" s="5" t="s">
        <v>17</v>
      </c>
      <c r="F25" s="6">
        <f>(4/D21)*(F21/F23)</f>
        <v>-0.2857142857142857</v>
      </c>
      <c r="O25" t="s">
        <v>48</v>
      </c>
      <c r="P25">
        <v>0.28571428571428603</v>
      </c>
    </row>
    <row r="26" spans="2:20" x14ac:dyDescent="0.2">
      <c r="O26" t="s">
        <v>49</v>
      </c>
      <c r="P26">
        <v>-7.1428571428570953E-2</v>
      </c>
    </row>
    <row r="27" spans="2:20" x14ac:dyDescent="0.2">
      <c r="O27" t="s">
        <v>50</v>
      </c>
      <c r="P27">
        <v>1.1952286093343933</v>
      </c>
    </row>
    <row r="28" spans="2:20" ht="17" thickBot="1" x14ac:dyDescent="0.25">
      <c r="O28" s="20" t="s">
        <v>51</v>
      </c>
      <c r="P28" s="20">
        <v>4</v>
      </c>
    </row>
    <row r="30" spans="2:20" ht="17" thickBot="1" x14ac:dyDescent="0.25">
      <c r="O30" t="s">
        <v>52</v>
      </c>
    </row>
    <row r="31" spans="2:20" x14ac:dyDescent="0.2">
      <c r="O31" s="21"/>
      <c r="P31" s="21" t="s">
        <v>57</v>
      </c>
      <c r="Q31" s="21" t="s">
        <v>58</v>
      </c>
      <c r="R31" s="21" t="s">
        <v>59</v>
      </c>
      <c r="S31" s="21" t="s">
        <v>60</v>
      </c>
      <c r="T31" s="21" t="s">
        <v>61</v>
      </c>
    </row>
    <row r="32" spans="2:20" x14ac:dyDescent="0.2">
      <c r="O32" t="s">
        <v>53</v>
      </c>
      <c r="P32">
        <v>1</v>
      </c>
      <c r="Q32">
        <v>1.1428571428571441</v>
      </c>
      <c r="R32">
        <v>1.1428571428571441</v>
      </c>
      <c r="S32">
        <v>0.80000000000000127</v>
      </c>
      <c r="T32">
        <v>0.46547751617515098</v>
      </c>
    </row>
    <row r="33" spans="15:23" x14ac:dyDescent="0.2">
      <c r="O33" t="s">
        <v>54</v>
      </c>
      <c r="P33">
        <v>2</v>
      </c>
      <c r="Q33">
        <v>2.8571428571428559</v>
      </c>
      <c r="R33">
        <v>1.4285714285714279</v>
      </c>
    </row>
    <row r="34" spans="15:23" ht="17" thickBot="1" x14ac:dyDescent="0.25">
      <c r="O34" s="20" t="s">
        <v>55</v>
      </c>
      <c r="P34" s="20">
        <v>3</v>
      </c>
      <c r="Q34" s="20">
        <v>4</v>
      </c>
      <c r="R34" s="20"/>
      <c r="S34" s="20"/>
      <c r="T34" s="20"/>
    </row>
    <row r="35" spans="15:23" ht="17" thickBot="1" x14ac:dyDescent="0.25"/>
    <row r="36" spans="15:23" x14ac:dyDescent="0.2">
      <c r="O36" s="21"/>
      <c r="P36" s="21" t="s">
        <v>62</v>
      </c>
      <c r="Q36" s="21" t="s">
        <v>50</v>
      </c>
      <c r="R36" s="21" t="s">
        <v>63</v>
      </c>
      <c r="S36" s="21" t="s">
        <v>64</v>
      </c>
      <c r="T36" s="21" t="s">
        <v>65</v>
      </c>
      <c r="U36" s="21" t="s">
        <v>66</v>
      </c>
      <c r="V36" s="21" t="s">
        <v>67</v>
      </c>
      <c r="W36" s="21" t="s">
        <v>68</v>
      </c>
    </row>
    <row r="37" spans="15:23" x14ac:dyDescent="0.2">
      <c r="O37" t="s">
        <v>56</v>
      </c>
      <c r="P37">
        <v>5.1428571428571423</v>
      </c>
      <c r="Q37">
        <v>1.4106012612951067</v>
      </c>
      <c r="R37">
        <v>3.6458617215012006</v>
      </c>
      <c r="S37">
        <v>6.7682837361392911E-2</v>
      </c>
      <c r="T37">
        <v>-0.92647022464228446</v>
      </c>
      <c r="U37">
        <v>11.212184510356568</v>
      </c>
      <c r="V37">
        <v>-0.92647022464228446</v>
      </c>
      <c r="W37">
        <v>11.212184510356568</v>
      </c>
    </row>
    <row r="38" spans="15:23" ht="17" thickBot="1" x14ac:dyDescent="0.25">
      <c r="O38" s="20" t="s">
        <v>37</v>
      </c>
      <c r="P38" s="23">
        <v>-0.28571428571428564</v>
      </c>
      <c r="Q38" s="20">
        <v>0.31943828249996986</v>
      </c>
      <c r="R38" s="20">
        <v>-0.89442719099991597</v>
      </c>
      <c r="S38" s="20">
        <v>0.4654775161751511</v>
      </c>
      <c r="T38" s="20">
        <v>-1.6601462838992613</v>
      </c>
      <c r="U38" s="20">
        <v>1.0887177124706902</v>
      </c>
      <c r="V38" s="20">
        <v>-1.6601462838992613</v>
      </c>
      <c r="W38" s="20">
        <v>1.0887177124706902</v>
      </c>
    </row>
  </sheetData>
  <pageMargins left="0.7" right="0.7" top="0.75" bottom="0.75" header="0.3" footer="0.3"/>
  <pageSetup paperSize="9" orientation="portrait" r:id="rId1"/>
  <headerFooter>
    <oddHeader>&amp;C&amp;"Calibri"&amp;8&amp;K000000SMU Classification: Restricted&amp;1#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466-5D60-C44C-881F-B9D488460277}">
  <dimension ref="B1:L25"/>
  <sheetViews>
    <sheetView topLeftCell="A4" zoomScale="174" workbookViewId="0">
      <selection activeCell="F25" sqref="F25"/>
    </sheetView>
  </sheetViews>
  <sheetFormatPr baseColWidth="10" defaultColWidth="10.6640625" defaultRowHeight="16" x14ac:dyDescent="0.2"/>
  <cols>
    <col min="5" max="5" width="23" bestFit="1" customWidth="1"/>
  </cols>
  <sheetData>
    <row r="1" spans="2:12" x14ac:dyDescent="0.2">
      <c r="C1" s="4" t="s">
        <v>1</v>
      </c>
      <c r="D1" s="4"/>
    </row>
    <row r="2" spans="2:12" ht="60" customHeight="1" x14ac:dyDescent="0.2">
      <c r="B2" s="4" t="s">
        <v>0</v>
      </c>
      <c r="C2" s="2" t="s">
        <v>75</v>
      </c>
      <c r="D2" s="2" t="s">
        <v>76</v>
      </c>
      <c r="F2" t="s">
        <v>70</v>
      </c>
    </row>
    <row r="3" spans="2:12" ht="63" customHeight="1" x14ac:dyDescent="0.2">
      <c r="B3" s="4"/>
      <c r="C3" s="2" t="s">
        <v>78</v>
      </c>
      <c r="D3" s="2" t="s">
        <v>77</v>
      </c>
      <c r="F3" t="s">
        <v>35</v>
      </c>
      <c r="G3">
        <f>AVERAGE(3,2,4,7)</f>
        <v>4</v>
      </c>
    </row>
    <row r="6" spans="2:12" x14ac:dyDescent="0.2">
      <c r="B6" t="s">
        <v>44</v>
      </c>
    </row>
    <row r="8" spans="2:12" x14ac:dyDescent="0.2">
      <c r="B8" s="1" t="s">
        <v>0</v>
      </c>
      <c r="C8" s="1" t="s">
        <v>1</v>
      </c>
      <c r="D8" s="1" t="s">
        <v>15</v>
      </c>
      <c r="E8" s="1" t="s">
        <v>30</v>
      </c>
      <c r="F8" s="1" t="s">
        <v>16</v>
      </c>
      <c r="G8" s="1"/>
      <c r="H8" s="1"/>
      <c r="I8" s="1"/>
      <c r="J8" s="1"/>
      <c r="K8" s="1"/>
      <c r="L8" s="1"/>
    </row>
    <row r="9" spans="2:12" x14ac:dyDescent="0.2">
      <c r="B9" s="1" t="s">
        <v>71</v>
      </c>
      <c r="C9" s="1" t="s">
        <v>72</v>
      </c>
      <c r="D9" s="1">
        <v>1</v>
      </c>
      <c r="E9" s="1" t="s">
        <v>18</v>
      </c>
      <c r="F9" s="1">
        <f>(3-2)*(3-2)*D9</f>
        <v>1</v>
      </c>
      <c r="G9" s="1"/>
      <c r="H9" s="1"/>
      <c r="I9" s="1"/>
      <c r="J9" s="1"/>
      <c r="K9" s="1"/>
      <c r="L9" s="1"/>
    </row>
    <row r="10" spans="2:12" x14ac:dyDescent="0.2">
      <c r="B10" s="1" t="s">
        <v>71</v>
      </c>
      <c r="C10" s="1" t="s">
        <v>73</v>
      </c>
      <c r="D10" s="1">
        <v>1</v>
      </c>
      <c r="E10" s="1" t="s">
        <v>19</v>
      </c>
      <c r="F10" s="1">
        <f>(3-4)*(3-4)*D10</f>
        <v>1</v>
      </c>
      <c r="G10" s="1"/>
      <c r="H10" s="1"/>
      <c r="I10" s="1"/>
      <c r="J10" s="1"/>
      <c r="K10" s="1"/>
      <c r="L10" s="1"/>
    </row>
    <row r="11" spans="2:12" x14ac:dyDescent="0.2">
      <c r="B11" s="1" t="s">
        <v>71</v>
      </c>
      <c r="C11" s="1" t="s">
        <v>74</v>
      </c>
      <c r="D11" s="1">
        <v>0</v>
      </c>
      <c r="E11" s="1" t="s">
        <v>20</v>
      </c>
      <c r="F11" s="1">
        <f>(3-7)*(3-7)*D11</f>
        <v>0</v>
      </c>
      <c r="G11" s="1"/>
      <c r="H11" s="1"/>
      <c r="I11" s="1"/>
      <c r="J11" s="1"/>
      <c r="K11" s="1"/>
      <c r="L11" s="1"/>
    </row>
    <row r="12" spans="2:12" x14ac:dyDescent="0.2">
      <c r="B12" s="1" t="s">
        <v>72</v>
      </c>
      <c r="C12" s="1" t="s">
        <v>71</v>
      </c>
      <c r="D12" s="1">
        <v>1</v>
      </c>
      <c r="E12" s="1" t="s">
        <v>21</v>
      </c>
      <c r="F12" s="1">
        <f>(2-3)*(2-3)*D12</f>
        <v>1</v>
      </c>
      <c r="G12" s="1"/>
      <c r="H12" s="1"/>
      <c r="I12" s="1"/>
      <c r="J12" s="1"/>
      <c r="K12" s="1"/>
      <c r="L12" s="1"/>
    </row>
    <row r="13" spans="2:12" x14ac:dyDescent="0.2">
      <c r="B13" s="1" t="s">
        <v>72</v>
      </c>
      <c r="C13" s="1" t="s">
        <v>73</v>
      </c>
      <c r="D13" s="1">
        <v>0</v>
      </c>
      <c r="E13" s="1" t="s">
        <v>22</v>
      </c>
      <c r="F13" s="1">
        <f>(2-4)*(2-4)*D13</f>
        <v>0</v>
      </c>
      <c r="G13" s="1"/>
      <c r="H13" s="1"/>
      <c r="I13" s="1"/>
      <c r="J13" s="1"/>
      <c r="K13" s="1"/>
      <c r="L13" s="1"/>
    </row>
    <row r="14" spans="2:12" x14ac:dyDescent="0.2">
      <c r="B14" s="1" t="s">
        <v>72</v>
      </c>
      <c r="C14" s="1" t="s">
        <v>74</v>
      </c>
      <c r="D14" s="1">
        <v>1</v>
      </c>
      <c r="E14" s="1" t="s">
        <v>23</v>
      </c>
      <c r="F14" s="1">
        <f>(2-7)*(2-7)*D14</f>
        <v>25</v>
      </c>
      <c r="G14" s="1"/>
      <c r="H14" s="1"/>
      <c r="I14" s="1"/>
      <c r="J14" s="1"/>
      <c r="K14" s="1"/>
      <c r="L14" s="1"/>
    </row>
    <row r="15" spans="2:12" x14ac:dyDescent="0.2">
      <c r="B15" s="1" t="s">
        <v>73</v>
      </c>
      <c r="C15" s="1" t="s">
        <v>71</v>
      </c>
      <c r="D15" s="1">
        <v>1</v>
      </c>
      <c r="E15" s="1" t="s">
        <v>24</v>
      </c>
      <c r="F15" s="1">
        <f>(4-3)*(4-3)*D15</f>
        <v>1</v>
      </c>
      <c r="G15" s="1"/>
      <c r="H15" s="1"/>
      <c r="I15" s="1"/>
      <c r="J15" s="1"/>
      <c r="K15" s="1"/>
      <c r="L15" s="1"/>
    </row>
    <row r="16" spans="2:12" x14ac:dyDescent="0.2">
      <c r="B16" s="1" t="s">
        <v>73</v>
      </c>
      <c r="C16" s="1" t="s">
        <v>72</v>
      </c>
      <c r="D16" s="1">
        <v>0</v>
      </c>
      <c r="E16" s="1" t="s">
        <v>25</v>
      </c>
      <c r="F16" s="1">
        <f>(4-2)*(4-2)*D16</f>
        <v>0</v>
      </c>
      <c r="G16" s="1"/>
      <c r="H16" s="1"/>
      <c r="I16" s="1"/>
      <c r="J16" s="1"/>
      <c r="K16" s="1"/>
      <c r="L16" s="1"/>
    </row>
    <row r="17" spans="2:12" x14ac:dyDescent="0.2">
      <c r="B17" s="1" t="s">
        <v>73</v>
      </c>
      <c r="C17" s="1" t="s">
        <v>74</v>
      </c>
      <c r="D17" s="1">
        <v>1</v>
      </c>
      <c r="E17" s="1" t="s">
        <v>26</v>
      </c>
      <c r="F17" s="1">
        <f>(4-7)*(4-7)*D17</f>
        <v>9</v>
      </c>
      <c r="G17" s="1"/>
      <c r="H17" s="1"/>
      <c r="I17" s="1"/>
      <c r="J17" s="1"/>
      <c r="K17" s="1"/>
      <c r="L17" s="1"/>
    </row>
    <row r="18" spans="2:12" x14ac:dyDescent="0.2">
      <c r="B18" s="1" t="s">
        <v>74</v>
      </c>
      <c r="C18" s="1" t="s">
        <v>71</v>
      </c>
      <c r="D18" s="1">
        <v>0</v>
      </c>
      <c r="E18" s="1" t="s">
        <v>27</v>
      </c>
      <c r="F18" s="1">
        <f>(7-3)*(7-3)*D18</f>
        <v>0</v>
      </c>
      <c r="G18" s="1"/>
      <c r="H18" s="1"/>
      <c r="I18" s="1"/>
      <c r="J18" s="1"/>
      <c r="K18" s="1"/>
      <c r="L18" s="1"/>
    </row>
    <row r="19" spans="2:12" x14ac:dyDescent="0.2">
      <c r="B19" s="1" t="s">
        <v>74</v>
      </c>
      <c r="C19" s="1" t="s">
        <v>72</v>
      </c>
      <c r="D19" s="1">
        <v>1</v>
      </c>
      <c r="E19" s="1" t="s">
        <v>28</v>
      </c>
      <c r="F19" s="1">
        <f>(7-2)*(7-2)*D19</f>
        <v>25</v>
      </c>
      <c r="G19" s="1"/>
      <c r="H19" s="1"/>
      <c r="I19" s="1"/>
      <c r="J19" s="1"/>
      <c r="K19" s="1"/>
      <c r="L19" s="1"/>
    </row>
    <row r="20" spans="2:12" x14ac:dyDescent="0.2">
      <c r="B20" s="1" t="s">
        <v>74</v>
      </c>
      <c r="C20" s="1" t="s">
        <v>73</v>
      </c>
      <c r="D20" s="1">
        <v>1</v>
      </c>
      <c r="E20" s="1" t="s">
        <v>29</v>
      </c>
      <c r="F20" s="1">
        <f>(7-4)*(7-4)*D20</f>
        <v>9</v>
      </c>
      <c r="G20" s="1"/>
      <c r="H20" s="1"/>
      <c r="I20" s="1"/>
      <c r="J20" s="1"/>
      <c r="K20" s="1"/>
      <c r="L20" s="1"/>
    </row>
    <row r="21" spans="2:12" ht="17" thickBot="1" x14ac:dyDescent="0.25">
      <c r="B21" s="1"/>
      <c r="C21" s="1"/>
      <c r="D21" s="3">
        <f>SUM(D9:D20)</f>
        <v>8</v>
      </c>
      <c r="E21" s="1" t="s">
        <v>31</v>
      </c>
      <c r="F21" s="3">
        <f>SUM(F9:F20)</f>
        <v>72</v>
      </c>
      <c r="G21" s="1"/>
      <c r="H21" s="1"/>
      <c r="I21" s="1"/>
      <c r="J21" s="1"/>
      <c r="K21" s="1"/>
      <c r="L21" s="1"/>
    </row>
    <row r="22" spans="2:12" ht="17" thickTop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D23" s="7" t="s">
        <v>33</v>
      </c>
      <c r="E23" s="1" t="s">
        <v>32</v>
      </c>
      <c r="F23" s="1">
        <f>(4-1)*_xlfn.VAR.S(3,2,4,7)</f>
        <v>14</v>
      </c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">
      <c r="E25" s="5" t="s">
        <v>69</v>
      </c>
      <c r="F25" s="6">
        <f>(4-1)/(D21*2)*F21/F23</f>
        <v>0.9642857142857143</v>
      </c>
    </row>
  </sheetData>
  <pageMargins left="0.7" right="0.7" top="0.75" bottom="0.75" header="0.3" footer="0.3"/>
  <pageSetup paperSize="9" orientation="portrait" r:id="rId1"/>
  <headerFooter>
    <oddHeader>&amp;C&amp;"Calibri"&amp;8&amp;K000000SMU Classification: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Moran's I</vt:lpstr>
      <vt:lpstr>Moran's I row normalised</vt:lpstr>
      <vt:lpstr>Geary's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2020-10-03T07:23:35Z</dcterms:created>
  <dcterms:modified xsi:type="dcterms:W3CDTF">2023-03-23T09:02:12Z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2022-10-13T12:50:42Z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65c6dfe5-54f6-4faf-a803-9e1c27f4db22</vt:lpwstr>
  </property>
  <property fmtid="{D5CDD505-2E9C-101B-9397-08002B2CF9AE}" pid="8" name="MSIP_Label_6951d41b-6b8e-4636-984f-012bff14ba18_ContentBits">
    <vt:lpwstr>1</vt:lpwstr>
  </property>
</Properties>
</file>