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OGRAMME" sheetId="1" r:id="rId1"/>
    <sheet name="COVER PAGE" sheetId="2" r:id="rId2"/>
    <sheet name="Sheet3" sheetId="3" r:id="rId3"/>
    <sheet name="JMF" sheetId="4" r:id="rId4"/>
    <sheet name="MARSHALL DATA" sheetId="5" r:id="rId5"/>
    <sheet name="summary &amp; graphs" sheetId="6" r:id="rId6"/>
    <sheet name="EI FI" sheetId="7" r:id="rId7"/>
    <sheet name="AIV" sheetId="8" r:id="rId8"/>
    <sheet name="Grain size-agg" sheetId="9" r:id="rId9"/>
    <sheet name="Specific gravity-1" sheetId="10" r:id="rId10"/>
    <sheet name="Water absorption" sheetId="11" r:id="rId11"/>
  </sheets>
  <externalReferences>
    <externalReference r:id="rId12"/>
  </externalReferences>
  <calcPr calcId="124519"/>
</workbook>
</file>

<file path=xl/calcChain.xml><?xml version="1.0" encoding="utf-8"?>
<calcChain xmlns="http://schemas.openxmlformats.org/spreadsheetml/2006/main">
  <c r="D22" i="11"/>
  <c r="C22"/>
  <c r="F22" s="1"/>
  <c r="D17"/>
  <c r="D21" s="1"/>
  <c r="C17"/>
  <c r="C21" s="1"/>
  <c r="F21" s="1"/>
  <c r="W20" i="10"/>
  <c r="W21" s="1"/>
  <c r="V20"/>
  <c r="V21" s="1"/>
  <c r="U20"/>
  <c r="U21" s="1"/>
  <c r="X21" s="1"/>
  <c r="Q20"/>
  <c r="Q21" s="1"/>
  <c r="P20"/>
  <c r="P21" s="1"/>
  <c r="O20"/>
  <c r="O21" s="1"/>
  <c r="R21" s="1"/>
  <c r="K20"/>
  <c r="K21" s="1"/>
  <c r="J20"/>
  <c r="J21" s="1"/>
  <c r="I20"/>
  <c r="I21" s="1"/>
  <c r="L21" s="1"/>
  <c r="E20"/>
  <c r="E21" s="1"/>
  <c r="D20"/>
  <c r="D21" s="1"/>
  <c r="C20"/>
  <c r="C21" s="1"/>
  <c r="F21" s="1"/>
  <c r="B16" i="9"/>
  <c r="U14"/>
  <c r="U15" s="1"/>
  <c r="O14"/>
  <c r="O15" s="1"/>
  <c r="I14"/>
  <c r="I15" s="1"/>
  <c r="C14"/>
  <c r="C15" s="1"/>
  <c r="H24" i="8"/>
  <c r="H26" s="1"/>
  <c r="G24"/>
  <c r="G26" s="1"/>
  <c r="F24"/>
  <c r="F26" s="1"/>
  <c r="F29" s="1"/>
  <c r="F18"/>
  <c r="G16"/>
  <c r="G18" s="1"/>
  <c r="F26" i="7"/>
  <c r="D26"/>
  <c r="D28" s="1"/>
  <c r="C26"/>
  <c r="E25"/>
  <c r="E24"/>
  <c r="E23"/>
  <c r="E22"/>
  <c r="E26" s="1"/>
  <c r="G7" i="6"/>
  <c r="F7"/>
  <c r="E7"/>
  <c r="D7"/>
  <c r="C7"/>
  <c r="B7"/>
  <c r="A7"/>
  <c r="G6"/>
  <c r="F6"/>
  <c r="E6"/>
  <c r="D6"/>
  <c r="C6"/>
  <c r="B6"/>
  <c r="A6"/>
  <c r="G5"/>
  <c r="F5"/>
  <c r="E5"/>
  <c r="D5"/>
  <c r="C5"/>
  <c r="B5"/>
  <c r="A5"/>
  <c r="G4"/>
  <c r="F4"/>
  <c r="E4"/>
  <c r="D4"/>
  <c r="C4"/>
  <c r="B4"/>
  <c r="A4"/>
  <c r="G3"/>
  <c r="F3"/>
  <c r="E3"/>
  <c r="D3"/>
  <c r="C3"/>
  <c r="B3"/>
  <c r="A3"/>
  <c r="G2"/>
  <c r="F2"/>
  <c r="E2"/>
  <c r="D2"/>
  <c r="C2"/>
  <c r="B2"/>
  <c r="A2"/>
  <c r="K63" i="5"/>
  <c r="K62"/>
  <c r="K61"/>
  <c r="K60"/>
  <c r="K59"/>
  <c r="K58"/>
  <c r="M52"/>
  <c r="M51"/>
  <c r="M50"/>
  <c r="M49"/>
  <c r="M48"/>
  <c r="M47"/>
  <c r="M46"/>
  <c r="M45"/>
  <c r="M53" s="1"/>
  <c r="Q35"/>
  <c r="N34"/>
  <c r="H34"/>
  <c r="O34" s="1"/>
  <c r="N33"/>
  <c r="H33"/>
  <c r="O33" s="1"/>
  <c r="N32"/>
  <c r="N35" s="1"/>
  <c r="H32"/>
  <c r="O32" s="1"/>
  <c r="B32"/>
  <c r="D32" s="1"/>
  <c r="Q30"/>
  <c r="N29"/>
  <c r="H29"/>
  <c r="O29" s="1"/>
  <c r="N28"/>
  <c r="H28"/>
  <c r="O28" s="1"/>
  <c r="N27"/>
  <c r="N30" s="1"/>
  <c r="H27"/>
  <c r="O27" s="1"/>
  <c r="B27"/>
  <c r="D27" s="1"/>
  <c r="Q25"/>
  <c r="N24"/>
  <c r="H24"/>
  <c r="O24" s="1"/>
  <c r="N23"/>
  <c r="H23"/>
  <c r="O23" s="1"/>
  <c r="N22"/>
  <c r="N25" s="1"/>
  <c r="H22"/>
  <c r="O22" s="1"/>
  <c r="B22"/>
  <c r="D22" s="1"/>
  <c r="Q20"/>
  <c r="N19"/>
  <c r="H19"/>
  <c r="O19" s="1"/>
  <c r="N18"/>
  <c r="H18"/>
  <c r="O18" s="1"/>
  <c r="N17"/>
  <c r="N20" s="1"/>
  <c r="H17"/>
  <c r="O17" s="1"/>
  <c r="B17"/>
  <c r="D17" s="1"/>
  <c r="Q15"/>
  <c r="N14"/>
  <c r="H14"/>
  <c r="O14" s="1"/>
  <c r="N13"/>
  <c r="H13"/>
  <c r="O13" s="1"/>
  <c r="N12"/>
  <c r="N15" s="1"/>
  <c r="H12"/>
  <c r="O12" s="1"/>
  <c r="B12"/>
  <c r="D12" s="1"/>
  <c r="Q10"/>
  <c r="N9"/>
  <c r="H9"/>
  <c r="O9" s="1"/>
  <c r="N8"/>
  <c r="H8"/>
  <c r="O8" s="1"/>
  <c r="N7"/>
  <c r="N10" s="1"/>
  <c r="H7"/>
  <c r="O7" s="1"/>
  <c r="B7"/>
  <c r="D7" s="1"/>
  <c r="I3"/>
  <c r="D3"/>
  <c r="E12" i="4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S6" s="1"/>
  <c r="D6"/>
  <c r="R6" s="1"/>
  <c r="C6"/>
  <c r="Q6" s="1"/>
  <c r="B6"/>
  <c r="P6" s="1"/>
  <c r="T6" s="1"/>
  <c r="A6"/>
  <c r="T5"/>
  <c r="O5"/>
  <c r="J5"/>
  <c r="B9" i="3"/>
  <c r="B8"/>
  <c r="B7"/>
  <c r="B6"/>
  <c r="B5"/>
  <c r="B4"/>
  <c r="B3"/>
  <c r="C21" i="2"/>
  <c r="C20"/>
  <c r="C19"/>
  <c r="C18"/>
  <c r="C17"/>
  <c r="C16"/>
  <c r="C15"/>
  <c r="C14"/>
  <c r="C20" i="11" l="1"/>
  <c r="D20"/>
  <c r="C16" i="9"/>
  <c r="I16"/>
  <c r="O16"/>
  <c r="U16"/>
  <c r="H16" i="8"/>
  <c r="H18" s="1"/>
  <c r="F28" i="7"/>
  <c r="D32" s="1"/>
  <c r="O63" i="5"/>
  <c r="P63" s="1"/>
  <c r="O62"/>
  <c r="P62" s="1"/>
  <c r="O61"/>
  <c r="P61" s="1"/>
  <c r="O60"/>
  <c r="P60" s="1"/>
  <c r="O59"/>
  <c r="P59" s="1"/>
  <c r="O58"/>
  <c r="P58" s="1"/>
  <c r="P8"/>
  <c r="P9"/>
  <c r="P13"/>
  <c r="P14"/>
  <c r="P18"/>
  <c r="P19"/>
  <c r="P23"/>
  <c r="P24"/>
  <c r="P28"/>
  <c r="P29"/>
  <c r="P33"/>
  <c r="P34"/>
  <c r="I7"/>
  <c r="P7"/>
  <c r="P10" s="1"/>
  <c r="I8"/>
  <c r="I9"/>
  <c r="I12"/>
  <c r="P12"/>
  <c r="P15" s="1"/>
  <c r="I13"/>
  <c r="I14"/>
  <c r="I17"/>
  <c r="P17"/>
  <c r="P20" s="1"/>
  <c r="I18"/>
  <c r="I19"/>
  <c r="I22"/>
  <c r="P22"/>
  <c r="P25" s="1"/>
  <c r="I23"/>
  <c r="I24"/>
  <c r="I27"/>
  <c r="P27"/>
  <c r="P30" s="1"/>
  <c r="I28"/>
  <c r="I29"/>
  <c r="I32"/>
  <c r="P32"/>
  <c r="P35" s="1"/>
  <c r="I33"/>
  <c r="I34"/>
  <c r="P7" i="4"/>
  <c r="Q7"/>
  <c r="R7"/>
  <c r="S7"/>
  <c r="P8"/>
  <c r="Q8"/>
  <c r="R8"/>
  <c r="S8"/>
  <c r="P9"/>
  <c r="Q9"/>
  <c r="R9"/>
  <c r="S9"/>
  <c r="P10"/>
  <c r="Q10"/>
  <c r="R10"/>
  <c r="S10"/>
  <c r="P11"/>
  <c r="Q11"/>
  <c r="R11"/>
  <c r="S11"/>
  <c r="P12"/>
  <c r="Q12"/>
  <c r="R12"/>
  <c r="S12"/>
  <c r="F6"/>
  <c r="G6"/>
  <c r="H6"/>
  <c r="I6"/>
  <c r="K6"/>
  <c r="L6"/>
  <c r="M6"/>
  <c r="N6"/>
  <c r="F7"/>
  <c r="G7"/>
  <c r="H7"/>
  <c r="I7"/>
  <c r="K7"/>
  <c r="L7"/>
  <c r="M7"/>
  <c r="N7"/>
  <c r="F8"/>
  <c r="G8"/>
  <c r="H8"/>
  <c r="I8"/>
  <c r="K8"/>
  <c r="L8"/>
  <c r="M8"/>
  <c r="N8"/>
  <c r="F9"/>
  <c r="G9"/>
  <c r="H9"/>
  <c r="I9"/>
  <c r="K9"/>
  <c r="L9"/>
  <c r="M9"/>
  <c r="N9"/>
  <c r="F10"/>
  <c r="G10"/>
  <c r="H10"/>
  <c r="I10"/>
  <c r="K10"/>
  <c r="L10"/>
  <c r="M10"/>
  <c r="N10"/>
  <c r="F11"/>
  <c r="G11"/>
  <c r="H11"/>
  <c r="I11"/>
  <c r="K11"/>
  <c r="L11"/>
  <c r="M11"/>
  <c r="N11"/>
  <c r="F12"/>
  <c r="G12"/>
  <c r="H12"/>
  <c r="I12"/>
  <c r="K12"/>
  <c r="L12"/>
  <c r="M12"/>
  <c r="N12"/>
  <c r="F20" i="11" l="1"/>
  <c r="U17" i="9"/>
  <c r="O17"/>
  <c r="I17"/>
  <c r="C17"/>
  <c r="I35" i="5"/>
  <c r="I30"/>
  <c r="I25"/>
  <c r="I20"/>
  <c r="I15"/>
  <c r="I10"/>
  <c r="O12" i="4"/>
  <c r="J12"/>
  <c r="O11"/>
  <c r="J11"/>
  <c r="O10"/>
  <c r="J10"/>
  <c r="O9"/>
  <c r="J9"/>
  <c r="O8"/>
  <c r="J8"/>
  <c r="O7"/>
  <c r="J7"/>
  <c r="O6"/>
  <c r="J6"/>
  <c r="T12"/>
  <c r="T11"/>
  <c r="T10"/>
  <c r="T9"/>
  <c r="T8"/>
  <c r="T7"/>
  <c r="C18" i="9" l="1"/>
  <c r="I18"/>
  <c r="O18"/>
  <c r="U18"/>
  <c r="J10" i="5"/>
  <c r="K10" s="1"/>
  <c r="L10" s="1"/>
  <c r="J15"/>
  <c r="K15" s="1"/>
  <c r="L15" s="1"/>
  <c r="J20"/>
  <c r="K20" s="1"/>
  <c r="L20" s="1"/>
  <c r="J25"/>
  <c r="K25" s="1"/>
  <c r="L25" s="1"/>
  <c r="J30"/>
  <c r="K30" s="1"/>
  <c r="L30" s="1"/>
  <c r="J35"/>
  <c r="K35" s="1"/>
  <c r="L35" s="1"/>
  <c r="U19" i="9" l="1"/>
  <c r="O19"/>
  <c r="I19"/>
  <c r="C19"/>
  <c r="C20" l="1"/>
  <c r="I20"/>
  <c r="O20"/>
  <c r="U20"/>
  <c r="T21" l="1"/>
  <c r="U21" s="1"/>
  <c r="O21"/>
  <c r="P20"/>
  <c r="Q20" s="1"/>
  <c r="I21"/>
  <c r="J20"/>
  <c r="K20" s="1"/>
  <c r="C21"/>
  <c r="D20"/>
  <c r="E20" s="1"/>
  <c r="V21" l="1"/>
  <c r="W21" s="1"/>
  <c r="V15"/>
  <c r="W15" s="1"/>
  <c r="V14"/>
  <c r="W14" s="1"/>
  <c r="V16"/>
  <c r="W16" s="1"/>
  <c r="V17"/>
  <c r="W17" s="1"/>
  <c r="V18"/>
  <c r="W18" s="1"/>
  <c r="V19"/>
  <c r="W19" s="1"/>
  <c r="V20"/>
  <c r="W20" s="1"/>
  <c r="D21"/>
  <c r="E21" s="1"/>
  <c r="D15"/>
  <c r="E15" s="1"/>
  <c r="D14"/>
  <c r="E14" s="1"/>
  <c r="D16"/>
  <c r="E16" s="1"/>
  <c r="D17"/>
  <c r="E17" s="1"/>
  <c r="D18"/>
  <c r="E18" s="1"/>
  <c r="D19"/>
  <c r="E19" s="1"/>
  <c r="J21"/>
  <c r="K21" s="1"/>
  <c r="J15"/>
  <c r="K15" s="1"/>
  <c r="J14"/>
  <c r="K14" s="1"/>
  <c r="J16"/>
  <c r="K16" s="1"/>
  <c r="J17"/>
  <c r="K17" s="1"/>
  <c r="J18"/>
  <c r="K18" s="1"/>
  <c r="J19"/>
  <c r="K19" s="1"/>
  <c r="P21"/>
  <c r="Q21" s="1"/>
  <c r="P15"/>
  <c r="Q15" s="1"/>
  <c r="P14"/>
  <c r="Q14" s="1"/>
  <c r="P16"/>
  <c r="Q16" s="1"/>
  <c r="P17"/>
  <c r="Q17" s="1"/>
  <c r="P18"/>
  <c r="Q18" s="1"/>
  <c r="P19"/>
  <c r="Q19" s="1"/>
</calcChain>
</file>

<file path=xl/sharedStrings.xml><?xml version="1.0" encoding="utf-8"?>
<sst xmlns="http://schemas.openxmlformats.org/spreadsheetml/2006/main" count="620" uniqueCount="276">
  <si>
    <t>GUJARAT STATE HIGHWAY PROJECT</t>
  </si>
  <si>
    <t>EARTHQUAKE EMERGENCY PROGRAMME</t>
  </si>
  <si>
    <t>Client/Engineer :</t>
  </si>
  <si>
    <t>Roads &amp; Building Department, Govt. of Gujarat</t>
  </si>
  <si>
    <t>Consultant :</t>
  </si>
  <si>
    <t>N.D.Lea International in Association with 
Lea Associates South Asia Pvt. Ltd.</t>
  </si>
  <si>
    <t>Contractor :</t>
  </si>
  <si>
    <t>SPECIFIC GRAVITY AND WATER ABSORPTION OF AGGREGATE</t>
  </si>
  <si>
    <t>Location/Chainage:</t>
  </si>
  <si>
    <t>Stack Pile</t>
  </si>
  <si>
    <t>Date of Sampling:</t>
  </si>
  <si>
    <t>22/12/01</t>
  </si>
  <si>
    <t>Description of Material:</t>
  </si>
  <si>
    <t>12mm</t>
  </si>
  <si>
    <t>Date of Testing:</t>
  </si>
  <si>
    <t>Source of Material:</t>
  </si>
  <si>
    <t>Sevalia</t>
  </si>
  <si>
    <t>Sampled by:</t>
  </si>
  <si>
    <t>Sample No:</t>
  </si>
  <si>
    <t>OBSERVATIONS</t>
  </si>
  <si>
    <t>DESCRIPTION</t>
  </si>
  <si>
    <t>AVERAGE</t>
  </si>
  <si>
    <r>
      <t xml:space="preserve">Wt. of Wire Basket + Saturated Aggregate in water (gms)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1</t>
    </r>
  </si>
  <si>
    <r>
      <t xml:space="preserve">Wt. of Wire Basket in water (gms) 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2</t>
    </r>
  </si>
  <si>
    <r>
      <t>Wt. of saturated Aggregate in water  W</t>
    </r>
    <r>
      <rPr>
        <vertAlign val="subscript"/>
        <sz val="10"/>
        <rFont val="Tahoma"/>
        <family val="2"/>
      </rPr>
      <t>1</t>
    </r>
    <r>
      <rPr>
        <sz val="10"/>
        <rFont val="Tahoma"/>
        <family val="2"/>
      </rPr>
      <t>-W</t>
    </r>
    <r>
      <rPr>
        <vertAlign val="subscript"/>
        <sz val="10"/>
        <rFont val="Tahoma"/>
        <family val="2"/>
      </rPr>
      <t xml:space="preserve">2 </t>
    </r>
    <r>
      <rPr>
        <sz val="10"/>
        <rFont val="Tahoma"/>
        <family val="2"/>
      </rPr>
      <t xml:space="preserve">(gms) </t>
    </r>
    <r>
      <rPr>
        <b/>
        <sz val="10"/>
        <rFont val="Tahoma"/>
        <family val="2"/>
      </rPr>
      <t xml:space="preserve"> A </t>
    </r>
  </si>
  <si>
    <r>
      <t xml:space="preserve">Wt. in air of Saturated Surface Dry Aggregate (gms)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3</t>
    </r>
  </si>
  <si>
    <r>
      <t xml:space="preserve">Wt. in air of oven dried Aggregate (gms) </t>
    </r>
    <r>
      <rPr>
        <b/>
        <sz val="10"/>
        <rFont val="Tahoma"/>
        <family val="2"/>
      </rPr>
      <t xml:space="preserve"> W</t>
    </r>
    <r>
      <rPr>
        <b/>
        <vertAlign val="subscript"/>
        <sz val="10"/>
        <rFont val="Tahoma"/>
        <family val="2"/>
      </rPr>
      <t>4</t>
    </r>
    <r>
      <rPr>
        <b/>
        <sz val="10"/>
        <rFont val="Tahoma"/>
        <family val="2"/>
      </rPr>
      <t xml:space="preserve">  </t>
    </r>
  </si>
  <si>
    <r>
      <t>Apparent  Specific Gravity  W</t>
    </r>
    <r>
      <rPr>
        <vertAlign val="subscript"/>
        <sz val="10"/>
        <rFont val="Tahoma"/>
        <family val="2"/>
      </rPr>
      <t xml:space="preserve">4 </t>
    </r>
    <r>
      <rPr>
        <sz val="10"/>
        <rFont val="Tahoma"/>
        <family val="2"/>
      </rPr>
      <t>/ (W</t>
    </r>
    <r>
      <rPr>
        <vertAlign val="subscript"/>
        <sz val="10"/>
        <rFont val="Tahoma"/>
        <family val="2"/>
      </rPr>
      <t xml:space="preserve">4 </t>
    </r>
    <r>
      <rPr>
        <sz val="10"/>
        <rFont val="Tahoma"/>
        <family val="2"/>
      </rPr>
      <t>- A)</t>
    </r>
  </si>
  <si>
    <r>
      <t>Specific Gravity</t>
    </r>
    <r>
      <rPr>
        <sz val="10"/>
        <rFont val="Tahoma"/>
        <family val="2"/>
      </rPr>
      <t xml:space="preserve"> = W</t>
    </r>
    <r>
      <rPr>
        <vertAlign val="subscript"/>
        <sz val="10"/>
        <rFont val="Tahoma"/>
        <family val="2"/>
      </rPr>
      <t xml:space="preserve">4 </t>
    </r>
    <r>
      <rPr>
        <sz val="10"/>
        <rFont val="Tahoma"/>
        <family val="2"/>
      </rPr>
      <t>/ (W</t>
    </r>
    <r>
      <rPr>
        <vertAlign val="subscript"/>
        <sz val="10"/>
        <rFont val="Tahoma"/>
        <family val="2"/>
      </rPr>
      <t xml:space="preserve">3 </t>
    </r>
    <r>
      <rPr>
        <sz val="10"/>
        <rFont val="Tahoma"/>
        <family val="2"/>
      </rPr>
      <t>- A)</t>
    </r>
  </si>
  <si>
    <r>
      <t>Water Absorption</t>
    </r>
    <r>
      <rPr>
        <sz val="10"/>
        <rFont val="Tahoma"/>
        <family val="2"/>
      </rPr>
      <t>= [ (W</t>
    </r>
    <r>
      <rPr>
        <vertAlign val="subscript"/>
        <sz val="10"/>
        <rFont val="Tahoma"/>
        <family val="2"/>
      </rPr>
      <t xml:space="preserve">3 </t>
    </r>
    <r>
      <rPr>
        <sz val="10"/>
        <rFont val="Tahoma"/>
        <family val="2"/>
      </rPr>
      <t>- W</t>
    </r>
    <r>
      <rPr>
        <vertAlign val="subscript"/>
        <sz val="10"/>
        <rFont val="Tahoma"/>
        <family val="2"/>
      </rPr>
      <t>4</t>
    </r>
    <r>
      <rPr>
        <sz val="10"/>
        <rFont val="Tahoma"/>
        <family val="2"/>
      </rPr>
      <t>) / W</t>
    </r>
    <r>
      <rPr>
        <vertAlign val="subscript"/>
        <sz val="10"/>
        <rFont val="Tahoma"/>
        <family val="2"/>
      </rPr>
      <t>4</t>
    </r>
    <r>
      <rPr>
        <sz val="10"/>
        <rFont val="Tahoma"/>
        <family val="2"/>
      </rPr>
      <t xml:space="preserve"> ]  X  100 (%)</t>
    </r>
  </si>
  <si>
    <t>TIME SCHEDULE FOR  MIX DESIGN OF BITUMINOUS CONCRETE</t>
  </si>
  <si>
    <t>S.No.</t>
  </si>
  <si>
    <t>Name of Activity</t>
  </si>
  <si>
    <t>1st Day</t>
  </si>
  <si>
    <t>2nd Day</t>
  </si>
  <si>
    <t>3rd Day</t>
  </si>
  <si>
    <t>4th Day</t>
  </si>
  <si>
    <t>5th Day</t>
  </si>
  <si>
    <t>6th Day</t>
  </si>
  <si>
    <t>7th Day</t>
  </si>
  <si>
    <t>8th Day</t>
  </si>
  <si>
    <t>9th Day</t>
  </si>
  <si>
    <t>10th Day</t>
  </si>
  <si>
    <r>
      <t>1</t>
    </r>
    <r>
      <rPr>
        <vertAlign val="superscript"/>
        <sz val="10"/>
        <rFont val="Tahoma"/>
        <family val="2"/>
      </rPr>
      <t>st</t>
    </r>
    <r>
      <rPr>
        <sz val="10"/>
        <rFont val="Tahoma"/>
        <family val="2"/>
      </rPr>
      <t xml:space="preserve"> H</t>
    </r>
  </si>
  <si>
    <r>
      <t>2</t>
    </r>
    <r>
      <rPr>
        <vertAlign val="superscript"/>
        <sz val="10"/>
        <rFont val="Tahoma"/>
        <family val="2"/>
      </rPr>
      <t>nd</t>
    </r>
    <r>
      <rPr>
        <sz val="10"/>
        <rFont val="Tahoma"/>
        <family val="2"/>
      </rPr>
      <t xml:space="preserve"> H</t>
    </r>
  </si>
  <si>
    <t>AGGREGATE TESTS</t>
  </si>
  <si>
    <t>Aggregate Impact Value</t>
  </si>
  <si>
    <t>Specific Gravity &amp; Water Absorption</t>
  </si>
  <si>
    <t>Stripping Value</t>
  </si>
  <si>
    <t>Individual Gradation</t>
  </si>
  <si>
    <t>Preparation of Job Mix Formula</t>
  </si>
  <si>
    <t>Combined FI &amp; EI</t>
  </si>
  <si>
    <t>BITUMEN TESTS</t>
  </si>
  <si>
    <t>Penetration value</t>
  </si>
  <si>
    <t>Specific Gravity</t>
  </si>
  <si>
    <t>Viscosity</t>
  </si>
  <si>
    <t>Softening point</t>
  </si>
  <si>
    <t>CASTING &amp; TESTING OF MOULDS AS PER 1st JMF</t>
  </si>
  <si>
    <t>Preparation of aggregate samples for mix</t>
  </si>
  <si>
    <t>Casting of moulds</t>
  </si>
  <si>
    <t>Testing of moulds</t>
  </si>
  <si>
    <t>CASTING &amp; TESTING OF MOULDS AS PER 2nd JMF</t>
  </si>
  <si>
    <t>CASTING &amp; TESTING OF MOULDS AS PER 3rd JMF</t>
  </si>
  <si>
    <t>CASTING &amp; TESTING OF MOULDS AS PER 4th JMF</t>
  </si>
  <si>
    <t>PREPARATION OF REPORT</t>
  </si>
  <si>
    <t>Note:</t>
  </si>
  <si>
    <r>
      <t>1</t>
    </r>
    <r>
      <rPr>
        <vertAlign val="superscript"/>
        <sz val="8"/>
        <rFont val="Tahoma"/>
        <family val="2"/>
      </rPr>
      <t>st</t>
    </r>
    <r>
      <rPr>
        <sz val="8"/>
        <rFont val="Tahoma"/>
        <family val="2"/>
      </rPr>
      <t xml:space="preserve"> H = First Half of the day, 2</t>
    </r>
    <r>
      <rPr>
        <vertAlign val="superscript"/>
        <sz val="8"/>
        <rFont val="Tahoma"/>
        <family val="2"/>
      </rPr>
      <t>nd</t>
    </r>
    <r>
      <rPr>
        <sz val="8"/>
        <rFont val="Tahoma"/>
        <family val="2"/>
      </rPr>
      <t xml:space="preserve"> H = Second half of the day</t>
    </r>
  </si>
  <si>
    <t>Client/Engineer : Roads &amp; Building Department, Govt. of Gujarat</t>
  </si>
  <si>
    <t>Consultant : N.D.Lea International in Association with 
                    Lea Associates South Asia Pvt. Ltd.</t>
  </si>
  <si>
    <t xml:space="preserve">Contractor : </t>
  </si>
  <si>
    <t>SUMMARY OF BITUMINOUS CONCRETE MIX DESIGN</t>
  </si>
  <si>
    <t>Description</t>
  </si>
  <si>
    <t>Value</t>
  </si>
  <si>
    <t>MOST Requirement</t>
  </si>
  <si>
    <t>Grade of Bitumen Used</t>
  </si>
  <si>
    <t>60/70</t>
  </si>
  <si>
    <t>60/70 or 80/100</t>
  </si>
  <si>
    <t>Penetration of Bitumen</t>
  </si>
  <si>
    <t>60 to 70</t>
  </si>
  <si>
    <t>Specific Gravity of Bitumen</t>
  </si>
  <si>
    <t>-</t>
  </si>
  <si>
    <t>Aggregate Impact Value of Mix Aggregates (%)</t>
  </si>
  <si>
    <t>Max. 30%</t>
  </si>
  <si>
    <t>Flakiness and Elongation Indices of Mix Aggregates (%)</t>
  </si>
  <si>
    <t>Water Absorption of Mix Aggregate (%)</t>
  </si>
  <si>
    <t>Max. 2%</t>
  </si>
  <si>
    <t>Specific Gravity of 12mm</t>
  </si>
  <si>
    <t>Specific Gravity of 10mm</t>
  </si>
  <si>
    <t>Specific Gravity of 6mm</t>
  </si>
  <si>
    <t>Specific Gravity of Stone Dust</t>
  </si>
  <si>
    <t>Bitumen Content by Weight of Mix (%)</t>
  </si>
  <si>
    <t>Min. 4.5%</t>
  </si>
  <si>
    <t>Bulk Density of Mix (gm/cc)</t>
  </si>
  <si>
    <t>Marshall Stability (kgs)</t>
  </si>
  <si>
    <t>Min. 820 kg</t>
  </si>
  <si>
    <t>Marshall Flow Value (mm)</t>
  </si>
  <si>
    <t>2 - 4 mm</t>
  </si>
  <si>
    <t>Voids (%)</t>
  </si>
  <si>
    <t>3 - 5 %</t>
  </si>
  <si>
    <t>VFB (%)</t>
  </si>
  <si>
    <t>65 - 75 %</t>
  </si>
  <si>
    <t>VMA (%)</t>
  </si>
  <si>
    <t>11 - 13 %</t>
  </si>
  <si>
    <t>Edit this Cells only</t>
  </si>
  <si>
    <t>Sieve Size</t>
  </si>
  <si>
    <t>JMF</t>
  </si>
  <si>
    <t>MOST Limits</t>
  </si>
  <si>
    <t>Mid Limits</t>
  </si>
  <si>
    <t>Lower</t>
  </si>
  <si>
    <t>Upper</t>
  </si>
  <si>
    <t>TABLE - 1  JOB MIX FORMULA FOR BITUMINOUS CONCRETE</t>
  </si>
  <si>
    <t>TRIAL - 1**</t>
  </si>
  <si>
    <t>TRIAL - 2</t>
  </si>
  <si>
    <t>TRIAL - 3</t>
  </si>
  <si>
    <t>Mid Point of Most Limit</t>
  </si>
  <si>
    <t>10mm</t>
  </si>
  <si>
    <t>6mm</t>
  </si>
  <si>
    <t>Dust</t>
  </si>
  <si>
    <t>Total</t>
  </si>
  <si>
    <t>16mm</t>
  </si>
  <si>
    <t>90 - 100</t>
  </si>
  <si>
    <t>56 - 80</t>
  </si>
  <si>
    <t>35 - 65</t>
  </si>
  <si>
    <t>23 - 49</t>
  </si>
  <si>
    <t>5 - 19.</t>
  </si>
  <si>
    <t>2 - 8.</t>
  </si>
  <si>
    <t>Note: Adopted Trial - 1 for Bituminous Concrete</t>
  </si>
  <si>
    <t>**</t>
  </si>
  <si>
    <t>Put the final JMF in TRIAL-1 Section</t>
  </si>
  <si>
    <t>TABLE - 2  HOT MIX DESIGN DATA BY THE MARSHALL METHOD</t>
  </si>
  <si>
    <t>Specific Gravity of Mix =</t>
  </si>
  <si>
    <t>Specific Gravity of Bitumen =</t>
  </si>
  <si>
    <t>Proving Ring Factor =</t>
  </si>
  <si>
    <t>S.No</t>
  </si>
  <si>
    <t>Agg. By Wt. Of Total Mix</t>
  </si>
  <si>
    <t>Bitu. By Wt. Of Total Mix</t>
  </si>
  <si>
    <t>Th. Sp. Gr. Of Mix
Gt.</t>
  </si>
  <si>
    <t>Specimen Weight (gms)</t>
  </si>
  <si>
    <t>Bulk Volume</t>
  </si>
  <si>
    <t>Bulk Density
Gb</t>
  </si>
  <si>
    <t>Air Voids (%)</t>
  </si>
  <si>
    <t>Stability (Kg)</t>
  </si>
  <si>
    <t>Flow (mm)</t>
  </si>
  <si>
    <t>In Air</t>
  </si>
  <si>
    <t>In Water</t>
  </si>
  <si>
    <t>S.S.D.</t>
  </si>
  <si>
    <t>Div.</t>
  </si>
  <si>
    <t>Stability</t>
  </si>
  <si>
    <t>Correction Factor</t>
  </si>
  <si>
    <t>Corrected Stability</t>
  </si>
  <si>
    <t>FORMULAS USED IN CALCULATIONS</t>
  </si>
  <si>
    <t>Theoretical Specific Gravity of Mix,  Gt  =</t>
  </si>
  <si>
    <r>
      <t>W</t>
    </r>
    <r>
      <rPr>
        <vertAlign val="subscript"/>
        <sz val="10"/>
        <rFont val="Arial"/>
        <family val="2"/>
      </rPr>
      <t>1</t>
    </r>
  </si>
  <si>
    <r>
      <t>W</t>
    </r>
    <r>
      <rPr>
        <vertAlign val="subscript"/>
        <sz val="10"/>
        <rFont val="Arial"/>
        <family val="2"/>
      </rPr>
      <t>2</t>
    </r>
  </si>
  <si>
    <r>
      <t>W</t>
    </r>
    <r>
      <rPr>
        <vertAlign val="subscript"/>
        <sz val="10"/>
        <rFont val="Arial"/>
        <family val="2"/>
      </rPr>
      <t>3</t>
    </r>
  </si>
  <si>
    <r>
      <t>W</t>
    </r>
    <r>
      <rPr>
        <vertAlign val="subscript"/>
        <sz val="10"/>
        <rFont val="Arial"/>
        <family val="2"/>
      </rPr>
      <t>4</t>
    </r>
  </si>
  <si>
    <r>
      <t>G</t>
    </r>
    <r>
      <rPr>
        <vertAlign val="subscript"/>
        <sz val="10"/>
        <rFont val="Arial"/>
        <family val="2"/>
      </rPr>
      <t>1</t>
    </r>
  </si>
  <si>
    <r>
      <t>G</t>
    </r>
    <r>
      <rPr>
        <vertAlign val="subscript"/>
        <sz val="10"/>
        <rFont val="Arial"/>
        <family val="2"/>
      </rPr>
      <t>2</t>
    </r>
  </si>
  <si>
    <r>
      <t>G</t>
    </r>
    <r>
      <rPr>
        <vertAlign val="subscript"/>
        <sz val="10"/>
        <rFont val="Arial"/>
        <family val="2"/>
      </rPr>
      <t>3</t>
    </r>
  </si>
  <si>
    <r>
      <t>G</t>
    </r>
    <r>
      <rPr>
        <vertAlign val="subscript"/>
        <sz val="10"/>
        <rFont val="Arial"/>
        <family val="2"/>
      </rPr>
      <t>4</t>
    </r>
  </si>
  <si>
    <t>WEIGHT OF AGGREGATE ON INDIVIDUAL SIEVE FOR ONE MOULD</t>
  </si>
  <si>
    <t>Where,</t>
  </si>
  <si>
    <r>
      <t>W</t>
    </r>
    <r>
      <rPr>
        <vertAlign val="sub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= Percentage weight of coarse aggregate</t>
    </r>
  </si>
  <si>
    <r>
      <t>W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= Percentage weight of fine aggregate</t>
    </r>
  </si>
  <si>
    <t>Total weight for one mould should be 1200 gms</t>
  </si>
  <si>
    <r>
      <t>W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 Percentage weight of Fines/Filler</t>
    </r>
  </si>
  <si>
    <r>
      <t>W</t>
    </r>
    <r>
      <rPr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 xml:space="preserve"> = Percentage weight of Bitumen in total mix</t>
    </r>
  </si>
  <si>
    <t>Wt. of Aggregate</t>
  </si>
  <si>
    <r>
      <t>G</t>
    </r>
    <r>
      <rPr>
        <vertAlign val="sub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= Apparent Specific Gravity of coarse aggregate</t>
    </r>
  </si>
  <si>
    <t>mm</t>
  </si>
  <si>
    <t>gms</t>
  </si>
  <si>
    <r>
      <t>G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= Apparent Specific Gravity of fine aggregate</t>
    </r>
  </si>
  <si>
    <r>
      <t>G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 Apparent Specific Gravity of fines/filler</t>
    </r>
  </si>
  <si>
    <r>
      <t>G</t>
    </r>
    <r>
      <rPr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 xml:space="preserve"> = density of bitumen, gm/cc</t>
    </r>
  </si>
  <si>
    <t>Bulk Density of Mix,  Gb =</t>
  </si>
  <si>
    <t>Weight of Specimen in Air / Bulk Volume</t>
  </si>
  <si>
    <r>
      <t>Bulk Volume</t>
    </r>
    <r>
      <rPr>
        <sz val="11"/>
        <color theme="1"/>
        <rFont val="Calibri"/>
        <family val="2"/>
        <scheme val="minor"/>
      </rPr>
      <t xml:space="preserve"> = S.S.D Weight - Weight in Water</t>
    </r>
  </si>
  <si>
    <t>Pan</t>
  </si>
  <si>
    <t>Percent Air Voids,         Vv =</t>
  </si>
  <si>
    <t>Gt - Gb</t>
  </si>
  <si>
    <t>x 100</t>
  </si>
  <si>
    <t>Gt</t>
  </si>
  <si>
    <t>WEIGHT OF BITUMEN FOR ONE MOULD</t>
  </si>
  <si>
    <t>Weight at % of agg.</t>
  </si>
  <si>
    <t>Weight at % of total mix</t>
  </si>
  <si>
    <t>Percent of Voids in Mineral Aggregate (VMA)</t>
  </si>
  <si>
    <t>% Bitumen in total mix</t>
  </si>
  <si>
    <t>VMA = Vv + Vb</t>
  </si>
  <si>
    <t>Where,  Vb =    Gb x</t>
  </si>
  <si>
    <t>Percent of Voids Field with Bitumen or Tar (VFB)</t>
  </si>
  <si>
    <t>VFB =</t>
  </si>
  <si>
    <t>100 Vb</t>
  </si>
  <si>
    <t>VMA</t>
  </si>
  <si>
    <t>Binder Content</t>
  </si>
  <si>
    <t>Bulk Density</t>
  </si>
  <si>
    <t>Flow</t>
  </si>
  <si>
    <t xml:space="preserve">EARTHQUAKE EMERGENCY PROGRAMME </t>
  </si>
  <si>
    <t>FLAKINESS AND ELONGATION INDICES</t>
  </si>
  <si>
    <t>17/01/02</t>
  </si>
  <si>
    <t>Mix Aggregate (for BC)</t>
  </si>
  <si>
    <t>Sevaliya</t>
  </si>
  <si>
    <t>Passing through IS sieve (mm)</t>
  </si>
  <si>
    <t>Retained on IS sieve (mm)</t>
  </si>
  <si>
    <t>FLAKINESS INDEX</t>
  </si>
  <si>
    <t>ELONGATION INDEX</t>
  </si>
  <si>
    <t>Wt. of Aggregate taken in each fraction (gm)</t>
  </si>
  <si>
    <t>Wt. of Aggregate in each fraction passing through thickness gauge (gm)</t>
  </si>
  <si>
    <t>Wt. of Non-Flaky Aggregate taken in each fraction (gm)</t>
  </si>
  <si>
    <t>Wt. of Aggregate in each fraction not passing through length gauge (gm)</t>
  </si>
  <si>
    <t>W</t>
  </si>
  <si>
    <t>w</t>
  </si>
  <si>
    <t>W1</t>
  </si>
  <si>
    <r>
      <t>w</t>
    </r>
    <r>
      <rPr>
        <b/>
        <sz val="10"/>
        <rFont val="Tahoma"/>
        <family val="2"/>
      </rPr>
      <t>1</t>
    </r>
  </si>
  <si>
    <r>
      <t>(</t>
    </r>
    <r>
      <rPr>
        <b/>
        <i/>
        <sz val="9"/>
        <rFont val="Arial"/>
        <family val="2"/>
      </rPr>
      <t xml:space="preserve">w </t>
    </r>
    <r>
      <rPr>
        <b/>
        <sz val="9"/>
        <rFont val="Arial"/>
        <family val="2"/>
      </rPr>
      <t>/ W) x 100 ( %) =</t>
    </r>
  </si>
  <si>
    <r>
      <t>(</t>
    </r>
    <r>
      <rPr>
        <b/>
        <i/>
        <sz val="9"/>
        <rFont val="Arial"/>
        <family val="2"/>
      </rPr>
      <t xml:space="preserve">w1 </t>
    </r>
    <r>
      <rPr>
        <b/>
        <sz val="9"/>
        <rFont val="Arial"/>
        <family val="2"/>
      </rPr>
      <t>/ W1) x 100(%) =</t>
    </r>
  </si>
  <si>
    <t xml:space="preserve">COMBINED F.I. + E.I. = </t>
  </si>
  <si>
    <t>%</t>
  </si>
  <si>
    <t>AGGREGATE IMPACT VALUE</t>
  </si>
  <si>
    <t>18/12/01</t>
  </si>
  <si>
    <t>BC Mix Agg.</t>
  </si>
  <si>
    <t>Test  No</t>
  </si>
  <si>
    <t>a</t>
  </si>
  <si>
    <t>Wt. of empty metal cup (gm)</t>
  </si>
  <si>
    <t>b</t>
  </si>
  <si>
    <t>Wt. of metal cup + aggregate (gm)</t>
  </si>
  <si>
    <t>c</t>
  </si>
  <si>
    <t>Wt. of aggregate (gm)</t>
  </si>
  <si>
    <t>d</t>
  </si>
  <si>
    <t>Wt. of aggregate retained on 2.36 I.S. sieve after testing (gm) =A</t>
  </si>
  <si>
    <t>e</t>
  </si>
  <si>
    <t>Wt. of aggregate passing  2.36 I.S. sieve after testing (gm)  = B</t>
  </si>
  <si>
    <t>f</t>
  </si>
  <si>
    <t>A . I. V. =  100*B / ( A + B )</t>
  </si>
  <si>
    <t>Average Aggregate Impact Value    = (%)</t>
  </si>
  <si>
    <t>Remarks:</t>
  </si>
  <si>
    <t>EARTHQUAKE EMERGENCY PROGRAMME (EERP - RMC - 12)</t>
  </si>
  <si>
    <t>Mehsana - Radhanpur Road (km 40/00 to km 55/00)</t>
  </si>
  <si>
    <t>M/s Narayansinghji Gulabsinghji</t>
  </si>
  <si>
    <t>GRADATION OF AGGREGATES</t>
  </si>
  <si>
    <t>16/01/02</t>
  </si>
  <si>
    <t>31/12/01</t>
  </si>
  <si>
    <t>14/12/2001</t>
  </si>
  <si>
    <t>Stone dust</t>
  </si>
  <si>
    <t>Ketan &amp; Alpesh Patel</t>
  </si>
  <si>
    <t>IS Sieve Designation</t>
  </si>
  <si>
    <t>Mass of Aggregate Retained (gm)</t>
  </si>
  <si>
    <t>Comulative Mass Retained (gm)</t>
  </si>
  <si>
    <t>Cumulative Percentage Retained</t>
  </si>
  <si>
    <t>Percentage Passing</t>
  </si>
  <si>
    <t>Remarks</t>
  </si>
  <si>
    <t>26.5 mm</t>
  </si>
  <si>
    <t>19 mm</t>
  </si>
  <si>
    <t>9.5 mm</t>
  </si>
  <si>
    <t>4.75 mm</t>
  </si>
  <si>
    <t>2.36 mm</t>
  </si>
  <si>
    <t>300 m</t>
  </si>
  <si>
    <t>75 m</t>
  </si>
  <si>
    <t>Specific Gravity of Aggregate</t>
  </si>
  <si>
    <t>Plant Site</t>
  </si>
  <si>
    <t>19/12/01</t>
  </si>
  <si>
    <t>24/01/02</t>
  </si>
  <si>
    <t>Bitumen</t>
  </si>
  <si>
    <t>Adani Exports</t>
  </si>
  <si>
    <t>Ketan</t>
  </si>
  <si>
    <t>Vinayak Stone, Rajkot</t>
  </si>
  <si>
    <t>KETAN</t>
  </si>
  <si>
    <r>
      <t xml:space="preserve">Weight of Specific Gravity Bottle (gms)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1</t>
    </r>
  </si>
  <si>
    <r>
      <t xml:space="preserve">Weight of Pycnometer (gms)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1</t>
    </r>
  </si>
  <si>
    <r>
      <t xml:space="preserve">Weight of Sp.Gr.Bottle + Sample (gms) 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2</t>
    </r>
  </si>
  <si>
    <r>
      <t xml:space="preserve">Weight of Pycnometer + Sample (gms) 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2</t>
    </r>
  </si>
  <si>
    <r>
      <t xml:space="preserve">Weight of Sp.Gr.Bottle + Sample + Water (gms)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3</t>
    </r>
  </si>
  <si>
    <r>
      <t xml:space="preserve">Weight of Pycnometer + Sample + Water (gms) </t>
    </r>
    <r>
      <rPr>
        <b/>
        <sz val="10"/>
        <rFont val="Tahoma"/>
        <family val="2"/>
      </rPr>
      <t>W</t>
    </r>
    <r>
      <rPr>
        <b/>
        <vertAlign val="subscript"/>
        <sz val="10"/>
        <rFont val="Tahoma"/>
        <family val="2"/>
      </rPr>
      <t>3</t>
    </r>
  </si>
  <si>
    <r>
      <t xml:space="preserve">Weight of Sp.Gr.Bottle + Full of Water </t>
    </r>
    <r>
      <rPr>
        <b/>
        <sz val="10"/>
        <rFont val="Tahoma"/>
        <family val="2"/>
      </rPr>
      <t xml:space="preserve"> W</t>
    </r>
    <r>
      <rPr>
        <b/>
        <vertAlign val="subscript"/>
        <sz val="10"/>
        <rFont val="Tahoma"/>
        <family val="2"/>
      </rPr>
      <t>4</t>
    </r>
    <r>
      <rPr>
        <b/>
        <sz val="10"/>
        <rFont val="Tahoma"/>
        <family val="2"/>
      </rPr>
      <t xml:space="preserve">  </t>
    </r>
  </si>
  <si>
    <r>
      <t xml:space="preserve">Weight of Pycnometer + Full of Water </t>
    </r>
    <r>
      <rPr>
        <b/>
        <sz val="10"/>
        <rFont val="Tahoma"/>
        <family val="2"/>
      </rPr>
      <t xml:space="preserve"> W</t>
    </r>
    <r>
      <rPr>
        <b/>
        <vertAlign val="subscript"/>
        <sz val="10"/>
        <rFont val="Tahoma"/>
        <family val="2"/>
      </rPr>
      <t>4</t>
    </r>
    <r>
      <rPr>
        <b/>
        <sz val="10"/>
        <rFont val="Tahoma"/>
        <family val="2"/>
      </rPr>
      <t xml:space="preserve">  </t>
    </r>
  </si>
  <si>
    <r>
      <t>Weight of Sample = W</t>
    </r>
    <r>
      <rPr>
        <vertAlign val="subscript"/>
        <sz val="10"/>
        <rFont val="Tahoma"/>
        <family val="2"/>
      </rPr>
      <t>2</t>
    </r>
    <r>
      <rPr>
        <sz val="10"/>
        <rFont val="Tahoma"/>
        <family val="2"/>
      </rPr>
      <t xml:space="preserve"> - W</t>
    </r>
    <r>
      <rPr>
        <vertAlign val="subscript"/>
        <sz val="10"/>
        <rFont val="Tahoma"/>
        <family val="2"/>
      </rPr>
      <t>1</t>
    </r>
  </si>
  <si>
    <r>
      <t>Specific Gravity os Sample =
 (W</t>
    </r>
    <r>
      <rPr>
        <vertAlign val="subscript"/>
        <sz val="10"/>
        <rFont val="Tahoma"/>
        <family val="2"/>
      </rPr>
      <t>2</t>
    </r>
    <r>
      <rPr>
        <sz val="10"/>
        <rFont val="Tahoma"/>
        <family val="2"/>
      </rPr>
      <t xml:space="preserve"> - W</t>
    </r>
    <r>
      <rPr>
        <vertAlign val="subscript"/>
        <sz val="10"/>
        <rFont val="Tahoma"/>
        <family val="2"/>
      </rPr>
      <t>1</t>
    </r>
    <r>
      <rPr>
        <sz val="10"/>
        <rFont val="Tahoma"/>
        <family val="2"/>
      </rPr>
      <t>) / {(W</t>
    </r>
    <r>
      <rPr>
        <vertAlign val="subscript"/>
        <sz val="10"/>
        <rFont val="Tahoma"/>
        <family val="2"/>
      </rPr>
      <t>4</t>
    </r>
    <r>
      <rPr>
        <sz val="10"/>
        <rFont val="Tahoma"/>
        <family val="2"/>
      </rPr>
      <t xml:space="preserve"> - W</t>
    </r>
    <r>
      <rPr>
        <vertAlign val="subscript"/>
        <sz val="10"/>
        <rFont val="Tahoma"/>
        <family val="2"/>
      </rPr>
      <t>1</t>
    </r>
    <r>
      <rPr>
        <sz val="10"/>
        <rFont val="Tahoma"/>
        <family val="2"/>
      </rPr>
      <t>) - (W</t>
    </r>
    <r>
      <rPr>
        <vertAlign val="subscript"/>
        <sz val="10"/>
        <rFont val="Tahoma"/>
        <family val="2"/>
      </rPr>
      <t>3</t>
    </r>
    <r>
      <rPr>
        <sz val="10"/>
        <rFont val="Tahoma"/>
        <family val="2"/>
      </rPr>
      <t xml:space="preserve"> - W</t>
    </r>
    <r>
      <rPr>
        <vertAlign val="subscript"/>
        <sz val="10"/>
        <rFont val="Tahoma"/>
        <family val="2"/>
      </rPr>
      <t>2</t>
    </r>
    <r>
      <rPr>
        <sz val="10"/>
        <rFont val="Tahoma"/>
        <family val="2"/>
      </rPr>
      <t>)}</t>
    </r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</si>
</sst>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ahoma"/>
      <family val="2"/>
    </font>
    <font>
      <sz val="10"/>
      <name val="Arial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u/>
      <sz val="11"/>
      <name val="Tahoma"/>
      <family val="2"/>
    </font>
    <font>
      <b/>
      <u/>
      <sz val="12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sz val="9.5"/>
      <name val="Tahoma"/>
      <family val="2"/>
    </font>
    <font>
      <b/>
      <sz val="12"/>
      <name val="Arial"/>
      <family val="2"/>
    </font>
    <font>
      <b/>
      <vertAlign val="subscript"/>
      <sz val="10"/>
      <name val="Tahoma"/>
      <family val="2"/>
    </font>
    <font>
      <sz val="12"/>
      <name val="Tahoma"/>
      <family val="2"/>
    </font>
    <font>
      <vertAlign val="subscript"/>
      <sz val="10"/>
      <name val="Tahoma"/>
      <family val="2"/>
    </font>
    <font>
      <sz val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vertAlign val="superscript"/>
      <sz val="10"/>
      <name val="Tahoma"/>
      <family val="2"/>
    </font>
    <font>
      <sz val="9"/>
      <name val="Tahoma"/>
      <family val="2"/>
    </font>
    <font>
      <vertAlign val="superscript"/>
      <sz val="8"/>
      <name val="Tahoma"/>
      <family val="2"/>
    </font>
    <font>
      <b/>
      <sz val="12"/>
      <name val="Tahoma"/>
      <family val="2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9"/>
      <name val="Arial"/>
    </font>
    <font>
      <b/>
      <sz val="10"/>
      <name val="Arial"/>
    </font>
    <font>
      <vertAlign val="subscript"/>
      <sz val="10"/>
      <name val="Arial"/>
      <family val="2"/>
    </font>
    <font>
      <sz val="8"/>
      <name val="Arial"/>
      <family val="2"/>
    </font>
    <font>
      <b/>
      <i/>
      <sz val="10"/>
      <name val="Tahoma"/>
      <family val="2"/>
    </font>
    <font>
      <b/>
      <i/>
      <sz val="9"/>
      <name val="Arial"/>
      <family val="2"/>
    </font>
    <font>
      <sz val="10"/>
      <name val="Times New Roman"/>
      <family val="1"/>
    </font>
    <font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0" xfId="0" applyFont="1" applyBorder="1" applyAlignment="1"/>
    <xf numFmtId="0" fontId="12" fillId="0" borderId="0" xfId="0" applyFont="1" applyBorder="1" applyAlignment="1"/>
    <xf numFmtId="0" fontId="10" fillId="0" borderId="0" xfId="0" applyFont="1" applyBorder="1" applyAlignment="1">
      <alignment horizontal="left"/>
    </xf>
    <xf numFmtId="0" fontId="5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64" fontId="15" fillId="0" borderId="5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horizontal="right" vertical="top"/>
    </xf>
    <xf numFmtId="0" fontId="2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3" borderId="0" xfId="0" applyFont="1" applyFill="1"/>
    <xf numFmtId="0" fontId="10" fillId="0" borderId="0" xfId="0" applyFont="1" applyFill="1"/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/>
    <xf numFmtId="0" fontId="5" fillId="0" borderId="0" xfId="0" applyFont="1" applyBorder="1" applyAlignment="1">
      <alignment horizontal="left" vertical="center"/>
    </xf>
    <xf numFmtId="0" fontId="3" fillId="0" borderId="0" xfId="0" applyFont="1" applyFill="1" applyAlignment="1"/>
    <xf numFmtId="0" fontId="5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64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10" fillId="2" borderId="5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Border="1"/>
    <xf numFmtId="0" fontId="25" fillId="0" borderId="0" xfId="0" applyFont="1" applyBorder="1"/>
    <xf numFmtId="0" fontId="22" fillId="0" borderId="1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2" fontId="27" fillId="4" borderId="12" xfId="0" applyNumberFormat="1" applyFont="1" applyFill="1" applyBorder="1" applyAlignment="1">
      <alignment horizontal="center" vertical="center"/>
    </xf>
    <xf numFmtId="2" fontId="27" fillId="4" borderId="4" xfId="0" applyNumberFormat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27" fillId="4" borderId="14" xfId="0" applyNumberFormat="1" applyFont="1" applyFill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7" fillId="0" borderId="12" xfId="0" applyFont="1" applyBorder="1"/>
    <xf numFmtId="0" fontId="26" fillId="0" borderId="14" xfId="0" applyFont="1" applyBorder="1" applyAlignment="1">
      <alignment horizontal="center" vertical="center"/>
    </xf>
    <xf numFmtId="0" fontId="27" fillId="0" borderId="0" xfId="0" applyFont="1" applyBorder="1"/>
    <xf numFmtId="0" fontId="27" fillId="0" borderId="12" xfId="0" applyFont="1" applyBorder="1" applyAlignment="1">
      <alignment horizontal="center" vertical="center"/>
    </xf>
    <xf numFmtId="16" fontId="26" fillId="0" borderId="14" xfId="0" applyNumberFormat="1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2" fontId="27" fillId="4" borderId="18" xfId="0" applyNumberFormat="1" applyFont="1" applyFill="1" applyBorder="1" applyAlignment="1">
      <alignment horizontal="center" vertical="center"/>
    </xf>
    <xf numFmtId="2" fontId="27" fillId="4" borderId="19" xfId="0" applyNumberFormat="1" applyFont="1" applyFill="1" applyBorder="1" applyAlignment="1">
      <alignment horizontal="center" vertical="center"/>
    </xf>
    <xf numFmtId="2" fontId="27" fillId="4" borderId="20" xfId="0" applyNumberFormat="1" applyFont="1" applyFill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2" fontId="25" fillId="0" borderId="0" xfId="0" applyNumberFormat="1" applyFont="1" applyBorder="1"/>
    <xf numFmtId="0" fontId="5" fillId="0" borderId="0" xfId="0" applyFont="1" applyBorder="1"/>
    <xf numFmtId="0" fontId="13" fillId="0" borderId="0" xfId="0" applyFont="1" applyBorder="1" applyAlignment="1">
      <alignment horizontal="right"/>
    </xf>
    <xf numFmtId="0" fontId="28" fillId="0" borderId="0" xfId="0" applyFont="1" applyBorder="1"/>
    <xf numFmtId="0" fontId="19" fillId="0" borderId="0" xfId="0" applyFont="1" applyBorder="1"/>
    <xf numFmtId="164" fontId="10" fillId="5" borderId="0" xfId="0" applyNumberFormat="1" applyFont="1" applyFill="1" applyBorder="1" applyAlignment="1">
      <alignment horizontal="center"/>
    </xf>
    <xf numFmtId="0" fontId="10" fillId="6" borderId="0" xfId="0" applyFont="1" applyFill="1" applyBorder="1" applyAlignment="1" applyProtection="1">
      <alignment horizontal="center"/>
      <protection locked="0"/>
    </xf>
    <xf numFmtId="164" fontId="25" fillId="0" borderId="0" xfId="0" applyNumberFormat="1" applyFont="1" applyFill="1" applyBorder="1" applyAlignment="1">
      <alignment horizontal="center"/>
    </xf>
    <xf numFmtId="0" fontId="30" fillId="0" borderId="0" xfId="0" applyFont="1" applyBorder="1"/>
    <xf numFmtId="0" fontId="22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31" fillId="0" borderId="0" xfId="0" applyFont="1" applyBorder="1"/>
    <xf numFmtId="0" fontId="27" fillId="0" borderId="21" xfId="0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2" fontId="27" fillId="4" borderId="15" xfId="0" applyNumberFormat="1" applyFont="1" applyFill="1" applyBorder="1" applyAlignment="1" applyProtection="1">
      <alignment horizontal="center" vertical="center"/>
      <protection locked="0"/>
    </xf>
    <xf numFmtId="164" fontId="27" fillId="0" borderId="15" xfId="0" applyNumberFormat="1" applyFont="1" applyBorder="1" applyAlignment="1">
      <alignment horizontal="center" vertical="center"/>
    </xf>
    <xf numFmtId="165" fontId="27" fillId="4" borderId="15" xfId="0" applyNumberFormat="1" applyFont="1" applyFill="1" applyBorder="1" applyAlignment="1" applyProtection="1">
      <alignment horizontal="center" vertical="center"/>
      <protection locked="0"/>
    </xf>
    <xf numFmtId="165" fontId="27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4" borderId="15" xfId="0" applyFont="1" applyFill="1" applyBorder="1" applyAlignment="1" applyProtection="1">
      <alignment horizontal="center" vertical="center"/>
      <protection locked="0"/>
    </xf>
    <xf numFmtId="1" fontId="27" fillId="0" borderId="15" xfId="0" applyNumberFormat="1" applyFont="1" applyBorder="1" applyAlignment="1">
      <alignment horizontal="center" vertical="center"/>
    </xf>
    <xf numFmtId="2" fontId="27" fillId="0" borderId="15" xfId="0" applyNumberFormat="1" applyFont="1" applyFill="1" applyBorder="1" applyAlignment="1">
      <alignment horizontal="center" vertical="center"/>
    </xf>
    <xf numFmtId="2" fontId="27" fillId="4" borderId="22" xfId="0" applyNumberFormat="1" applyFont="1" applyFill="1" applyBorder="1" applyAlignment="1" applyProtection="1">
      <alignment horizontal="center" vertical="center"/>
      <protection locked="0"/>
    </xf>
    <xf numFmtId="164" fontId="27" fillId="0" borderId="5" xfId="0" applyNumberFormat="1" applyFont="1" applyBorder="1" applyAlignment="1">
      <alignment horizontal="center" vertical="center"/>
    </xf>
    <xf numFmtId="165" fontId="27" fillId="4" borderId="5" xfId="0" applyNumberFormat="1" applyFont="1" applyFill="1" applyBorder="1" applyAlignment="1" applyProtection="1">
      <alignment horizontal="center" vertical="center"/>
      <protection locked="0"/>
    </xf>
    <xf numFmtId="165" fontId="27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4" borderId="5" xfId="0" applyFont="1" applyFill="1" applyBorder="1" applyAlignment="1" applyProtection="1">
      <alignment horizontal="center" vertical="center"/>
      <protection locked="0"/>
    </xf>
    <xf numFmtId="1" fontId="27" fillId="0" borderId="5" xfId="0" applyNumberFormat="1" applyFont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 vertical="center"/>
    </xf>
    <xf numFmtId="2" fontId="27" fillId="4" borderId="14" xfId="0" applyNumberFormat="1" applyFont="1" applyFill="1" applyBorder="1" applyAlignment="1" applyProtection="1">
      <alignment horizontal="center" vertical="center"/>
      <protection locked="0"/>
    </xf>
    <xf numFmtId="164" fontId="26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/>
    </xf>
    <xf numFmtId="1" fontId="26" fillId="0" borderId="5" xfId="0" applyNumberFormat="1" applyFont="1" applyFill="1" applyBorder="1" applyAlignment="1">
      <alignment horizontal="center" vertical="center"/>
    </xf>
    <xf numFmtId="2" fontId="26" fillId="0" borderId="14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2" fontId="27" fillId="0" borderId="20" xfId="0" applyNumberFormat="1" applyFont="1" applyBorder="1" applyAlignment="1">
      <alignment horizontal="center" vertical="center"/>
    </xf>
    <xf numFmtId="2" fontId="27" fillId="0" borderId="15" xfId="0" applyNumberFormat="1" applyFont="1" applyFill="1" applyBorder="1" applyAlignment="1" applyProtection="1">
      <alignment horizontal="center" vertical="center"/>
    </xf>
    <xf numFmtId="2" fontId="27" fillId="0" borderId="5" xfId="0" applyNumberFormat="1" applyFont="1" applyFill="1" applyBorder="1" applyAlignment="1" applyProtection="1">
      <alignment horizontal="center" vertical="center"/>
    </xf>
    <xf numFmtId="164" fontId="25" fillId="0" borderId="0" xfId="0" applyNumberFormat="1" applyFont="1" applyBorder="1"/>
    <xf numFmtId="164" fontId="26" fillId="0" borderId="19" xfId="0" applyNumberFormat="1" applyFont="1" applyBorder="1" applyAlignment="1">
      <alignment horizontal="center" vertical="center"/>
    </xf>
    <xf numFmtId="2" fontId="26" fillId="0" borderId="19" xfId="0" applyNumberFormat="1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1" fontId="26" fillId="0" borderId="19" xfId="0" applyNumberFormat="1" applyFont="1" applyBorder="1" applyAlignment="1">
      <alignment horizontal="center" vertical="center"/>
    </xf>
    <xf numFmtId="2" fontId="26" fillId="0" borderId="2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1" fontId="10" fillId="0" borderId="0" xfId="0" applyNumberFormat="1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vertical="center"/>
    </xf>
    <xf numFmtId="2" fontId="10" fillId="0" borderId="0" xfId="0" applyNumberFormat="1" applyFont="1" applyBorder="1" applyAlignment="1">
      <alignment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8" fillId="0" borderId="5" xfId="0" applyFont="1" applyFill="1" applyBorder="1" applyAlignment="1">
      <alignment horizontal="center" vertical="center" wrapText="1"/>
    </xf>
    <xf numFmtId="0" fontId="33" fillId="0" borderId="0" xfId="0" applyFont="1" applyFill="1" applyBorder="1"/>
    <xf numFmtId="0" fontId="10" fillId="0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" fontId="10" fillId="4" borderId="5" xfId="0" applyNumberFormat="1" applyFont="1" applyFill="1" applyBorder="1" applyAlignment="1">
      <alignment horizontal="center" vertical="center"/>
    </xf>
    <xf numFmtId="1" fontId="22" fillId="4" borderId="5" xfId="0" applyNumberFormat="1" applyFont="1" applyFill="1" applyBorder="1" applyAlignment="1">
      <alignment horizontal="center" vertical="center"/>
    </xf>
    <xf numFmtId="165" fontId="10" fillId="4" borderId="5" xfId="0" applyNumberFormat="1" applyFont="1" applyFill="1" applyBorder="1" applyAlignment="1">
      <alignment horizontal="center" vertical="center"/>
    </xf>
    <xf numFmtId="165" fontId="10" fillId="0" borderId="5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2" fontId="26" fillId="0" borderId="5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Border="1"/>
    <xf numFmtId="2" fontId="8" fillId="0" borderId="0" xfId="0" applyNumberFormat="1" applyFont="1" applyFill="1" applyBorder="1" applyAlignment="1">
      <alignment horizontal="center"/>
    </xf>
    <xf numFmtId="9" fontId="28" fillId="0" borderId="0" xfId="1" applyFont="1" applyFill="1" applyBorder="1"/>
    <xf numFmtId="0" fontId="3" fillId="0" borderId="0" xfId="0" applyFont="1" applyFill="1" applyBorder="1" applyAlignment="1">
      <alignment horizontal="right"/>
    </xf>
    <xf numFmtId="0" fontId="19" fillId="0" borderId="0" xfId="0" applyFont="1" applyBorder="1" applyAlignment="1"/>
    <xf numFmtId="0" fontId="36" fillId="0" borderId="0" xfId="0" applyFont="1" applyBorder="1" applyAlignment="1"/>
    <xf numFmtId="0" fontId="18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vertical="center"/>
    </xf>
    <xf numFmtId="0" fontId="10" fillId="4" borderId="0" xfId="0" applyFont="1" applyFill="1" applyBorder="1" applyAlignment="1">
      <alignment horizontal="right" vertical="center"/>
    </xf>
    <xf numFmtId="0" fontId="3" fillId="0" borderId="0" xfId="0" applyFont="1" applyBorder="1" applyAlignment="1"/>
    <xf numFmtId="0" fontId="4" fillId="0" borderId="0" xfId="0" applyFont="1" applyBorder="1"/>
    <xf numFmtId="0" fontId="1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Fill="1" applyBorder="1"/>
    <xf numFmtId="0" fontId="10" fillId="0" borderId="23" xfId="0" applyFont="1" applyBorder="1" applyAlignment="1">
      <alignment vertical="center"/>
    </xf>
    <xf numFmtId="0" fontId="10" fillId="4" borderId="23" xfId="0" applyFont="1" applyFill="1" applyBorder="1" applyAlignment="1">
      <alignment vertical="center"/>
    </xf>
    <xf numFmtId="0" fontId="10" fillId="4" borderId="23" xfId="0" applyFont="1" applyFill="1" applyBorder="1" applyAlignment="1">
      <alignment horizontal="right" vertical="center"/>
    </xf>
    <xf numFmtId="14" fontId="10" fillId="4" borderId="23" xfId="0" applyNumberFormat="1" applyFont="1" applyFill="1" applyBorder="1" applyAlignment="1">
      <alignment horizontal="right" vertical="center"/>
    </xf>
    <xf numFmtId="14" fontId="10" fillId="4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/>
    <xf numFmtId="0" fontId="5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/>
    </xf>
    <xf numFmtId="2" fontId="37" fillId="0" borderId="5" xfId="0" applyNumberFormat="1" applyFont="1" applyFill="1" applyBorder="1" applyAlignment="1">
      <alignment horizontal="center" vertical="center"/>
    </xf>
    <xf numFmtId="0" fontId="37" fillId="0" borderId="5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4" fontId="10" fillId="4" borderId="0" xfId="0" applyNumberFormat="1" applyFont="1" applyFill="1" applyBorder="1" applyAlignment="1">
      <alignment horizontal="left" vertical="center"/>
    </xf>
    <xf numFmtId="0" fontId="25" fillId="0" borderId="1" xfId="0" applyFont="1" applyBorder="1"/>
    <xf numFmtId="164" fontId="10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5" fillId="4" borderId="5" xfId="0" applyFont="1" applyFill="1" applyBorder="1" applyAlignment="1">
      <alignment horizontal="center" vertical="center"/>
    </xf>
    <xf numFmtId="0" fontId="25" fillId="0" borderId="0" xfId="0" applyFont="1" applyBorder="1" applyAlignment="1">
      <alignment vertical="top"/>
    </xf>
    <xf numFmtId="2" fontId="5" fillId="0" borderId="14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right"/>
    </xf>
    <xf numFmtId="0" fontId="20" fillId="0" borderId="1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2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rgb="FF000080"/>
      </font>
      <fill>
        <patternFill>
          <bgColor rgb="FFFF0000"/>
        </patternFill>
      </fill>
    </dxf>
    <dxf>
      <font>
        <condense val="0"/>
        <extend val="0"/>
        <color rgb="FF000080"/>
      </font>
      <fill>
        <patternFill>
          <bgColor rgb="FFFF0000"/>
        </patternFill>
      </fill>
    </dxf>
    <dxf>
      <font>
        <condense val="0"/>
        <extend val="0"/>
        <color rgb="FF000080"/>
      </font>
      <fill>
        <patternFill>
          <bgColor rgb="FFFF0000"/>
        </patternFill>
      </fill>
    </dxf>
    <dxf>
      <font>
        <condense val="0"/>
        <extend val="0"/>
        <color rgb="FF000080"/>
      </font>
      <fill>
        <patternFill>
          <bgColor rgb="FFFF0000"/>
        </patternFill>
      </fill>
    </dxf>
    <dxf>
      <font>
        <condense val="0"/>
        <extend val="0"/>
        <color rgb="FF000080"/>
      </font>
      <fill>
        <patternFill>
          <bgColor rgb="FFFF0000"/>
        </patternFill>
      </fill>
    </dxf>
    <dxf>
      <font>
        <condense val="0"/>
        <extend val="0"/>
        <color rgb="FF000080"/>
      </font>
      <fill>
        <patternFill>
          <bgColor rgb="FFFF0000"/>
        </patternFill>
      </fill>
    </dxf>
    <dxf>
      <font>
        <condense val="0"/>
        <extend val="0"/>
        <color rgb="FF00008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FIGURE-1  GRADATION CURVE FOR BC</a:t>
            </a:r>
          </a:p>
        </c:rich>
      </c:tx>
      <c:layout>
        <c:manualLayout>
          <c:xMode val="edge"/>
          <c:yMode val="edge"/>
          <c:x val="0.29341994233323887"/>
          <c:y val="2.76923076923077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063733675218354E-2"/>
          <c:y val="9.8461538461538461E-2"/>
          <c:w val="0.87486607805976735"/>
          <c:h val="0.75384615384615383"/>
        </c:manualLayout>
      </c:layout>
      <c:scatterChart>
        <c:scatterStyle val="smoothMarker"/>
        <c:ser>
          <c:idx val="0"/>
          <c:order val="0"/>
          <c:tx>
            <c:strRef>
              <c:f>[1]Sheet1!$B$1</c:f>
              <c:strCache>
                <c:ptCount val="1"/>
                <c:pt idx="0">
                  <c:v>JMF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[1]Sheet1!$A$3:$A$9</c:f>
              <c:numCache>
                <c:formatCode>General</c:formatCode>
                <c:ptCount val="7"/>
                <c:pt idx="0">
                  <c:v>26.5</c:v>
                </c:pt>
                <c:pt idx="1">
                  <c:v>19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0.3</c:v>
                </c:pt>
                <c:pt idx="6">
                  <c:v>7.4999999999999997E-2</c:v>
                </c:pt>
              </c:numCache>
            </c:numRef>
          </c:xVal>
          <c:yVal>
            <c:numRef>
              <c:f>[1]Sheet1!$B$3:$B$9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79.252384655345409</c:v>
                </c:pt>
                <c:pt idx="3">
                  <c:v>45.93956327025181</c:v>
                </c:pt>
                <c:pt idx="4">
                  <c:v>34.518094086299129</c:v>
                </c:pt>
                <c:pt idx="5">
                  <c:v>10.635680060670314</c:v>
                </c:pt>
                <c:pt idx="6">
                  <c:v>1.1987273986839992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[1]Sheet1!$C$2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[1]Sheet1!$A$3:$A$9</c:f>
              <c:numCache>
                <c:formatCode>General</c:formatCode>
                <c:ptCount val="7"/>
                <c:pt idx="0">
                  <c:v>26.5</c:v>
                </c:pt>
                <c:pt idx="1">
                  <c:v>19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0.3</c:v>
                </c:pt>
                <c:pt idx="6">
                  <c:v>7.4999999999999997E-2</c:v>
                </c:pt>
              </c:numCache>
            </c:numRef>
          </c:xVal>
          <c:yVal>
            <c:numRef>
              <c:f>[1]Sheet1!$C$3:$C$9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56</c:v>
                </c:pt>
                <c:pt idx="3">
                  <c:v>35</c:v>
                </c:pt>
                <c:pt idx="4">
                  <c:v>23</c:v>
                </c:pt>
                <c:pt idx="5">
                  <c:v>5</c:v>
                </c:pt>
                <c:pt idx="6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[1]Sheet1!$D$2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[1]Sheet1!$A$3:$A$9</c:f>
              <c:numCache>
                <c:formatCode>General</c:formatCode>
                <c:ptCount val="7"/>
                <c:pt idx="0">
                  <c:v>26.5</c:v>
                </c:pt>
                <c:pt idx="1">
                  <c:v>19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0.3</c:v>
                </c:pt>
                <c:pt idx="6">
                  <c:v>7.4999999999999997E-2</c:v>
                </c:pt>
              </c:numCache>
            </c:numRef>
          </c:xVal>
          <c:yVal>
            <c:numRef>
              <c:f>[1]Sheet1!$D$3:$D$9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65</c:v>
                </c:pt>
                <c:pt idx="4">
                  <c:v>49</c:v>
                </c:pt>
                <c:pt idx="5">
                  <c:v>19</c:v>
                </c:pt>
                <c:pt idx="6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Mid Limits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[1]Sheet1!$A$3:$A$9</c:f>
              <c:numCache>
                <c:formatCode>General</c:formatCode>
                <c:ptCount val="7"/>
                <c:pt idx="0">
                  <c:v>26.5</c:v>
                </c:pt>
                <c:pt idx="1">
                  <c:v>19</c:v>
                </c:pt>
                <c:pt idx="2">
                  <c:v>9.5</c:v>
                </c:pt>
                <c:pt idx="3">
                  <c:v>4.75</c:v>
                </c:pt>
                <c:pt idx="4">
                  <c:v>2.36</c:v>
                </c:pt>
                <c:pt idx="5">
                  <c:v>0.3</c:v>
                </c:pt>
                <c:pt idx="6">
                  <c:v>7.4999999999999997E-2</c:v>
                </c:pt>
              </c:numCache>
            </c:numRef>
          </c:xVal>
          <c:yVal>
            <c:numRef>
              <c:f>[1]Sheet1!$E$3:$E$9</c:f>
              <c:numCache>
                <c:formatCode>General</c:formatCode>
                <c:ptCount val="7"/>
                <c:pt idx="0">
                  <c:v>100</c:v>
                </c:pt>
                <c:pt idx="1">
                  <c:v>95</c:v>
                </c:pt>
                <c:pt idx="2">
                  <c:v>68</c:v>
                </c:pt>
                <c:pt idx="3">
                  <c:v>50</c:v>
                </c:pt>
                <c:pt idx="4">
                  <c:v>36</c:v>
                </c:pt>
                <c:pt idx="5">
                  <c:v>12</c:v>
                </c:pt>
                <c:pt idx="6">
                  <c:v>5</c:v>
                </c:pt>
              </c:numCache>
            </c:numRef>
          </c:yVal>
          <c:smooth val="1"/>
        </c:ser>
        <c:ser>
          <c:idx val="4"/>
          <c:order val="4"/>
          <c:tx>
            <c:v>26.5</c:v>
          </c:tx>
          <c:spPr>
            <a:ln w="12700">
              <a:solidFill>
                <a:srgbClr val="800080"/>
              </a:solidFill>
              <a:prstDash val="sysDash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[1]Sheet1!$G$2:$G$3</c:f>
              <c:numCache>
                <c:formatCode>General</c:formatCode>
                <c:ptCount val="2"/>
                <c:pt idx="0">
                  <c:v>26.5</c:v>
                </c:pt>
                <c:pt idx="1">
                  <c:v>26.5</c:v>
                </c:pt>
              </c:numCache>
            </c:numRef>
          </c:xVal>
          <c:yVal>
            <c:numRef>
              <c:f>[1]Sheet1!$H$2:$H$3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ser>
          <c:idx val="6"/>
          <c:order val="5"/>
          <c:tx>
            <c:v>9.5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Pt>
            <c:idx val="1"/>
            <c:spPr>
              <a:ln w="12700">
                <a:solidFill>
                  <a:srgbClr val="660066"/>
                </a:solidFill>
                <a:prstDash val="sysDash"/>
              </a:ln>
            </c:spPr>
          </c:dPt>
          <c:xVal>
            <c:numRef>
              <c:f>[1]Sheet1!$G$6:$G$7</c:f>
              <c:numCache>
                <c:formatCode>General</c:formatCode>
                <c:ptCount val="2"/>
                <c:pt idx="0">
                  <c:v>9.5</c:v>
                </c:pt>
                <c:pt idx="1">
                  <c:v>9.5</c:v>
                </c:pt>
              </c:numCache>
            </c:numRef>
          </c:xVal>
          <c:yVal>
            <c:numRef>
              <c:f>[1]Sheet1!$H$6:$H$7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ser>
          <c:idx val="7"/>
          <c:order val="6"/>
          <c:tx>
            <c:v>4.75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Pt>
            <c:idx val="1"/>
            <c:spPr>
              <a:ln w="12700">
                <a:solidFill>
                  <a:srgbClr val="660066"/>
                </a:solidFill>
                <a:prstDash val="sysDash"/>
              </a:ln>
            </c:spPr>
          </c:dPt>
          <c:xVal>
            <c:numRef>
              <c:f>[1]Sheet1!$G$8:$G$9</c:f>
              <c:numCache>
                <c:formatCode>General</c:formatCode>
                <c:ptCount val="2"/>
                <c:pt idx="0">
                  <c:v>4.75</c:v>
                </c:pt>
                <c:pt idx="1">
                  <c:v>4.75</c:v>
                </c:pt>
              </c:numCache>
            </c:numRef>
          </c:xVal>
          <c:yVal>
            <c:numRef>
              <c:f>[1]Sheet1!$H$8:$H$9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ser>
          <c:idx val="8"/>
          <c:order val="7"/>
          <c:tx>
            <c:v>2.36</c:v>
          </c:tx>
          <c:spPr>
            <a:ln w="12700">
              <a:solidFill>
                <a:srgbClr val="660066"/>
              </a:solidFill>
              <a:prstDash val="sysDash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[1]Sheet1!$G$10:$G$11</c:f>
              <c:numCache>
                <c:formatCode>General</c:formatCode>
                <c:ptCount val="2"/>
                <c:pt idx="0">
                  <c:v>2.36</c:v>
                </c:pt>
                <c:pt idx="1">
                  <c:v>2.36</c:v>
                </c:pt>
              </c:numCache>
            </c:numRef>
          </c:xVal>
          <c:yVal>
            <c:numRef>
              <c:f>[1]Sheet1!$H$10:$H$11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ser>
          <c:idx val="9"/>
          <c:order val="8"/>
          <c:tx>
            <c:v>0.3</c:v>
          </c:tx>
          <c:spPr>
            <a:ln w="12700">
              <a:solidFill>
                <a:srgbClr val="660066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[1]Sheet1!$G$12:$G$13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[1]Sheet1!$H$12:$H$13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ser>
          <c:idx val="10"/>
          <c:order val="9"/>
          <c:tx>
            <c:v>0.075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Pt>
            <c:idx val="1"/>
            <c:spPr>
              <a:ln w="12700">
                <a:solidFill>
                  <a:srgbClr val="660066"/>
                </a:solidFill>
                <a:prstDash val="sysDash"/>
              </a:ln>
            </c:spPr>
          </c:dPt>
          <c:xVal>
            <c:numRef>
              <c:f>[1]Sheet1!$G$14:$G$15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[1]Sheet1!$H$14:$H$15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ser>
          <c:idx val="5"/>
          <c:order val="10"/>
          <c:tx>
            <c:v>19</c:v>
          </c:tx>
          <c:spPr>
            <a:ln w="3175">
              <a:solidFill>
                <a:srgbClr val="80008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</c:marker>
            <c:spPr>
              <a:ln w="12700">
                <a:solidFill>
                  <a:srgbClr val="660066"/>
                </a:solidFill>
                <a:prstDash val="sysDash"/>
              </a:ln>
            </c:spPr>
          </c:dPt>
          <c:xVal>
            <c:numRef>
              <c:f>[1]Sheet1!$G$4:$G$5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[1]Sheet1!$H$4:$H$5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1"/>
        </c:ser>
        <c:axId val="55991296"/>
        <c:axId val="55997568"/>
      </c:scatterChart>
      <c:valAx>
        <c:axId val="55991296"/>
        <c:scaling>
          <c:logBase val="10"/>
          <c:orientation val="minMax"/>
          <c:max val="100"/>
          <c:min val="1.0000000000000005E-2"/>
        </c:scaling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SIEVE SIZE (mm)</a:t>
                </a:r>
              </a:p>
            </c:rich>
          </c:tx>
          <c:layout>
            <c:manualLayout>
              <c:xMode val="edge"/>
              <c:yMode val="edge"/>
              <c:x val="0.44768116201578728"/>
              <c:y val="0.893846153846153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997568"/>
        <c:crosses val="autoZero"/>
        <c:crossBetween val="midCat"/>
        <c:majorUnit val="10"/>
        <c:minorUnit val="10"/>
      </c:valAx>
      <c:valAx>
        <c:axId val="55997568"/>
        <c:scaling>
          <c:orientation val="minMax"/>
          <c:max val="110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% PASSING</a:t>
                </a:r>
              </a:p>
            </c:rich>
          </c:tx>
          <c:layout>
            <c:manualLayout>
              <c:xMode val="edge"/>
              <c:yMode val="edge"/>
              <c:x val="2.0496245971807155E-2"/>
              <c:y val="0.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991296"/>
        <c:crossesAt val="1.0000000000000005E-2"/>
        <c:crossBetween val="midCat"/>
        <c:majorUnit val="10"/>
        <c:minorUnit val="2"/>
      </c:valAx>
      <c:spPr>
        <a:noFill/>
        <a:ln w="12700">
          <a:solidFill>
            <a:srgbClr val="660066"/>
          </a:solidFill>
          <a:prstDash val="sysDash"/>
        </a:ln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4"/>
        <c:delete val="1"/>
      </c:legendEntry>
      <c:legendEntry>
        <c:idx val="5"/>
        <c:delete val="1"/>
      </c:legendEntry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" l="0.45" r="0.42000000000000021" t="0.79" header="0.5" footer="0.3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36941197171482"/>
          <c:y val="8.757086304638699E-2"/>
          <c:w val="0.73423584916035234"/>
          <c:h val="0.72599070332004623"/>
        </c:manualLayout>
      </c:layout>
      <c:scatterChart>
        <c:scatterStyle val="smoothMarker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'[1]summary&amp;graphs'!$A$2:$A$7</c:f>
              <c:numCache>
                <c:formatCode>General</c:formatCode>
                <c:ptCount val="6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  <c:pt idx="4">
                  <c:v>5.25</c:v>
                </c:pt>
                <c:pt idx="5">
                  <c:v>5.5</c:v>
                </c:pt>
              </c:numCache>
            </c:numRef>
          </c:xVal>
          <c:yVal>
            <c:numRef>
              <c:f>'[1]summary&amp;graphs'!$D$2:$D$7</c:f>
              <c:numCache>
                <c:formatCode>General</c:formatCode>
                <c:ptCount val="6"/>
                <c:pt idx="0">
                  <c:v>16.080359147002362</c:v>
                </c:pt>
                <c:pt idx="1">
                  <c:v>15.879701461137348</c:v>
                </c:pt>
                <c:pt idx="2">
                  <c:v>15.860398814852136</c:v>
                </c:pt>
                <c:pt idx="3">
                  <c:v>15.774579774045316</c:v>
                </c:pt>
                <c:pt idx="4">
                  <c:v>16.315704431399009</c:v>
                </c:pt>
                <c:pt idx="5">
                  <c:v>16.749428667019835</c:v>
                </c:pt>
              </c:numCache>
            </c:numRef>
          </c:yVal>
          <c:smooth val="1"/>
        </c:ser>
        <c:axId val="56212864"/>
        <c:axId val="56244096"/>
      </c:scatterChart>
      <c:valAx>
        <c:axId val="56212864"/>
        <c:scaling>
          <c:orientation val="minMax"/>
          <c:min val="4"/>
        </c:scaling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Binder Content(%)</a:t>
                </a:r>
              </a:p>
            </c:rich>
          </c:tx>
          <c:layout>
            <c:manualLayout>
              <c:xMode val="edge"/>
              <c:yMode val="edge"/>
              <c:x val="0.44369466958463033"/>
              <c:y val="0.8983075628629352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44096"/>
        <c:crosses val="autoZero"/>
        <c:crossBetween val="midCat"/>
        <c:majorUnit val="0.25"/>
        <c:minorUnit val="0.05"/>
      </c:valAx>
      <c:valAx>
        <c:axId val="56244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VMA (%)</a:t>
                </a:r>
              </a:p>
            </c:rich>
          </c:tx>
          <c:layout>
            <c:manualLayout>
              <c:xMode val="edge"/>
              <c:yMode val="edge"/>
              <c:x val="4.9549658532293719E-2"/>
              <c:y val="0.3785321176843820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128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437961337686319"/>
          <c:y val="9.8551003597723216E-2"/>
          <c:w val="0.72599614634732068"/>
          <c:h val="0.73333540912423323"/>
        </c:manualLayout>
      </c:layout>
      <c:scatterChart>
        <c:scatterStyle val="smoothMarker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'[1]summary&amp;graphs'!$A$2:$A$7</c:f>
              <c:numCache>
                <c:formatCode>General</c:formatCode>
                <c:ptCount val="6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  <c:pt idx="4">
                  <c:v>5.25</c:v>
                </c:pt>
                <c:pt idx="5">
                  <c:v>5.5</c:v>
                </c:pt>
              </c:numCache>
            </c:numRef>
          </c:xVal>
          <c:yVal>
            <c:numRef>
              <c:f>'[1]summary&amp;graphs'!$E$2:$E$7</c:f>
              <c:numCache>
                <c:formatCode>General</c:formatCode>
                <c:ptCount val="6"/>
                <c:pt idx="0">
                  <c:v>63.740859327427643</c:v>
                </c:pt>
                <c:pt idx="1">
                  <c:v>68.685886604952515</c:v>
                </c:pt>
                <c:pt idx="2">
                  <c:v>72.797231839927193</c:v>
                </c:pt>
                <c:pt idx="3">
                  <c:v>77.327092549448722</c:v>
                </c:pt>
                <c:pt idx="4">
                  <c:v>78.202045831778506</c:v>
                </c:pt>
                <c:pt idx="5">
                  <c:v>79.60090411628461</c:v>
                </c:pt>
              </c:numCache>
            </c:numRef>
          </c:yVal>
          <c:smooth val="1"/>
        </c:ser>
        <c:axId val="56251136"/>
        <c:axId val="56253440"/>
      </c:scatterChart>
      <c:valAx>
        <c:axId val="56251136"/>
        <c:scaling>
          <c:orientation val="minMax"/>
          <c:min val="4"/>
        </c:scaling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Binder Content(%)</a:t>
                </a:r>
              </a:p>
            </c:rich>
          </c:tx>
          <c:layout>
            <c:manualLayout>
              <c:xMode val="edge"/>
              <c:yMode val="edge"/>
              <c:x val="0.43559768780839231"/>
              <c:y val="0.9188431806023001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53440"/>
        <c:crosses val="autoZero"/>
        <c:crossBetween val="midCat"/>
        <c:majorUnit val="0.25"/>
        <c:minorUnit val="0.05"/>
      </c:valAx>
      <c:valAx>
        <c:axId val="56253440"/>
        <c:scaling>
          <c:orientation val="minMax"/>
          <c:min val="60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VFB (%)</a:t>
                </a:r>
              </a:p>
            </c:rich>
          </c:tx>
          <c:layout>
            <c:manualLayout>
              <c:xMode val="edge"/>
              <c:yMode val="edge"/>
              <c:x val="1.1709615263666472E-2"/>
              <c:y val="0.397102573320237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511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70588235294119"/>
          <c:y val="7.4404978158069901E-2"/>
          <c:w val="0.81411764705882361"/>
          <c:h val="0.75893077721231283"/>
        </c:manualLayout>
      </c:layout>
      <c:scatterChart>
        <c:scatterStyle val="smoothMarker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'[1]summary&amp;graphs'!$A$2:$A$7</c:f>
              <c:numCache>
                <c:formatCode>General</c:formatCode>
                <c:ptCount val="6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  <c:pt idx="4">
                  <c:v>5.25</c:v>
                </c:pt>
                <c:pt idx="5">
                  <c:v>5.5</c:v>
                </c:pt>
              </c:numCache>
            </c:numRef>
          </c:xVal>
          <c:yVal>
            <c:numRef>
              <c:f>'[1]summary&amp;graphs'!$G$2:$G$7</c:f>
              <c:numCache>
                <c:formatCode>General</c:formatCode>
                <c:ptCount val="6"/>
                <c:pt idx="0">
                  <c:v>3.0999999999999996</c:v>
                </c:pt>
                <c:pt idx="1">
                  <c:v>3.1333333333333333</c:v>
                </c:pt>
                <c:pt idx="2">
                  <c:v>3.1666666666666665</c:v>
                </c:pt>
                <c:pt idx="3">
                  <c:v>3.3000000000000003</c:v>
                </c:pt>
                <c:pt idx="4">
                  <c:v>3.5333333333333332</c:v>
                </c:pt>
                <c:pt idx="5">
                  <c:v>3.5666666666666664</c:v>
                </c:pt>
              </c:numCache>
            </c:numRef>
          </c:yVal>
          <c:smooth val="1"/>
        </c:ser>
        <c:axId val="56289152"/>
        <c:axId val="56570240"/>
      </c:scatterChart>
      <c:valAx>
        <c:axId val="56289152"/>
        <c:scaling>
          <c:orientation val="minMax"/>
          <c:max val="5.75"/>
          <c:min val="4"/>
        </c:scaling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Binder Content(%)</a:t>
                </a:r>
              </a:p>
            </c:rich>
          </c:tx>
          <c:layout>
            <c:manualLayout>
              <c:xMode val="edge"/>
              <c:yMode val="edge"/>
              <c:x val="0.40941176470588264"/>
              <c:y val="0.9136931317810982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570240"/>
        <c:crosses val="autoZero"/>
        <c:crossBetween val="midCat"/>
        <c:majorUnit val="0.25"/>
        <c:minorUnit val="0.05"/>
      </c:valAx>
      <c:valAx>
        <c:axId val="56570240"/>
        <c:scaling>
          <c:orientation val="minMax"/>
          <c:max val="4"/>
          <c:min val="2.5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(mm)</a:t>
                </a:r>
              </a:p>
            </c:rich>
          </c:tx>
          <c:layout>
            <c:manualLayout>
              <c:xMode val="edge"/>
              <c:yMode val="edge"/>
              <c:x val="1.1764705882352951E-2"/>
              <c:y val="0.3601200942850585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9152"/>
        <c:crosses val="autoZero"/>
        <c:crossBetween val="midCat"/>
        <c:majorUnit val="0.25"/>
        <c:minorUnit val="0.0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14</xdr:col>
      <xdr:colOff>523875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32</xdr:row>
      <xdr:rowOff>133350</xdr:rowOff>
    </xdr:from>
    <xdr:to>
      <xdr:col>11</xdr:col>
      <xdr:colOff>47625</xdr:colOff>
      <xdr:row>33</xdr:row>
      <xdr:rowOff>104775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6324600" y="5314950"/>
          <a:ext cx="2286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9.5</a:t>
          </a:r>
        </a:p>
      </xdr:txBody>
    </xdr:sp>
    <xdr:clientData/>
  </xdr:twoCellAnchor>
  <xdr:twoCellAnchor>
    <xdr:from>
      <xdr:col>11</xdr:col>
      <xdr:colOff>428625</xdr:colOff>
      <xdr:row>33</xdr:row>
      <xdr:rowOff>0</xdr:rowOff>
    </xdr:from>
    <xdr:to>
      <xdr:col>12</xdr:col>
      <xdr:colOff>47625</xdr:colOff>
      <xdr:row>33</xdr:row>
      <xdr:rowOff>133350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934200" y="5343525"/>
          <a:ext cx="2286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19</a:t>
          </a:r>
        </a:p>
      </xdr:txBody>
    </xdr:sp>
    <xdr:clientData/>
  </xdr:twoCellAnchor>
  <xdr:twoCellAnchor>
    <xdr:from>
      <xdr:col>9</xdr:col>
      <xdr:colOff>409575</xdr:colOff>
      <xdr:row>33</xdr:row>
      <xdr:rowOff>0</xdr:rowOff>
    </xdr:from>
    <xdr:to>
      <xdr:col>10</xdr:col>
      <xdr:colOff>76200</xdr:colOff>
      <xdr:row>33</xdr:row>
      <xdr:rowOff>133350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5695950" y="5343525"/>
          <a:ext cx="2762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4.75</a:t>
          </a:r>
        </a:p>
      </xdr:txBody>
    </xdr:sp>
    <xdr:clientData/>
  </xdr:twoCellAnchor>
  <xdr:twoCellAnchor>
    <xdr:from>
      <xdr:col>8</xdr:col>
      <xdr:colOff>457200</xdr:colOff>
      <xdr:row>33</xdr:row>
      <xdr:rowOff>0</xdr:rowOff>
    </xdr:from>
    <xdr:to>
      <xdr:col>9</xdr:col>
      <xdr:colOff>76200</xdr:colOff>
      <xdr:row>33</xdr:row>
      <xdr:rowOff>133350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5133975" y="5343525"/>
          <a:ext cx="22860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2.36</a:t>
          </a:r>
        </a:p>
      </xdr:txBody>
    </xdr:sp>
    <xdr:clientData/>
  </xdr:twoCellAnchor>
  <xdr:twoCellAnchor>
    <xdr:from>
      <xdr:col>5</xdr:col>
      <xdr:colOff>428625</xdr:colOff>
      <xdr:row>33</xdr:row>
      <xdr:rowOff>0</xdr:rowOff>
    </xdr:from>
    <xdr:to>
      <xdr:col>6</xdr:col>
      <xdr:colOff>152400</xdr:colOff>
      <xdr:row>33</xdr:row>
      <xdr:rowOff>133350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3276600" y="5343525"/>
          <a:ext cx="3333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0.300</a:t>
          </a:r>
        </a:p>
      </xdr:txBody>
    </xdr:sp>
    <xdr:clientData/>
  </xdr:twoCellAnchor>
  <xdr:twoCellAnchor>
    <xdr:from>
      <xdr:col>3</xdr:col>
      <xdr:colOff>438150</xdr:colOff>
      <xdr:row>33</xdr:row>
      <xdr:rowOff>0</xdr:rowOff>
    </xdr:from>
    <xdr:to>
      <xdr:col>4</xdr:col>
      <xdr:colOff>209550</xdr:colOff>
      <xdr:row>33</xdr:row>
      <xdr:rowOff>142875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066925" y="5343525"/>
          <a:ext cx="3810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0.075</a:t>
          </a:r>
        </a:p>
      </xdr:txBody>
    </xdr:sp>
    <xdr:clientData/>
  </xdr:twoCellAnchor>
  <xdr:twoCellAnchor>
    <xdr:from>
      <xdr:col>12</xdr:col>
      <xdr:colOff>85725</xdr:colOff>
      <xdr:row>33</xdr:row>
      <xdr:rowOff>0</xdr:rowOff>
    </xdr:from>
    <xdr:to>
      <xdr:col>12</xdr:col>
      <xdr:colOff>361950</xdr:colOff>
      <xdr:row>33</xdr:row>
      <xdr:rowOff>133350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7200900" y="5343525"/>
          <a:ext cx="2762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26.5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0</xdr:rowOff>
    </xdr:from>
    <xdr:to>
      <xdr:col>13</xdr:col>
      <xdr:colOff>409575</xdr:colOff>
      <xdr:row>18</xdr:row>
      <xdr:rowOff>133350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409575</xdr:colOff>
      <xdr:row>18</xdr:row>
      <xdr:rowOff>47625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</xdr:row>
      <xdr:rowOff>76200</xdr:rowOff>
    </xdr:from>
    <xdr:to>
      <xdr:col>6</xdr:col>
      <xdr:colOff>419100</xdr:colOff>
      <xdr:row>38</xdr:row>
      <xdr:rowOff>38100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uthi's%20Data\Backup\IRC%20code-3\IRC%20Code%20Format\Testing%20Manual\Mix%20Design_B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gramme"/>
      <sheetName val="Cover Page"/>
      <sheetName val="Sheet1"/>
      <sheetName val="JMF"/>
      <sheetName val="Marshall data"/>
      <sheetName val="summary&amp;graphs"/>
      <sheetName val="F.I.E.I."/>
      <sheetName val="AIV"/>
      <sheetName val="Grain Size-agg."/>
      <sheetName val="SPEC.GRAVITY-1 "/>
      <sheetName val="waterabsorption"/>
      <sheetName val="Sheet2"/>
    </sheetNames>
    <sheetDataSet>
      <sheetData sheetId="0"/>
      <sheetData sheetId="1">
        <row r="14">
          <cell r="C14">
            <v>1.0164646178382051</v>
          </cell>
        </row>
        <row r="18">
          <cell r="C18">
            <v>2.8016870522155104</v>
          </cell>
        </row>
        <row r="19">
          <cell r="C19">
            <v>2.7700972731657907</v>
          </cell>
        </row>
        <row r="20">
          <cell r="C20">
            <v>2.8100884205547607</v>
          </cell>
        </row>
        <row r="21">
          <cell r="C21">
            <v>2.8061193698152169</v>
          </cell>
        </row>
      </sheetData>
      <sheetData sheetId="2">
        <row r="1">
          <cell r="B1" t="str">
            <v>JMF</v>
          </cell>
          <cell r="E1" t="str">
            <v>Mid Limits</v>
          </cell>
        </row>
        <row r="2">
          <cell r="C2" t="str">
            <v>Lower</v>
          </cell>
          <cell r="D2" t="str">
            <v>Upper</v>
          </cell>
          <cell r="G2">
            <v>26.5</v>
          </cell>
          <cell r="H2">
            <v>0</v>
          </cell>
        </row>
        <row r="3">
          <cell r="A3">
            <v>26.5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G3">
            <v>26.5</v>
          </cell>
          <cell r="H3">
            <v>110</v>
          </cell>
        </row>
        <row r="4">
          <cell r="A4">
            <v>19</v>
          </cell>
          <cell r="B4">
            <v>100</v>
          </cell>
          <cell r="C4">
            <v>90</v>
          </cell>
          <cell r="D4">
            <v>100</v>
          </cell>
          <cell r="E4">
            <v>95</v>
          </cell>
          <cell r="G4">
            <v>19</v>
          </cell>
          <cell r="H4">
            <v>0</v>
          </cell>
        </row>
        <row r="5">
          <cell r="A5">
            <v>9.5</v>
          </cell>
          <cell r="B5">
            <v>79.252384655345409</v>
          </cell>
          <cell r="C5">
            <v>56</v>
          </cell>
          <cell r="D5">
            <v>80</v>
          </cell>
          <cell r="E5">
            <v>68</v>
          </cell>
          <cell r="G5">
            <v>19</v>
          </cell>
          <cell r="H5">
            <v>110</v>
          </cell>
        </row>
        <row r="6">
          <cell r="A6">
            <v>4.75</v>
          </cell>
          <cell r="B6">
            <v>45.93956327025181</v>
          </cell>
          <cell r="C6">
            <v>35</v>
          </cell>
          <cell r="D6">
            <v>65</v>
          </cell>
          <cell r="E6">
            <v>50</v>
          </cell>
          <cell r="G6">
            <v>9.5</v>
          </cell>
          <cell r="H6">
            <v>0</v>
          </cell>
        </row>
        <row r="7">
          <cell r="A7">
            <v>2.36</v>
          </cell>
          <cell r="B7">
            <v>34.518094086299129</v>
          </cell>
          <cell r="C7">
            <v>23</v>
          </cell>
          <cell r="D7">
            <v>49</v>
          </cell>
          <cell r="E7">
            <v>36</v>
          </cell>
          <cell r="G7">
            <v>9.5</v>
          </cell>
          <cell r="H7">
            <v>110</v>
          </cell>
        </row>
        <row r="8">
          <cell r="A8">
            <v>0.3</v>
          </cell>
          <cell r="B8">
            <v>10.635680060670314</v>
          </cell>
          <cell r="C8">
            <v>5</v>
          </cell>
          <cell r="D8">
            <v>19</v>
          </cell>
          <cell r="E8">
            <v>12</v>
          </cell>
          <cell r="G8">
            <v>4.75</v>
          </cell>
          <cell r="H8">
            <v>0</v>
          </cell>
        </row>
        <row r="9">
          <cell r="A9">
            <v>7.4999999999999997E-2</v>
          </cell>
          <cell r="B9">
            <v>1.1987273986839992</v>
          </cell>
          <cell r="C9">
            <v>2</v>
          </cell>
          <cell r="D9">
            <v>8</v>
          </cell>
          <cell r="E9">
            <v>5</v>
          </cell>
          <cell r="G9">
            <v>4.75</v>
          </cell>
          <cell r="H9">
            <v>110</v>
          </cell>
        </row>
        <row r="10">
          <cell r="G10">
            <v>2.36</v>
          </cell>
          <cell r="H10">
            <v>0</v>
          </cell>
        </row>
        <row r="11">
          <cell r="G11">
            <v>2.36</v>
          </cell>
          <cell r="H11">
            <v>110</v>
          </cell>
        </row>
        <row r="12">
          <cell r="G12">
            <v>0.3</v>
          </cell>
          <cell r="H12">
            <v>0</v>
          </cell>
        </row>
        <row r="13">
          <cell r="G13">
            <v>0.3</v>
          </cell>
          <cell r="H13">
            <v>110</v>
          </cell>
        </row>
        <row r="14">
          <cell r="G14">
            <v>7.4999999999999997E-2</v>
          </cell>
          <cell r="H14">
            <v>0</v>
          </cell>
        </row>
        <row r="15">
          <cell r="G15">
            <v>7.4999999999999997E-2</v>
          </cell>
          <cell r="H15">
            <v>110</v>
          </cell>
        </row>
      </sheetData>
      <sheetData sheetId="3">
        <row r="5">
          <cell r="J5">
            <v>100</v>
          </cell>
        </row>
        <row r="6">
          <cell r="J6">
            <v>100</v>
          </cell>
        </row>
        <row r="7">
          <cell r="J7">
            <v>100</v>
          </cell>
        </row>
        <row r="8">
          <cell r="J8">
            <v>79.252384655345409</v>
          </cell>
        </row>
        <row r="9">
          <cell r="J9">
            <v>45.93956327025181</v>
          </cell>
        </row>
        <row r="10">
          <cell r="J10">
            <v>34.518094086299129</v>
          </cell>
        </row>
        <row r="11">
          <cell r="J11">
            <v>10.635680060670314</v>
          </cell>
        </row>
        <row r="12">
          <cell r="J12">
            <v>1.1987273986839992</v>
          </cell>
        </row>
      </sheetData>
      <sheetData sheetId="4">
        <row r="7">
          <cell r="C7">
            <v>4.25</v>
          </cell>
        </row>
        <row r="10">
          <cell r="I10">
            <v>2.4514158752480855</v>
          </cell>
          <cell r="J10">
            <v>5.8306000437664407</v>
          </cell>
          <cell r="K10">
            <v>16.080359147002362</v>
          </cell>
          <cell r="L10">
            <v>63.740859327427643</v>
          </cell>
          <cell r="N10">
            <v>981.98333333333323</v>
          </cell>
          <cell r="Q10">
            <v>3.0999999999999996</v>
          </cell>
        </row>
        <row r="12">
          <cell r="C12">
            <v>4.5</v>
          </cell>
        </row>
        <row r="15">
          <cell r="I15">
            <v>2.4637100440508877</v>
          </cell>
          <cell r="J15">
            <v>4.9725877223355619</v>
          </cell>
          <cell r="K15">
            <v>15.879701461137348</v>
          </cell>
          <cell r="L15">
            <v>68.685886604952515</v>
          </cell>
          <cell r="N15">
            <v>1010.8000000000001</v>
          </cell>
          <cell r="Q15">
            <v>3.1333333333333333</v>
          </cell>
        </row>
        <row r="17">
          <cell r="C17">
            <v>4.75</v>
          </cell>
        </row>
        <row r="20">
          <cell r="I20">
            <v>2.470743293128324</v>
          </cell>
          <cell r="J20">
            <v>4.3144675188671604</v>
          </cell>
          <cell r="K20">
            <v>15.860398814852136</v>
          </cell>
          <cell r="L20">
            <v>72.797231839927193</v>
          </cell>
          <cell r="N20">
            <v>1101.6833333333334</v>
          </cell>
          <cell r="Q20">
            <v>3.1666666666666665</v>
          </cell>
        </row>
        <row r="22">
          <cell r="C22">
            <v>5</v>
          </cell>
        </row>
        <row r="25">
          <cell r="I25">
            <v>2.4797719406153145</v>
          </cell>
          <cell r="J25">
            <v>3.5765558728826767</v>
          </cell>
          <cell r="K25">
            <v>15.774579774045316</v>
          </cell>
          <cell r="L25">
            <v>77.327092549448722</v>
          </cell>
          <cell r="N25">
            <v>1066.2166666666669</v>
          </cell>
          <cell r="Q25">
            <v>3.3000000000000003</v>
          </cell>
        </row>
        <row r="27">
          <cell r="C27">
            <v>5.25</v>
          </cell>
        </row>
        <row r="30">
          <cell r="I30">
            <v>2.4703410000889381</v>
          </cell>
          <cell r="J30">
            <v>3.5564897741788384</v>
          </cell>
          <cell r="K30">
            <v>16.315704431399009</v>
          </cell>
          <cell r="L30">
            <v>78.202045831778506</v>
          </cell>
          <cell r="N30">
            <v>990.85</v>
          </cell>
          <cell r="Q30">
            <v>3.5333333333333332</v>
          </cell>
        </row>
        <row r="32">
          <cell r="C32">
            <v>5.5</v>
          </cell>
        </row>
        <row r="35">
          <cell r="I35">
            <v>2.4640389833470153</v>
          </cell>
          <cell r="J35">
            <v>3.4167320137598898</v>
          </cell>
          <cell r="K35">
            <v>16.749428667019835</v>
          </cell>
          <cell r="L35">
            <v>79.60090411628461</v>
          </cell>
          <cell r="N35">
            <v>986.41666666666663</v>
          </cell>
          <cell r="Q35">
            <v>3.5666666666666664</v>
          </cell>
        </row>
      </sheetData>
      <sheetData sheetId="5">
        <row r="2">
          <cell r="A2">
            <v>4.25</v>
          </cell>
          <cell r="D2">
            <v>16.080359147002362</v>
          </cell>
          <cell r="E2">
            <v>63.740859327427643</v>
          </cell>
          <cell r="G2">
            <v>3.0999999999999996</v>
          </cell>
        </row>
        <row r="3">
          <cell r="A3">
            <v>4.5</v>
          </cell>
          <cell r="D3">
            <v>15.879701461137348</v>
          </cell>
          <cell r="E3">
            <v>68.685886604952515</v>
          </cell>
          <cell r="G3">
            <v>3.1333333333333333</v>
          </cell>
        </row>
        <row r="4">
          <cell r="A4">
            <v>4.75</v>
          </cell>
          <cell r="D4">
            <v>15.860398814852136</v>
          </cell>
          <cell r="E4">
            <v>72.797231839927193</v>
          </cell>
          <cell r="G4">
            <v>3.1666666666666665</v>
          </cell>
        </row>
        <row r="5">
          <cell r="A5">
            <v>5</v>
          </cell>
          <cell r="D5">
            <v>15.774579774045316</v>
          </cell>
          <cell r="E5">
            <v>77.327092549448722</v>
          </cell>
          <cell r="G5">
            <v>3.3000000000000003</v>
          </cell>
        </row>
        <row r="6">
          <cell r="A6">
            <v>5.25</v>
          </cell>
          <cell r="D6">
            <v>16.315704431399009</v>
          </cell>
          <cell r="E6">
            <v>78.202045831778506</v>
          </cell>
          <cell r="G6">
            <v>3.5333333333333332</v>
          </cell>
        </row>
        <row r="7">
          <cell r="A7">
            <v>5.5</v>
          </cell>
          <cell r="D7">
            <v>16.749428667019835</v>
          </cell>
          <cell r="E7">
            <v>79.60090411628461</v>
          </cell>
          <cell r="G7">
            <v>3.5666666666666664</v>
          </cell>
        </row>
      </sheetData>
      <sheetData sheetId="6">
        <row r="32">
          <cell r="D32">
            <v>38.479563345835366</v>
          </cell>
        </row>
      </sheetData>
      <sheetData sheetId="7">
        <row r="29">
          <cell r="F29">
            <v>12.622250050765912</v>
          </cell>
        </row>
      </sheetData>
      <sheetData sheetId="8">
        <row r="14">
          <cell r="A14" t="str">
            <v>26.5 mm</v>
          </cell>
          <cell r="E14">
            <v>100</v>
          </cell>
          <cell r="K14">
            <v>100</v>
          </cell>
          <cell r="Q14">
            <v>100</v>
          </cell>
          <cell r="W14">
            <v>100</v>
          </cell>
        </row>
        <row r="15">
          <cell r="A15" t="str">
            <v>19 mm</v>
          </cell>
          <cell r="E15">
            <v>100</v>
          </cell>
          <cell r="K15">
            <v>100</v>
          </cell>
          <cell r="Q15">
            <v>100</v>
          </cell>
          <cell r="W15">
            <v>100</v>
          </cell>
        </row>
        <row r="16">
          <cell r="A16" t="str">
            <v>9.5 mm</v>
          </cell>
          <cell r="E16">
            <v>48.429510591672752</v>
          </cell>
          <cell r="K16">
            <v>76.691538500583732</v>
          </cell>
          <cell r="Q16">
            <v>100</v>
          </cell>
          <cell r="W16">
            <v>100</v>
          </cell>
        </row>
        <row r="17">
          <cell r="A17" t="str">
            <v>4.75 mm</v>
          </cell>
          <cell r="E17">
            <v>4.6018991964937896</v>
          </cell>
          <cell r="K17">
            <v>5.7205218009238052</v>
          </cell>
          <cell r="Q17">
            <v>67.82077393075356</v>
          </cell>
          <cell r="W17">
            <v>99.8</v>
          </cell>
        </row>
        <row r="18">
          <cell r="A18" t="str">
            <v>2.36 mm</v>
          </cell>
          <cell r="E18">
            <v>0.32870708546384719</v>
          </cell>
          <cell r="K18">
            <v>0.33500837520938376</v>
          </cell>
          <cell r="Q18">
            <v>28.411405295315689</v>
          </cell>
          <cell r="W18">
            <v>99.1</v>
          </cell>
        </row>
        <row r="19">
          <cell r="A19" t="str">
            <v>300 m</v>
          </cell>
          <cell r="E19">
            <v>0</v>
          </cell>
          <cell r="K19">
            <v>9.1365920511648824E-2</v>
          </cell>
          <cell r="Q19">
            <v>0.71283095723013901</v>
          </cell>
          <cell r="W19">
            <v>34.599999999999994</v>
          </cell>
        </row>
        <row r="20">
          <cell r="A20" t="str">
            <v>75 m</v>
          </cell>
          <cell r="E20">
            <v>0</v>
          </cell>
          <cell r="K20">
            <v>0</v>
          </cell>
          <cell r="Q20">
            <v>0</v>
          </cell>
          <cell r="W20">
            <v>11.299999999999997</v>
          </cell>
        </row>
      </sheetData>
      <sheetData sheetId="9">
        <row r="21">
          <cell r="F21">
            <v>1.0164646178382051</v>
          </cell>
          <cell r="L21">
            <v>2.8061193698152169</v>
          </cell>
          <cell r="R21">
            <v>2.8100884205547607</v>
          </cell>
          <cell r="X21">
            <v>2.7700972731657907</v>
          </cell>
        </row>
      </sheetData>
      <sheetData sheetId="10">
        <row r="21">
          <cell r="F21">
            <v>2.8016870522155104</v>
          </cell>
        </row>
        <row r="22">
          <cell r="F22">
            <v>0.83405367527837582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tabSelected="1" view="pageBreakPreview" topLeftCell="A16" zoomScale="60" workbookViewId="0">
      <selection activeCell="B16" sqref="B16"/>
    </sheetView>
  </sheetViews>
  <sheetFormatPr defaultColWidth="9.7109375" defaultRowHeight="12.75"/>
  <cols>
    <col min="1" max="1" width="5.5703125" style="36" bestFit="1" customWidth="1"/>
    <col min="2" max="2" width="43.5703125" style="33" bestFit="1" customWidth="1"/>
    <col min="3" max="3" width="4.7109375" style="33" bestFit="1" customWidth="1"/>
    <col min="4" max="4" width="5.140625" style="33" bestFit="1" customWidth="1"/>
    <col min="5" max="5" width="4.7109375" style="33" bestFit="1" customWidth="1"/>
    <col min="6" max="6" width="5.140625" style="33" bestFit="1" customWidth="1"/>
    <col min="7" max="7" width="4.7109375" style="33" bestFit="1" customWidth="1"/>
    <col min="8" max="8" width="5.140625" style="33" bestFit="1" customWidth="1"/>
    <col min="9" max="9" width="4.7109375" style="33" bestFit="1" customWidth="1"/>
    <col min="10" max="10" width="5.140625" style="33" bestFit="1" customWidth="1"/>
    <col min="11" max="11" width="4.7109375" style="33" bestFit="1" customWidth="1"/>
    <col min="12" max="12" width="5.140625" style="33" bestFit="1" customWidth="1"/>
    <col min="13" max="13" width="4.7109375" style="33" bestFit="1" customWidth="1"/>
    <col min="14" max="14" width="5.140625" style="33" bestFit="1" customWidth="1"/>
    <col min="15" max="15" width="4.7109375" style="33" bestFit="1" customWidth="1"/>
    <col min="16" max="16" width="5.140625" style="33" bestFit="1" customWidth="1"/>
    <col min="17" max="17" width="4.7109375" style="33" bestFit="1" customWidth="1"/>
    <col min="18" max="18" width="5.140625" style="33" bestFit="1" customWidth="1"/>
    <col min="19" max="19" width="4.7109375" style="33" bestFit="1" customWidth="1"/>
    <col min="20" max="20" width="5.140625" style="33" bestFit="1" customWidth="1"/>
    <col min="21" max="21" width="4.7109375" style="33" bestFit="1" customWidth="1"/>
    <col min="22" max="22" width="5.140625" style="33" bestFit="1" customWidth="1"/>
    <col min="23" max="16384" width="9.7109375" style="33"/>
  </cols>
  <sheetData>
    <row r="1" spans="1:22" ht="18">
      <c r="A1" s="223" t="s">
        <v>30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</row>
    <row r="2" spans="1:22">
      <c r="A2" s="224" t="s">
        <v>31</v>
      </c>
      <c r="B2" s="224" t="s">
        <v>32</v>
      </c>
      <c r="C2" s="225" t="s">
        <v>33</v>
      </c>
      <c r="D2" s="225"/>
      <c r="E2" s="225" t="s">
        <v>34</v>
      </c>
      <c r="F2" s="225"/>
      <c r="G2" s="225" t="s">
        <v>35</v>
      </c>
      <c r="H2" s="225"/>
      <c r="I2" s="225" t="s">
        <v>36</v>
      </c>
      <c r="J2" s="225"/>
      <c r="K2" s="225" t="s">
        <v>37</v>
      </c>
      <c r="L2" s="225"/>
      <c r="M2" s="225" t="s">
        <v>38</v>
      </c>
      <c r="N2" s="225"/>
      <c r="O2" s="225" t="s">
        <v>39</v>
      </c>
      <c r="P2" s="225"/>
      <c r="Q2" s="225" t="s">
        <v>40</v>
      </c>
      <c r="R2" s="225"/>
      <c r="S2" s="225" t="s">
        <v>41</v>
      </c>
      <c r="T2" s="225"/>
      <c r="U2" s="225" t="s">
        <v>42</v>
      </c>
      <c r="V2" s="225"/>
    </row>
    <row r="3" spans="1:22" s="35" customFormat="1" ht="14.25">
      <c r="A3" s="224"/>
      <c r="B3" s="224"/>
      <c r="C3" s="34" t="s">
        <v>43</v>
      </c>
      <c r="D3" s="34" t="s">
        <v>44</v>
      </c>
      <c r="E3" s="34" t="s">
        <v>43</v>
      </c>
      <c r="F3" s="34" t="s">
        <v>44</v>
      </c>
      <c r="G3" s="34" t="s">
        <v>43</v>
      </c>
      <c r="H3" s="34" t="s">
        <v>44</v>
      </c>
      <c r="I3" s="34" t="s">
        <v>43</v>
      </c>
      <c r="J3" s="34" t="s">
        <v>44</v>
      </c>
      <c r="K3" s="34" t="s">
        <v>43</v>
      </c>
      <c r="L3" s="34" t="s">
        <v>44</v>
      </c>
      <c r="M3" s="34" t="s">
        <v>43</v>
      </c>
      <c r="N3" s="34" t="s">
        <v>44</v>
      </c>
      <c r="O3" s="34" t="s">
        <v>43</v>
      </c>
      <c r="P3" s="34" t="s">
        <v>44</v>
      </c>
      <c r="Q3" s="34" t="s">
        <v>43</v>
      </c>
      <c r="R3" s="34" t="s">
        <v>44</v>
      </c>
      <c r="S3" s="34" t="s">
        <v>43</v>
      </c>
      <c r="T3" s="34" t="s">
        <v>44</v>
      </c>
      <c r="U3" s="34" t="s">
        <v>43</v>
      </c>
      <c r="V3" s="34" t="s">
        <v>44</v>
      </c>
    </row>
    <row r="4" spans="1:22">
      <c r="A4" s="36">
        <v>1</v>
      </c>
      <c r="B4" s="33" t="s">
        <v>45</v>
      </c>
    </row>
    <row r="5" spans="1:22" ht="14.25" customHeight="1"/>
    <row r="6" spans="1:22">
      <c r="B6" s="33" t="s">
        <v>46</v>
      </c>
      <c r="D6" s="37"/>
    </row>
    <row r="7" spans="1:22">
      <c r="C7" s="38"/>
    </row>
    <row r="8" spans="1:22">
      <c r="B8" s="33" t="s">
        <v>47</v>
      </c>
      <c r="C8" s="37"/>
      <c r="D8" s="37"/>
      <c r="E8" s="37"/>
      <c r="F8" s="37"/>
      <c r="G8" s="37"/>
    </row>
    <row r="10" spans="1:22">
      <c r="B10" s="33" t="s">
        <v>48</v>
      </c>
      <c r="C10" s="37"/>
      <c r="D10" s="37"/>
      <c r="E10" s="37"/>
    </row>
    <row r="12" spans="1:22">
      <c r="B12" s="33" t="s">
        <v>49</v>
      </c>
      <c r="E12" s="37"/>
      <c r="F12" s="38"/>
    </row>
    <row r="14" spans="1:22">
      <c r="B14" s="33" t="s">
        <v>50</v>
      </c>
      <c r="F14" s="37"/>
      <c r="G14" s="38"/>
      <c r="H14" s="38"/>
    </row>
    <row r="15" spans="1:22" ht="15" customHeight="1"/>
    <row r="16" spans="1:22" ht="15" customHeight="1">
      <c r="B16" s="33" t="s">
        <v>51</v>
      </c>
      <c r="G16" s="37"/>
      <c r="H16" s="37"/>
      <c r="I16" s="38"/>
    </row>
    <row r="17" spans="1:12" ht="15" customHeight="1"/>
    <row r="18" spans="1:12" ht="15" customHeight="1">
      <c r="A18" s="36">
        <v>2</v>
      </c>
      <c r="B18" s="33" t="s">
        <v>52</v>
      </c>
    </row>
    <row r="19" spans="1:12" ht="15" customHeight="1">
      <c r="I19" s="38"/>
    </row>
    <row r="20" spans="1:12" ht="15" customHeight="1">
      <c r="B20" s="33" t="s">
        <v>53</v>
      </c>
      <c r="F20" s="37"/>
    </row>
    <row r="21" spans="1:12" ht="15" customHeight="1"/>
    <row r="22" spans="1:12" ht="15" customHeight="1">
      <c r="B22" s="33" t="s">
        <v>54</v>
      </c>
      <c r="H22" s="37"/>
    </row>
    <row r="24" spans="1:12">
      <c r="B24" s="33" t="s">
        <v>55</v>
      </c>
      <c r="I24" s="37"/>
    </row>
    <row r="26" spans="1:12">
      <c r="B26" s="33" t="s">
        <v>56</v>
      </c>
      <c r="I26" s="37"/>
    </row>
    <row r="28" spans="1:12">
      <c r="A28" s="36">
        <v>3</v>
      </c>
      <c r="B28" s="33" t="s">
        <v>57</v>
      </c>
    </row>
    <row r="30" spans="1:12">
      <c r="B30" s="33" t="s">
        <v>58</v>
      </c>
      <c r="J30" s="37"/>
    </row>
    <row r="32" spans="1:12">
      <c r="B32" s="33" t="s">
        <v>59</v>
      </c>
      <c r="K32" s="37"/>
      <c r="L32" s="37"/>
    </row>
    <row r="34" spans="1:16">
      <c r="B34" s="33" t="s">
        <v>60</v>
      </c>
      <c r="M34" s="37"/>
      <c r="N34" s="37"/>
    </row>
    <row r="36" spans="1:16">
      <c r="A36" s="36">
        <v>4</v>
      </c>
      <c r="B36" s="33" t="s">
        <v>61</v>
      </c>
    </row>
    <row r="38" spans="1:16">
      <c r="B38" s="33" t="s">
        <v>58</v>
      </c>
      <c r="L38" s="37"/>
    </row>
    <row r="40" spans="1:16">
      <c r="B40" s="33" t="s">
        <v>59</v>
      </c>
      <c r="M40" s="37"/>
      <c r="N40" s="37"/>
    </row>
    <row r="42" spans="1:16">
      <c r="B42" s="33" t="s">
        <v>60</v>
      </c>
      <c r="O42" s="37"/>
      <c r="P42" s="37"/>
    </row>
    <row r="44" spans="1:16">
      <c r="A44" s="36">
        <v>5</v>
      </c>
      <c r="B44" s="33" t="s">
        <v>62</v>
      </c>
    </row>
    <row r="46" spans="1:16">
      <c r="B46" s="33" t="s">
        <v>58</v>
      </c>
      <c r="N46" s="37"/>
    </row>
    <row r="48" spans="1:16">
      <c r="B48" s="33" t="s">
        <v>59</v>
      </c>
      <c r="O48" s="37"/>
      <c r="P48" s="37"/>
    </row>
    <row r="50" spans="1:22">
      <c r="B50" s="33" t="s">
        <v>60</v>
      </c>
      <c r="Q50" s="37"/>
      <c r="R50" s="37"/>
    </row>
    <row r="52" spans="1:22">
      <c r="A52" s="36">
        <v>6</v>
      </c>
      <c r="B52" s="33" t="s">
        <v>63</v>
      </c>
    </row>
    <row r="54" spans="1:22">
      <c r="B54" s="33" t="s">
        <v>58</v>
      </c>
      <c r="P54" s="37"/>
    </row>
    <row r="56" spans="1:22">
      <c r="B56" s="33" t="s">
        <v>59</v>
      </c>
      <c r="Q56" s="37"/>
      <c r="R56" s="37"/>
    </row>
    <row r="58" spans="1:22">
      <c r="B58" s="33" t="s">
        <v>60</v>
      </c>
      <c r="S58" s="37"/>
      <c r="T58" s="37"/>
    </row>
    <row r="60" spans="1:22">
      <c r="A60" s="36">
        <v>7</v>
      </c>
      <c r="B60" s="33" t="s">
        <v>64</v>
      </c>
      <c r="Q60" s="37"/>
      <c r="R60" s="37"/>
      <c r="S60" s="37"/>
      <c r="T60" s="37"/>
      <c r="U60" s="37"/>
      <c r="V60" s="37"/>
    </row>
    <row r="61" spans="1:22">
      <c r="A61" s="39" t="s">
        <v>65</v>
      </c>
      <c r="B61" s="40" t="s">
        <v>66</v>
      </c>
      <c r="C61" s="40"/>
    </row>
  </sheetData>
  <mergeCells count="13">
    <mergeCell ref="A1:V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B14" sqref="B14"/>
    </sheetView>
  </sheetViews>
  <sheetFormatPr defaultRowHeight="21" customHeight="1"/>
  <cols>
    <col min="1" max="16384" width="9.140625" style="5"/>
  </cols>
  <sheetData>
    <row r="1" spans="1:24" ht="21" customHeight="1">
      <c r="A1" s="261" t="s">
        <v>0</v>
      </c>
      <c r="B1" s="261"/>
      <c r="C1" s="261"/>
      <c r="D1" s="261"/>
      <c r="E1" s="261"/>
      <c r="F1" s="261"/>
      <c r="G1" s="261" t="s">
        <v>0</v>
      </c>
      <c r="H1" s="261"/>
      <c r="I1" s="261"/>
      <c r="J1" s="261"/>
      <c r="K1" s="261"/>
      <c r="L1" s="261"/>
      <c r="M1" s="261" t="s">
        <v>0</v>
      </c>
      <c r="N1" s="261"/>
      <c r="O1" s="261"/>
      <c r="P1" s="261"/>
      <c r="Q1" s="261"/>
      <c r="R1" s="261"/>
      <c r="S1" s="261" t="s">
        <v>0</v>
      </c>
      <c r="T1" s="261"/>
      <c r="U1" s="261"/>
      <c r="V1" s="261"/>
      <c r="W1" s="261"/>
      <c r="X1" s="261"/>
    </row>
    <row r="2" spans="1:24" ht="21" customHeight="1">
      <c r="A2" s="227" t="s">
        <v>235</v>
      </c>
      <c r="B2" s="227"/>
      <c r="C2" s="227"/>
      <c r="D2" s="227"/>
      <c r="E2" s="227"/>
      <c r="F2" s="227"/>
      <c r="G2" s="227" t="s">
        <v>235</v>
      </c>
      <c r="H2" s="227"/>
      <c r="I2" s="227"/>
      <c r="J2" s="227"/>
      <c r="K2" s="227"/>
      <c r="L2" s="227"/>
      <c r="M2" s="227" t="s">
        <v>235</v>
      </c>
      <c r="N2" s="227"/>
      <c r="O2" s="227"/>
      <c r="P2" s="227"/>
      <c r="Q2" s="227"/>
      <c r="R2" s="227"/>
      <c r="S2" s="227" t="s">
        <v>196</v>
      </c>
      <c r="T2" s="227"/>
      <c r="U2" s="227"/>
      <c r="V2" s="227"/>
      <c r="W2" s="227"/>
      <c r="X2" s="227"/>
    </row>
    <row r="3" spans="1:24" ht="21" customHeight="1">
      <c r="A3" s="262" t="s">
        <v>236</v>
      </c>
      <c r="B3" s="262"/>
      <c r="C3" s="262"/>
      <c r="D3" s="262"/>
      <c r="E3" s="262"/>
      <c r="F3" s="262"/>
      <c r="G3" s="262" t="s">
        <v>236</v>
      </c>
      <c r="H3" s="262"/>
      <c r="I3" s="262"/>
      <c r="J3" s="262"/>
      <c r="K3" s="262"/>
      <c r="L3" s="262"/>
      <c r="M3" s="262" t="s">
        <v>236</v>
      </c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</row>
    <row r="4" spans="1:24" ht="2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1" customHeight="1">
      <c r="A5" s="43" t="s">
        <v>2</v>
      </c>
      <c r="B5" s="43" t="s">
        <v>3</v>
      </c>
      <c r="D5" s="41"/>
      <c r="E5" s="41"/>
      <c r="F5" s="41"/>
      <c r="G5" s="43" t="s">
        <v>2</v>
      </c>
      <c r="H5" s="43" t="s">
        <v>3</v>
      </c>
      <c r="J5" s="41"/>
      <c r="K5" s="41"/>
      <c r="L5" s="41"/>
      <c r="M5" s="43" t="s">
        <v>2</v>
      </c>
      <c r="N5" s="43" t="s">
        <v>3</v>
      </c>
      <c r="P5" s="41"/>
      <c r="Q5" s="41"/>
      <c r="R5" s="41"/>
      <c r="S5" s="43" t="s">
        <v>2</v>
      </c>
      <c r="T5" s="43" t="s">
        <v>3</v>
      </c>
      <c r="V5" s="41"/>
      <c r="W5" s="41"/>
      <c r="X5" s="41"/>
    </row>
    <row r="6" spans="1:24" ht="28.5" customHeight="1">
      <c r="A6" s="43" t="s">
        <v>4</v>
      </c>
      <c r="B6" s="229" t="s">
        <v>5</v>
      </c>
      <c r="C6" s="229"/>
      <c r="D6" s="229"/>
      <c r="E6" s="229"/>
      <c r="F6" s="229"/>
      <c r="G6" s="43" t="s">
        <v>4</v>
      </c>
      <c r="H6" s="229" t="s">
        <v>5</v>
      </c>
      <c r="I6" s="229"/>
      <c r="J6" s="229"/>
      <c r="K6" s="229"/>
      <c r="L6" s="229"/>
      <c r="M6" s="43" t="s">
        <v>4</v>
      </c>
      <c r="N6" s="229" t="s">
        <v>5</v>
      </c>
      <c r="O6" s="229"/>
      <c r="P6" s="229"/>
      <c r="Q6" s="229"/>
      <c r="R6" s="229"/>
      <c r="S6" s="43" t="s">
        <v>4</v>
      </c>
      <c r="T6" s="229" t="s">
        <v>5</v>
      </c>
      <c r="U6" s="229"/>
      <c r="V6" s="229"/>
      <c r="W6" s="229"/>
      <c r="X6" s="229"/>
    </row>
    <row r="7" spans="1:24" ht="21" customHeight="1">
      <c r="A7" s="159" t="s">
        <v>6</v>
      </c>
      <c r="B7" s="159" t="s">
        <v>237</v>
      </c>
      <c r="C7" s="7"/>
      <c r="D7" s="8"/>
      <c r="E7" s="8"/>
      <c r="F7" s="8"/>
      <c r="G7" s="159" t="s">
        <v>6</v>
      </c>
      <c r="H7" s="159" t="s">
        <v>237</v>
      </c>
      <c r="I7" s="7"/>
      <c r="J7" s="8"/>
      <c r="K7" s="8"/>
      <c r="L7" s="8"/>
      <c r="M7" s="159" t="s">
        <v>6</v>
      </c>
      <c r="N7" s="159" t="s">
        <v>237</v>
      </c>
      <c r="O7" s="7"/>
      <c r="P7" s="8"/>
      <c r="Q7" s="8"/>
      <c r="R7" s="8"/>
      <c r="S7" s="159" t="s">
        <v>6</v>
      </c>
      <c r="T7" s="159"/>
      <c r="U7" s="7"/>
      <c r="V7" s="8"/>
      <c r="W7" s="8"/>
      <c r="X7" s="8"/>
    </row>
    <row r="8" spans="1:24" s="11" customFormat="1" ht="21" customHeight="1">
      <c r="A8" s="265" t="s">
        <v>79</v>
      </c>
      <c r="B8" s="265"/>
      <c r="C8" s="265"/>
      <c r="D8" s="265"/>
      <c r="E8" s="265"/>
      <c r="F8" s="265"/>
      <c r="G8" s="265" t="s">
        <v>257</v>
      </c>
      <c r="H8" s="265"/>
      <c r="I8" s="265"/>
      <c r="J8" s="265"/>
      <c r="K8" s="265"/>
      <c r="L8" s="265"/>
      <c r="M8" s="265" t="s">
        <v>257</v>
      </c>
      <c r="N8" s="265"/>
      <c r="O8" s="265"/>
      <c r="P8" s="265"/>
      <c r="Q8" s="265"/>
      <c r="R8" s="265"/>
      <c r="S8" s="265" t="s">
        <v>257</v>
      </c>
      <c r="T8" s="265"/>
      <c r="U8" s="265"/>
      <c r="V8" s="265"/>
      <c r="W8" s="265"/>
      <c r="X8" s="265"/>
    </row>
    <row r="9" spans="1:24" s="14" customFormat="1" ht="21" customHeight="1">
      <c r="A9" s="12" t="s">
        <v>8</v>
      </c>
      <c r="B9" s="161" t="s">
        <v>258</v>
      </c>
      <c r="D9" s="12" t="s">
        <v>10</v>
      </c>
      <c r="F9" s="162" t="s">
        <v>259</v>
      </c>
      <c r="G9" s="12" t="s">
        <v>8</v>
      </c>
      <c r="H9" s="161" t="s">
        <v>9</v>
      </c>
      <c r="J9" s="12" t="s">
        <v>10</v>
      </c>
      <c r="L9" s="162" t="s">
        <v>260</v>
      </c>
      <c r="M9" s="12" t="s">
        <v>8</v>
      </c>
      <c r="N9" s="161" t="s">
        <v>9</v>
      </c>
      <c r="P9" s="12" t="s">
        <v>10</v>
      </c>
      <c r="R9" s="215" t="s">
        <v>259</v>
      </c>
      <c r="S9" s="12" t="s">
        <v>8</v>
      </c>
      <c r="T9" s="161" t="s">
        <v>9</v>
      </c>
      <c r="V9" s="12" t="s">
        <v>10</v>
      </c>
      <c r="X9" s="162" t="s">
        <v>259</v>
      </c>
    </row>
    <row r="10" spans="1:24" s="14" customFormat="1" ht="21" customHeight="1">
      <c r="A10" s="12" t="s">
        <v>12</v>
      </c>
      <c r="B10" s="161" t="s">
        <v>261</v>
      </c>
      <c r="D10" s="12" t="s">
        <v>14</v>
      </c>
      <c r="F10" s="162" t="s">
        <v>259</v>
      </c>
      <c r="G10" s="12" t="s">
        <v>12</v>
      </c>
      <c r="H10" s="161" t="s">
        <v>117</v>
      </c>
      <c r="J10" s="12" t="s">
        <v>14</v>
      </c>
      <c r="L10" s="162" t="s">
        <v>260</v>
      </c>
      <c r="M10" s="12" t="s">
        <v>12</v>
      </c>
      <c r="N10" s="161" t="s">
        <v>116</v>
      </c>
      <c r="P10" s="12" t="s">
        <v>14</v>
      </c>
      <c r="R10" s="215" t="s">
        <v>259</v>
      </c>
      <c r="S10" s="12" t="s">
        <v>12</v>
      </c>
      <c r="T10" s="161" t="s">
        <v>115</v>
      </c>
      <c r="V10" s="12" t="s">
        <v>14</v>
      </c>
      <c r="X10" s="162" t="s">
        <v>259</v>
      </c>
    </row>
    <row r="11" spans="1:24" s="58" customFormat="1" ht="21" customHeight="1">
      <c r="A11" s="12" t="s">
        <v>15</v>
      </c>
      <c r="B11" s="161" t="s">
        <v>262</v>
      </c>
      <c r="D11" s="12" t="s">
        <v>17</v>
      </c>
      <c r="F11" s="162" t="s">
        <v>263</v>
      </c>
      <c r="G11" s="12" t="s">
        <v>15</v>
      </c>
      <c r="H11" s="161" t="s">
        <v>264</v>
      </c>
      <c r="J11" s="12" t="s">
        <v>17</v>
      </c>
      <c r="L11" s="162" t="s">
        <v>265</v>
      </c>
      <c r="M11" s="12" t="s">
        <v>15</v>
      </c>
      <c r="N11" s="161" t="s">
        <v>200</v>
      </c>
      <c r="P11" s="12" t="s">
        <v>17</v>
      </c>
      <c r="R11" s="162" t="s">
        <v>263</v>
      </c>
      <c r="S11" s="12" t="s">
        <v>15</v>
      </c>
      <c r="T11" s="161" t="s">
        <v>200</v>
      </c>
      <c r="V11" s="12" t="s">
        <v>17</v>
      </c>
      <c r="X11" s="162"/>
    </row>
    <row r="12" spans="1:24" s="58" customFormat="1" ht="21" customHeight="1">
      <c r="A12" s="16" t="s">
        <v>18</v>
      </c>
      <c r="B12" s="164">
        <v>1</v>
      </c>
      <c r="C12" s="216"/>
      <c r="D12" s="16"/>
      <c r="E12" s="216"/>
      <c r="F12" s="166"/>
      <c r="G12" s="16" t="s">
        <v>18</v>
      </c>
      <c r="H12" s="164">
        <v>1</v>
      </c>
      <c r="I12" s="216"/>
      <c r="J12" s="16"/>
      <c r="K12" s="216"/>
      <c r="L12" s="166"/>
      <c r="M12" s="16" t="s">
        <v>18</v>
      </c>
      <c r="N12" s="164">
        <v>1</v>
      </c>
      <c r="O12" s="216"/>
      <c r="P12" s="16"/>
      <c r="Q12" s="216"/>
      <c r="R12" s="166"/>
      <c r="S12" s="16" t="s">
        <v>18</v>
      </c>
      <c r="T12" s="164">
        <v>1</v>
      </c>
      <c r="U12" s="216"/>
      <c r="V12" s="16"/>
      <c r="W12" s="216"/>
      <c r="X12" s="166"/>
    </row>
    <row r="13" spans="1:24" s="17" customFormat="1" ht="21" customHeight="1">
      <c r="A13" s="283" t="s">
        <v>19</v>
      </c>
      <c r="B13" s="283"/>
      <c r="C13" s="283"/>
      <c r="D13" s="283"/>
      <c r="E13" s="283"/>
      <c r="F13" s="283"/>
      <c r="G13" s="283" t="s">
        <v>19</v>
      </c>
      <c r="H13" s="283"/>
      <c r="I13" s="283"/>
      <c r="J13" s="283"/>
      <c r="K13" s="283"/>
      <c r="L13" s="283"/>
      <c r="M13" s="283" t="s">
        <v>19</v>
      </c>
      <c r="N13" s="283"/>
      <c r="O13" s="283"/>
      <c r="P13" s="283"/>
      <c r="Q13" s="283"/>
      <c r="R13" s="283"/>
      <c r="S13" s="283" t="s">
        <v>19</v>
      </c>
      <c r="T13" s="283"/>
      <c r="U13" s="283"/>
      <c r="V13" s="283"/>
      <c r="W13" s="283"/>
      <c r="X13" s="283"/>
    </row>
    <row r="14" spans="1:24" s="17" customFormat="1" ht="21" customHeight="1">
      <c r="A14" s="18"/>
      <c r="B14" s="18"/>
      <c r="C14" s="18"/>
      <c r="D14" s="19"/>
      <c r="G14" s="18"/>
      <c r="H14" s="18"/>
      <c r="I14" s="18"/>
      <c r="J14" s="19"/>
      <c r="M14" s="18"/>
      <c r="N14" s="18"/>
      <c r="O14" s="18"/>
      <c r="P14" s="19"/>
      <c r="S14" s="18"/>
      <c r="T14" s="18"/>
      <c r="U14" s="18"/>
      <c r="V14" s="19"/>
    </row>
    <row r="15" spans="1:24" s="22" customFormat="1" ht="21" customHeight="1">
      <c r="A15" s="284" t="s">
        <v>20</v>
      </c>
      <c r="B15" s="285"/>
      <c r="C15" s="20">
        <v>1</v>
      </c>
      <c r="D15" s="20">
        <v>2</v>
      </c>
      <c r="E15" s="20">
        <v>3</v>
      </c>
      <c r="F15" s="20" t="s">
        <v>21</v>
      </c>
      <c r="G15" s="284" t="s">
        <v>20</v>
      </c>
      <c r="H15" s="285"/>
      <c r="I15" s="20">
        <v>1</v>
      </c>
      <c r="J15" s="20">
        <v>2</v>
      </c>
      <c r="K15" s="20">
        <v>3</v>
      </c>
      <c r="L15" s="20" t="s">
        <v>21</v>
      </c>
      <c r="M15" s="284" t="s">
        <v>20</v>
      </c>
      <c r="N15" s="285"/>
      <c r="O15" s="20">
        <v>1</v>
      </c>
      <c r="P15" s="20">
        <v>2</v>
      </c>
      <c r="Q15" s="20">
        <v>3</v>
      </c>
      <c r="R15" s="20" t="s">
        <v>21</v>
      </c>
      <c r="S15" s="284" t="s">
        <v>20</v>
      </c>
      <c r="T15" s="285"/>
      <c r="U15" s="20">
        <v>1</v>
      </c>
      <c r="V15" s="20">
        <v>2</v>
      </c>
      <c r="W15" s="20">
        <v>3</v>
      </c>
      <c r="X15" s="20" t="s">
        <v>21</v>
      </c>
    </row>
    <row r="16" spans="1:24" s="22" customFormat="1" ht="21" customHeight="1">
      <c r="A16" s="286" t="s">
        <v>266</v>
      </c>
      <c r="B16" s="287"/>
      <c r="C16" s="172">
        <v>38.5</v>
      </c>
      <c r="D16" s="172">
        <v>39.6</v>
      </c>
      <c r="E16" s="172">
        <v>41.8</v>
      </c>
      <c r="F16" s="171"/>
      <c r="G16" s="286" t="s">
        <v>267</v>
      </c>
      <c r="H16" s="287"/>
      <c r="I16" s="172">
        <v>692</v>
      </c>
      <c r="J16" s="172">
        <v>703</v>
      </c>
      <c r="K16" s="172">
        <v>636</v>
      </c>
      <c r="L16" s="171"/>
      <c r="M16" s="286" t="s">
        <v>267</v>
      </c>
      <c r="N16" s="287"/>
      <c r="O16" s="172">
        <v>591.5</v>
      </c>
      <c r="P16" s="172">
        <v>702</v>
      </c>
      <c r="Q16" s="172">
        <v>635</v>
      </c>
      <c r="R16" s="171"/>
      <c r="S16" s="286" t="s">
        <v>267</v>
      </c>
      <c r="T16" s="287"/>
      <c r="U16" s="172">
        <v>591.5</v>
      </c>
      <c r="V16" s="172">
        <v>702</v>
      </c>
      <c r="W16" s="172">
        <v>635</v>
      </c>
      <c r="X16" s="171"/>
    </row>
    <row r="17" spans="1:24" s="22" customFormat="1" ht="21" customHeight="1">
      <c r="A17" s="286" t="s">
        <v>268</v>
      </c>
      <c r="B17" s="287"/>
      <c r="C17" s="172">
        <v>59.1</v>
      </c>
      <c r="D17" s="172">
        <v>64.099999999999994</v>
      </c>
      <c r="E17" s="172">
        <v>64.400000000000006</v>
      </c>
      <c r="F17" s="171"/>
      <c r="G17" s="286" t="s">
        <v>269</v>
      </c>
      <c r="H17" s="287"/>
      <c r="I17" s="172">
        <v>907</v>
      </c>
      <c r="J17" s="172">
        <v>847</v>
      </c>
      <c r="K17" s="172">
        <v>767.5</v>
      </c>
      <c r="L17" s="171"/>
      <c r="M17" s="286" t="s">
        <v>269</v>
      </c>
      <c r="N17" s="287"/>
      <c r="O17" s="172">
        <v>991.5</v>
      </c>
      <c r="P17" s="172">
        <v>1102</v>
      </c>
      <c r="Q17" s="172">
        <v>1035</v>
      </c>
      <c r="R17" s="171"/>
      <c r="S17" s="286" t="s">
        <v>269</v>
      </c>
      <c r="T17" s="287"/>
      <c r="U17" s="172">
        <v>1091.5</v>
      </c>
      <c r="V17" s="172">
        <v>1202</v>
      </c>
      <c r="W17" s="172">
        <v>1135</v>
      </c>
      <c r="X17" s="171"/>
    </row>
    <row r="18" spans="1:24" s="22" customFormat="1" ht="21" customHeight="1">
      <c r="A18" s="286" t="s">
        <v>270</v>
      </c>
      <c r="B18" s="287"/>
      <c r="C18" s="172">
        <v>87.3</v>
      </c>
      <c r="D18" s="172">
        <v>91.9</v>
      </c>
      <c r="E18" s="172">
        <v>88.5</v>
      </c>
      <c r="F18" s="171"/>
      <c r="G18" s="286" t="s">
        <v>271</v>
      </c>
      <c r="H18" s="287"/>
      <c r="I18" s="173">
        <v>1712.3848194767443</v>
      </c>
      <c r="J18" s="173">
        <v>1673.6451795005376</v>
      </c>
      <c r="K18" s="173">
        <v>1612.6712607348063</v>
      </c>
      <c r="L18" s="171"/>
      <c r="M18" s="286" t="s">
        <v>271</v>
      </c>
      <c r="N18" s="287"/>
      <c r="O18" s="173">
        <v>1803.0067240153667</v>
      </c>
      <c r="P18" s="173">
        <v>1843.0005291040393</v>
      </c>
      <c r="Q18" s="173">
        <v>1787.4586114655413</v>
      </c>
      <c r="R18" s="171"/>
      <c r="S18" s="286" t="s">
        <v>271</v>
      </c>
      <c r="T18" s="287"/>
      <c r="U18" s="172">
        <v>1864.5</v>
      </c>
      <c r="V18" s="172">
        <v>1905.5</v>
      </c>
      <c r="W18" s="172">
        <v>1849</v>
      </c>
      <c r="X18" s="171"/>
    </row>
    <row r="19" spans="1:24" s="22" customFormat="1" ht="21" customHeight="1">
      <c r="A19" s="286" t="s">
        <v>272</v>
      </c>
      <c r="B19" s="287"/>
      <c r="C19" s="172">
        <v>87</v>
      </c>
      <c r="D19" s="172">
        <v>91.5</v>
      </c>
      <c r="E19" s="172">
        <v>88.1</v>
      </c>
      <c r="F19" s="171"/>
      <c r="G19" s="286" t="s">
        <v>273</v>
      </c>
      <c r="H19" s="287"/>
      <c r="I19" s="172">
        <v>1574</v>
      </c>
      <c r="J19" s="172">
        <v>1581</v>
      </c>
      <c r="K19" s="172">
        <v>1528</v>
      </c>
      <c r="L19" s="171"/>
      <c r="M19" s="286" t="s">
        <v>273</v>
      </c>
      <c r="N19" s="287"/>
      <c r="O19" s="172">
        <v>1545</v>
      </c>
      <c r="P19" s="172">
        <v>1585.5</v>
      </c>
      <c r="Q19" s="172">
        <v>1530</v>
      </c>
      <c r="R19" s="171"/>
      <c r="S19" s="286" t="s">
        <v>273</v>
      </c>
      <c r="T19" s="287"/>
      <c r="U19" s="172">
        <v>1545</v>
      </c>
      <c r="V19" s="172">
        <v>1585.5</v>
      </c>
      <c r="W19" s="172">
        <v>1530</v>
      </c>
      <c r="X19" s="171"/>
    </row>
    <row r="20" spans="1:24" s="22" customFormat="1" ht="21" customHeight="1">
      <c r="A20" s="286" t="s">
        <v>274</v>
      </c>
      <c r="B20" s="288"/>
      <c r="C20" s="171">
        <f>C17-C16</f>
        <v>20.6</v>
      </c>
      <c r="D20" s="171">
        <f>D17-D16</f>
        <v>24.499999999999993</v>
      </c>
      <c r="E20" s="171">
        <f>E17-E16</f>
        <v>22.600000000000009</v>
      </c>
      <c r="F20" s="171"/>
      <c r="G20" s="286" t="s">
        <v>274</v>
      </c>
      <c r="H20" s="288"/>
      <c r="I20" s="171">
        <f>I17-I16</f>
        <v>215</v>
      </c>
      <c r="J20" s="171">
        <f>J17-J16</f>
        <v>144</v>
      </c>
      <c r="K20" s="171">
        <f>K17-K16</f>
        <v>131.5</v>
      </c>
      <c r="L20" s="171"/>
      <c r="M20" s="286" t="s">
        <v>274</v>
      </c>
      <c r="N20" s="288"/>
      <c r="O20" s="171">
        <f>O17-O16</f>
        <v>400</v>
      </c>
      <c r="P20" s="171">
        <f>P17-P16</f>
        <v>400</v>
      </c>
      <c r="Q20" s="171">
        <f>Q17-Q16</f>
        <v>400</v>
      </c>
      <c r="R20" s="171"/>
      <c r="S20" s="286" t="s">
        <v>274</v>
      </c>
      <c r="T20" s="288"/>
      <c r="U20" s="171">
        <f>U17-U16</f>
        <v>500</v>
      </c>
      <c r="V20" s="171">
        <f>V17-V16</f>
        <v>500</v>
      </c>
      <c r="W20" s="171">
        <f>W17-W16</f>
        <v>500</v>
      </c>
      <c r="X20" s="171"/>
    </row>
    <row r="21" spans="1:24" s="22" customFormat="1" ht="21" customHeight="1">
      <c r="A21" s="286" t="s">
        <v>275</v>
      </c>
      <c r="B21" s="287"/>
      <c r="C21" s="217">
        <f>C20/((C19-C16)-(C18-C17))</f>
        <v>1.0147783251231526</v>
      </c>
      <c r="D21" s="217">
        <f>D20/((D19-D16)-(D18-D17))</f>
        <v>1.0165975103734441</v>
      </c>
      <c r="E21" s="217">
        <f>E20/((E19-E16)-(E18-E17))</f>
        <v>1.0180180180180183</v>
      </c>
      <c r="F21" s="217">
        <f>AVERAGE(C21:E21)</f>
        <v>1.0164646178382051</v>
      </c>
      <c r="G21" s="286" t="s">
        <v>275</v>
      </c>
      <c r="H21" s="287"/>
      <c r="I21" s="217">
        <f>(I20)/((I19-I16)-(I18-I17))</f>
        <v>2.8062323749891709</v>
      </c>
      <c r="J21" s="217">
        <f>(J20)/((J19-J16)-(J18-J17))</f>
        <v>2.8040210947968811</v>
      </c>
      <c r="K21" s="217">
        <f>(K20)/((K19-K16)-(K18-K17))</f>
        <v>2.8081046396595983</v>
      </c>
      <c r="L21" s="217">
        <f>AVERAGE(I21:K21)</f>
        <v>2.8061193698152169</v>
      </c>
      <c r="M21" s="286" t="s">
        <v>275</v>
      </c>
      <c r="N21" s="287"/>
      <c r="O21" s="217">
        <f>O20/((O19-O16)-(O18-O17))</f>
        <v>2.8170348013048763</v>
      </c>
      <c r="P21" s="217">
        <f>(P20)/((P19-P16)-(P18-P17))</f>
        <v>2.8070279663848097</v>
      </c>
      <c r="Q21" s="217">
        <f>(Q20)/((Q19-Q16)-(Q18-Q17))</f>
        <v>2.8062024939745958</v>
      </c>
      <c r="R21" s="217">
        <f>AVERAGE(O21:Q21)</f>
        <v>2.8100884205547607</v>
      </c>
      <c r="S21" s="286" t="s">
        <v>275</v>
      </c>
      <c r="T21" s="287"/>
      <c r="U21" s="217">
        <f>(U20)/((U19-U16)-(U18-U17))</f>
        <v>2.770083102493075</v>
      </c>
      <c r="V21" s="217">
        <f>(V20)/((V19-V16)-(V18-V17))</f>
        <v>2.7777777777777777</v>
      </c>
      <c r="W21" s="217">
        <f>(W20)/((W19-W16)-(W18-W17))</f>
        <v>2.7624309392265194</v>
      </c>
      <c r="X21" s="217">
        <f>AVERAGE(U21:W21)</f>
        <v>2.7700972731657907</v>
      </c>
    </row>
    <row r="22" spans="1:24" s="22" customFormat="1" ht="21" customHeight="1">
      <c r="C22" s="27"/>
      <c r="D22" s="27"/>
      <c r="E22" s="27"/>
      <c r="F22" s="27"/>
      <c r="I22" s="27"/>
      <c r="J22" s="27"/>
      <c r="K22" s="27"/>
      <c r="L22" s="27"/>
      <c r="O22" s="27"/>
      <c r="P22" s="27"/>
      <c r="Q22" s="27"/>
      <c r="R22" s="27"/>
      <c r="U22" s="27"/>
      <c r="V22" s="27"/>
      <c r="W22" s="27"/>
      <c r="X22" s="27"/>
    </row>
    <row r="23" spans="1:24" s="22" customFormat="1" ht="21" customHeight="1">
      <c r="C23" s="27"/>
      <c r="D23" s="27"/>
      <c r="E23" s="27"/>
      <c r="F23" s="27"/>
      <c r="I23" s="27"/>
      <c r="J23" s="27"/>
      <c r="K23" s="27"/>
      <c r="L23" s="27"/>
      <c r="O23" s="27"/>
      <c r="P23" s="27"/>
      <c r="Q23" s="27"/>
      <c r="R23" s="27"/>
      <c r="U23" s="27"/>
      <c r="V23" s="27"/>
      <c r="W23" s="27"/>
      <c r="X23" s="27"/>
    </row>
    <row r="24" spans="1:24" s="22" customFormat="1" ht="21" customHeight="1">
      <c r="C24" s="27"/>
      <c r="D24" s="27"/>
      <c r="E24" s="27"/>
      <c r="F24" s="27"/>
      <c r="I24" s="27"/>
      <c r="J24" s="27"/>
      <c r="K24" s="27"/>
      <c r="L24" s="27"/>
      <c r="O24" s="27"/>
      <c r="P24" s="27"/>
      <c r="Q24" s="27"/>
      <c r="R24" s="27"/>
      <c r="U24" s="27"/>
      <c r="V24" s="27"/>
      <c r="W24" s="27"/>
      <c r="X24" s="27"/>
    </row>
    <row r="25" spans="1:24" s="22" customFormat="1" ht="21" customHeight="1">
      <c r="C25" s="27"/>
      <c r="D25" s="27"/>
      <c r="E25" s="27"/>
      <c r="F25" s="27"/>
      <c r="I25" s="27"/>
      <c r="J25" s="27"/>
      <c r="K25" s="27"/>
      <c r="L25" s="27"/>
      <c r="O25" s="27"/>
      <c r="P25" s="27"/>
      <c r="Q25" s="27"/>
      <c r="R25" s="27"/>
      <c r="U25" s="27"/>
      <c r="V25" s="27"/>
      <c r="W25" s="27"/>
      <c r="X25" s="27"/>
    </row>
    <row r="26" spans="1:24" s="22" customFormat="1" ht="21" customHeight="1">
      <c r="C26" s="27"/>
      <c r="D26" s="27"/>
      <c r="E26" s="27"/>
      <c r="F26" s="27"/>
      <c r="I26" s="27"/>
      <c r="J26" s="27"/>
      <c r="K26" s="27"/>
      <c r="L26" s="27"/>
      <c r="O26" s="27"/>
      <c r="P26" s="27"/>
      <c r="Q26" s="27"/>
      <c r="R26" s="27"/>
      <c r="U26" s="27"/>
      <c r="V26" s="27"/>
      <c r="W26" s="27"/>
      <c r="X26" s="27"/>
    </row>
    <row r="27" spans="1:24" s="22" customFormat="1" ht="21" customHeight="1"/>
    <row r="28" spans="1:24" s="218" customFormat="1" ht="21" customHeight="1">
      <c r="A28" s="28"/>
      <c r="B28" s="28"/>
      <c r="C28" s="29"/>
      <c r="D28" s="30"/>
      <c r="E28" s="30"/>
      <c r="F28" s="30"/>
      <c r="G28" s="28"/>
      <c r="H28" s="28"/>
      <c r="I28" s="29"/>
      <c r="J28" s="30"/>
      <c r="K28" s="30"/>
      <c r="L28" s="30"/>
      <c r="M28" s="28"/>
      <c r="N28" s="28"/>
      <c r="O28" s="29"/>
      <c r="P28" s="30"/>
      <c r="Q28" s="30"/>
      <c r="R28" s="30"/>
      <c r="S28" s="28"/>
      <c r="T28" s="28"/>
      <c r="U28" s="29"/>
      <c r="V28" s="30"/>
      <c r="W28" s="30"/>
      <c r="X28" s="30"/>
    </row>
  </sheetData>
  <mergeCells count="52">
    <mergeCell ref="A21:B21"/>
    <mergeCell ref="G21:H21"/>
    <mergeCell ref="M21:N21"/>
    <mergeCell ref="S21:T21"/>
    <mergeCell ref="A19:B19"/>
    <mergeCell ref="G19:H19"/>
    <mergeCell ref="M19:N19"/>
    <mergeCell ref="S19:T19"/>
    <mergeCell ref="A20:B20"/>
    <mergeCell ref="G20:H20"/>
    <mergeCell ref="M20:N20"/>
    <mergeCell ref="S20:T20"/>
    <mergeCell ref="A17:B17"/>
    <mergeCell ref="G17:H17"/>
    <mergeCell ref="M17:N17"/>
    <mergeCell ref="S17:T17"/>
    <mergeCell ref="A18:B18"/>
    <mergeCell ref="G18:H18"/>
    <mergeCell ref="M18:N18"/>
    <mergeCell ref="S18:T18"/>
    <mergeCell ref="A15:B15"/>
    <mergeCell ref="G15:H15"/>
    <mergeCell ref="M15:N15"/>
    <mergeCell ref="S15:T15"/>
    <mergeCell ref="A16:B16"/>
    <mergeCell ref="G16:H16"/>
    <mergeCell ref="M16:N16"/>
    <mergeCell ref="S16:T16"/>
    <mergeCell ref="A8:F8"/>
    <mergeCell ref="G8:L8"/>
    <mergeCell ref="M8:R8"/>
    <mergeCell ref="S8:X8"/>
    <mergeCell ref="A13:F13"/>
    <mergeCell ref="G13:L13"/>
    <mergeCell ref="M13:R13"/>
    <mergeCell ref="S13:X13"/>
    <mergeCell ref="A3:F3"/>
    <mergeCell ref="G3:L3"/>
    <mergeCell ref="M3:R3"/>
    <mergeCell ref="S3:X3"/>
    <mergeCell ref="B6:F6"/>
    <mergeCell ref="H6:L6"/>
    <mergeCell ref="N6:R6"/>
    <mergeCell ref="T6:X6"/>
    <mergeCell ref="A1:F1"/>
    <mergeCell ref="G1:L1"/>
    <mergeCell ref="M1:R1"/>
    <mergeCell ref="S1:X1"/>
    <mergeCell ref="A2:F2"/>
    <mergeCell ref="G2:L2"/>
    <mergeCell ref="M2:R2"/>
    <mergeCell ref="S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9"/>
  <sheetViews>
    <sheetView topLeftCell="A10" workbookViewId="0">
      <selection activeCell="J5" sqref="J5"/>
    </sheetView>
  </sheetViews>
  <sheetFormatPr defaultRowHeight="12.75"/>
  <cols>
    <col min="1" max="1" width="9.140625" style="5"/>
    <col min="2" max="2" width="52.28515625" style="5" bestFit="1" customWidth="1"/>
    <col min="3" max="16384" width="9.140625" style="5"/>
  </cols>
  <sheetData>
    <row r="1" spans="1:12" ht="28.5" customHeight="1">
      <c r="A1" s="261" t="s">
        <v>0</v>
      </c>
      <c r="B1" s="261"/>
      <c r="C1" s="261"/>
      <c r="D1" s="261"/>
      <c r="E1" s="261"/>
      <c r="F1" s="261"/>
      <c r="G1" s="1"/>
    </row>
    <row r="2" spans="1:12" ht="28.5" customHeight="1">
      <c r="A2" s="289" t="s">
        <v>1</v>
      </c>
      <c r="B2" s="289"/>
      <c r="C2" s="289"/>
      <c r="D2" s="289"/>
      <c r="E2" s="289"/>
      <c r="F2" s="289"/>
      <c r="G2" s="2"/>
    </row>
    <row r="3" spans="1:12" ht="28.5" customHeight="1">
      <c r="A3" s="3"/>
      <c r="B3" s="3"/>
      <c r="C3" s="3"/>
      <c r="D3" s="3"/>
      <c r="E3" s="3"/>
      <c r="F3" s="3"/>
      <c r="G3" s="3"/>
    </row>
    <row r="4" spans="1:12" ht="28.5" customHeight="1">
      <c r="A4" s="4" t="s">
        <v>2</v>
      </c>
      <c r="B4" s="4" t="s">
        <v>3</v>
      </c>
      <c r="D4" s="2"/>
      <c r="E4" s="2"/>
      <c r="F4" s="2"/>
    </row>
    <row r="5" spans="1:12" ht="28.5" customHeight="1">
      <c r="A5" s="4" t="s">
        <v>4</v>
      </c>
      <c r="B5" s="290" t="s">
        <v>5</v>
      </c>
      <c r="C5" s="290"/>
      <c r="D5" s="290"/>
      <c r="E5" s="290"/>
      <c r="F5" s="290"/>
    </row>
    <row r="6" spans="1:12" ht="28.5" customHeight="1">
      <c r="A6" s="6" t="s">
        <v>6</v>
      </c>
      <c r="B6" s="4"/>
      <c r="C6" s="7"/>
      <c r="D6" s="8"/>
      <c r="E6" s="8"/>
      <c r="F6" s="8"/>
    </row>
    <row r="7" spans="1:12" s="11" customFormat="1" ht="28.5" customHeight="1">
      <c r="A7" s="291" t="s">
        <v>7</v>
      </c>
      <c r="B7" s="291"/>
      <c r="C7" s="291"/>
      <c r="D7" s="291"/>
      <c r="E7" s="291"/>
      <c r="F7" s="291"/>
      <c r="G7" s="9"/>
      <c r="H7" s="10"/>
      <c r="I7" s="10"/>
    </row>
    <row r="8" spans="1:12" s="14" customFormat="1" ht="28.5" customHeight="1">
      <c r="A8" s="12" t="s">
        <v>8</v>
      </c>
      <c r="B8" s="161" t="s">
        <v>9</v>
      </c>
      <c r="D8" s="12" t="s">
        <v>10</v>
      </c>
      <c r="F8" s="162" t="s">
        <v>11</v>
      </c>
      <c r="G8" s="12"/>
      <c r="H8" s="13"/>
      <c r="I8" s="13"/>
    </row>
    <row r="9" spans="1:12" s="14" customFormat="1" ht="28.5" customHeight="1">
      <c r="A9" s="12" t="s">
        <v>12</v>
      </c>
      <c r="B9" s="161" t="s">
        <v>13</v>
      </c>
      <c r="D9" s="12" t="s">
        <v>14</v>
      </c>
      <c r="F9" s="162" t="s">
        <v>11</v>
      </c>
      <c r="G9" s="12"/>
      <c r="H9" s="13"/>
      <c r="I9" s="13"/>
    </row>
    <row r="10" spans="1:12" s="58" customFormat="1" ht="28.5" customHeight="1">
      <c r="A10" s="12" t="s">
        <v>15</v>
      </c>
      <c r="B10" s="161" t="s">
        <v>16</v>
      </c>
      <c r="D10" s="12" t="s">
        <v>17</v>
      </c>
      <c r="F10" s="162"/>
      <c r="G10" s="12"/>
      <c r="I10" s="15"/>
      <c r="J10" s="15"/>
      <c r="K10" s="15"/>
      <c r="L10" s="15"/>
    </row>
    <row r="11" spans="1:12" s="58" customFormat="1" ht="28.5" customHeight="1">
      <c r="A11" s="16" t="s">
        <v>18</v>
      </c>
      <c r="B11" s="164">
        <v>1</v>
      </c>
      <c r="C11" s="216"/>
      <c r="D11" s="16"/>
      <c r="E11" s="216"/>
      <c r="F11" s="166"/>
      <c r="G11" s="12"/>
      <c r="I11" s="15"/>
      <c r="J11" s="15"/>
      <c r="K11" s="15"/>
      <c r="L11" s="15"/>
    </row>
    <row r="12" spans="1:12" s="17" customFormat="1" ht="28.5" customHeight="1">
      <c r="A12" s="283" t="s">
        <v>19</v>
      </c>
      <c r="B12" s="283"/>
      <c r="C12" s="283"/>
      <c r="D12" s="283"/>
      <c r="E12" s="283"/>
      <c r="F12" s="283"/>
    </row>
    <row r="13" spans="1:12" s="17" customFormat="1" ht="28.5" customHeight="1">
      <c r="A13" s="18"/>
      <c r="B13" s="18"/>
      <c r="C13" s="18"/>
      <c r="D13" s="19"/>
    </row>
    <row r="14" spans="1:12" s="22" customFormat="1" ht="28.5" customHeight="1">
      <c r="A14" s="284" t="s">
        <v>20</v>
      </c>
      <c r="B14" s="285"/>
      <c r="C14" s="20">
        <v>1</v>
      </c>
      <c r="D14" s="20">
        <v>2</v>
      </c>
      <c r="E14" s="20">
        <v>3</v>
      </c>
      <c r="F14" s="20" t="s">
        <v>21</v>
      </c>
      <c r="G14" s="21"/>
    </row>
    <row r="15" spans="1:12" s="22" customFormat="1" ht="28.5" customHeight="1">
      <c r="A15" s="286" t="s">
        <v>22</v>
      </c>
      <c r="B15" s="287"/>
      <c r="C15" s="23">
        <v>1088.5</v>
      </c>
      <c r="D15" s="23">
        <v>1120</v>
      </c>
      <c r="E15" s="23"/>
      <c r="F15" s="23"/>
      <c r="I15" s="24"/>
    </row>
    <row r="16" spans="1:12" s="22" customFormat="1" ht="28.5" customHeight="1">
      <c r="A16" s="286" t="s">
        <v>23</v>
      </c>
      <c r="B16" s="287"/>
      <c r="C16" s="23">
        <v>460</v>
      </c>
      <c r="D16" s="23">
        <v>460</v>
      </c>
      <c r="E16" s="23"/>
      <c r="F16" s="23"/>
    </row>
    <row r="17" spans="1:7" s="22" customFormat="1" ht="28.5" customHeight="1">
      <c r="A17" s="286" t="s">
        <v>24</v>
      </c>
      <c r="B17" s="287"/>
      <c r="C17" s="23">
        <f>C15-C16</f>
        <v>628.5</v>
      </c>
      <c r="D17" s="23">
        <f>D15-D16</f>
        <v>660</v>
      </c>
      <c r="E17" s="23"/>
      <c r="F17" s="23"/>
    </row>
    <row r="18" spans="1:7" s="22" customFormat="1" ht="28.5" customHeight="1">
      <c r="A18" s="286" t="s">
        <v>25</v>
      </c>
      <c r="B18" s="287"/>
      <c r="C18" s="219">
        <v>973</v>
      </c>
      <c r="D18" s="219">
        <v>1021.5</v>
      </c>
      <c r="E18" s="23"/>
      <c r="F18" s="23"/>
    </row>
    <row r="19" spans="1:7" s="22" customFormat="1" ht="28.5" customHeight="1">
      <c r="A19" s="286" t="s">
        <v>26</v>
      </c>
      <c r="B19" s="287"/>
      <c r="C19" s="219">
        <v>965</v>
      </c>
      <c r="D19" s="219">
        <v>1013</v>
      </c>
      <c r="E19" s="23"/>
      <c r="F19" s="23"/>
    </row>
    <row r="20" spans="1:7" s="22" customFormat="1" ht="28.5" customHeight="1">
      <c r="A20" s="286" t="s">
        <v>27</v>
      </c>
      <c r="B20" s="287"/>
      <c r="C20" s="25">
        <f>C19/(C19-C17)</f>
        <v>2.8677563150074294</v>
      </c>
      <c r="D20" s="25">
        <f>D19/(D19-D17)</f>
        <v>2.869688385269122</v>
      </c>
      <c r="E20" s="23"/>
      <c r="F20" s="25">
        <f>AVERAGE(C20:D20)</f>
        <v>2.8687223501382757</v>
      </c>
    </row>
    <row r="21" spans="1:7" s="22" customFormat="1" ht="28.5" customHeight="1">
      <c r="A21" s="292" t="s">
        <v>28</v>
      </c>
      <c r="B21" s="288"/>
      <c r="C21" s="25">
        <f>C19/(C18-C17)</f>
        <v>2.8011611030478956</v>
      </c>
      <c r="D21" s="25">
        <f>D19/(D18-D17)</f>
        <v>2.8022130013831257</v>
      </c>
      <c r="E21" s="23"/>
      <c r="F21" s="25">
        <f>AVERAGE(C21:D21)</f>
        <v>2.8016870522155104</v>
      </c>
    </row>
    <row r="22" spans="1:7" s="22" customFormat="1" ht="28.5" customHeight="1">
      <c r="A22" s="292" t="s">
        <v>29</v>
      </c>
      <c r="B22" s="288"/>
      <c r="C22" s="26">
        <f>(C18-C19)/C19*100</f>
        <v>0.82901554404145072</v>
      </c>
      <c r="D22" s="26">
        <f>(D18-D19)/D19*100</f>
        <v>0.83909180651530102</v>
      </c>
      <c r="E22" s="23"/>
      <c r="F22" s="25">
        <f>AVERAGE(C22:D22)</f>
        <v>0.83405367527837582</v>
      </c>
    </row>
    <row r="23" spans="1:7" s="22" customFormat="1" ht="15">
      <c r="C23" s="27"/>
      <c r="D23" s="27"/>
      <c r="E23" s="27"/>
      <c r="F23" s="27"/>
    </row>
    <row r="24" spans="1:7" s="22" customFormat="1" ht="15">
      <c r="C24" s="27"/>
      <c r="D24" s="27"/>
      <c r="E24" s="27"/>
      <c r="F24" s="27"/>
    </row>
    <row r="25" spans="1:7" s="22" customFormat="1" ht="15">
      <c r="C25" s="27"/>
      <c r="D25" s="27"/>
      <c r="E25" s="27"/>
      <c r="F25" s="27"/>
    </row>
    <row r="26" spans="1:7" s="22" customFormat="1" ht="15">
      <c r="C26" s="27"/>
      <c r="D26" s="27"/>
      <c r="E26" s="27"/>
      <c r="F26" s="27"/>
    </row>
    <row r="27" spans="1:7" s="22" customFormat="1" ht="15">
      <c r="C27" s="27"/>
      <c r="D27" s="27"/>
      <c r="E27" s="27"/>
      <c r="F27" s="27"/>
    </row>
    <row r="28" spans="1:7" s="22" customFormat="1"/>
    <row r="29" spans="1:7" s="218" customFormat="1">
      <c r="A29" s="28"/>
      <c r="B29" s="28"/>
      <c r="C29" s="29"/>
      <c r="D29" s="30"/>
      <c r="E29" s="30"/>
      <c r="F29" s="30"/>
      <c r="G29" s="220"/>
    </row>
  </sheetData>
  <mergeCells count="14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F1"/>
    <mergeCell ref="A2:F2"/>
    <mergeCell ref="B5:F5"/>
    <mergeCell ref="A7:F7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34" sqref="B34"/>
    </sheetView>
  </sheetViews>
  <sheetFormatPr defaultColWidth="22.85546875" defaultRowHeight="12.75"/>
  <cols>
    <col min="1" max="1" width="8.85546875" style="33" customWidth="1"/>
    <col min="2" max="2" width="47.5703125" style="33" bestFit="1" customWidth="1"/>
    <col min="3" max="3" width="14.5703125" style="33" customWidth="1"/>
    <col min="4" max="4" width="18.140625" style="33" customWidth="1"/>
    <col min="5" max="16384" width="22.85546875" style="33"/>
  </cols>
  <sheetData>
    <row r="1" spans="1:7" ht="18">
      <c r="A1" s="226" t="s">
        <v>0</v>
      </c>
      <c r="B1" s="226"/>
      <c r="C1" s="226"/>
      <c r="D1" s="226"/>
      <c r="E1" s="31"/>
      <c r="F1" s="31"/>
      <c r="G1" s="31"/>
    </row>
    <row r="2" spans="1:7" ht="14.25">
      <c r="A2" s="227" t="s">
        <v>1</v>
      </c>
      <c r="B2" s="227"/>
      <c r="C2" s="227"/>
      <c r="D2" s="227"/>
      <c r="E2" s="2"/>
      <c r="F2" s="2"/>
      <c r="G2" s="2"/>
    </row>
    <row r="3" spans="1:7" s="42" customFormat="1">
      <c r="A3" s="228"/>
      <c r="B3" s="228"/>
      <c r="C3" s="228"/>
      <c r="D3" s="228"/>
      <c r="E3" s="41"/>
      <c r="F3" s="41"/>
      <c r="G3" s="41"/>
    </row>
    <row r="4" spans="1:7" s="42" customFormat="1">
      <c r="A4" s="43"/>
      <c r="B4" s="41"/>
      <c r="C4" s="41"/>
      <c r="D4" s="41"/>
      <c r="E4" s="41"/>
      <c r="F4" s="41"/>
      <c r="G4" s="41"/>
    </row>
    <row r="5" spans="1:7" s="42" customFormat="1">
      <c r="A5" s="43" t="s">
        <v>67</v>
      </c>
      <c r="B5" s="43"/>
      <c r="C5" s="44"/>
      <c r="D5" s="43"/>
      <c r="E5" s="43"/>
      <c r="F5" s="43"/>
      <c r="G5" s="43"/>
    </row>
    <row r="6" spans="1:7" s="42" customFormat="1">
      <c r="A6" s="229" t="s">
        <v>68</v>
      </c>
      <c r="B6" s="229"/>
      <c r="C6" s="229"/>
      <c r="D6" s="229"/>
      <c r="E6" s="45"/>
      <c r="F6" s="45"/>
      <c r="G6" s="45"/>
    </row>
    <row r="7" spans="1:7" s="42" customFormat="1">
      <c r="A7" s="43" t="s">
        <v>69</v>
      </c>
      <c r="B7" s="43"/>
      <c r="C7" s="46"/>
      <c r="D7" s="43"/>
      <c r="E7" s="43"/>
      <c r="F7" s="43"/>
      <c r="G7" s="43"/>
    </row>
    <row r="8" spans="1:7" s="42" customFormat="1">
      <c r="A8" s="43"/>
      <c r="B8" s="41"/>
      <c r="C8" s="41"/>
      <c r="D8" s="41"/>
      <c r="E8" s="41"/>
      <c r="F8" s="41"/>
      <c r="G8" s="41"/>
    </row>
    <row r="9" spans="1:7" ht="15">
      <c r="A9" s="230" t="s">
        <v>70</v>
      </c>
      <c r="B9" s="230"/>
      <c r="C9" s="230"/>
      <c r="D9" s="230"/>
    </row>
    <row r="11" spans="1:7" s="49" customFormat="1" ht="25.5">
      <c r="A11" s="47" t="s">
        <v>31</v>
      </c>
      <c r="B11" s="47" t="s">
        <v>71</v>
      </c>
      <c r="C11" s="47" t="s">
        <v>72</v>
      </c>
      <c r="D11" s="48" t="s">
        <v>73</v>
      </c>
    </row>
    <row r="12" spans="1:7">
      <c r="A12" s="50">
        <v>1</v>
      </c>
      <c r="B12" s="51" t="s">
        <v>74</v>
      </c>
      <c r="C12" s="50" t="s">
        <v>75</v>
      </c>
      <c r="D12" s="50" t="s">
        <v>76</v>
      </c>
    </row>
    <row r="13" spans="1:7">
      <c r="A13" s="50">
        <v>2</v>
      </c>
      <c r="B13" s="51" t="s">
        <v>77</v>
      </c>
      <c r="C13" s="50">
        <v>64.67</v>
      </c>
      <c r="D13" s="50" t="s">
        <v>78</v>
      </c>
    </row>
    <row r="14" spans="1:7">
      <c r="A14" s="50">
        <v>3</v>
      </c>
      <c r="B14" s="51" t="s">
        <v>79</v>
      </c>
      <c r="C14" s="52">
        <f>'[1]SPEC.GRAVITY-1 '!F21</f>
        <v>1.0164646178382051</v>
      </c>
      <c r="D14" s="50" t="s">
        <v>80</v>
      </c>
    </row>
    <row r="15" spans="1:7">
      <c r="A15" s="50">
        <v>4</v>
      </c>
      <c r="B15" s="51" t="s">
        <v>81</v>
      </c>
      <c r="C15" s="53">
        <f>[1]AIV!F29</f>
        <v>12.622250050765912</v>
      </c>
      <c r="D15" s="50" t="s">
        <v>82</v>
      </c>
    </row>
    <row r="16" spans="1:7">
      <c r="A16" s="50">
        <v>5</v>
      </c>
      <c r="B16" s="51" t="s">
        <v>83</v>
      </c>
      <c r="C16" s="53">
        <f>[1]F.I.E.I.!D32</f>
        <v>38.479563345835366</v>
      </c>
      <c r="D16" s="50" t="s">
        <v>82</v>
      </c>
    </row>
    <row r="17" spans="1:6">
      <c r="A17" s="50">
        <v>6</v>
      </c>
      <c r="B17" s="51" t="s">
        <v>84</v>
      </c>
      <c r="C17" s="53">
        <f>[1]waterabsorption!F22</f>
        <v>0.83405367527837582</v>
      </c>
      <c r="D17" s="50" t="s">
        <v>85</v>
      </c>
    </row>
    <row r="18" spans="1:6">
      <c r="A18" s="50">
        <v>7</v>
      </c>
      <c r="B18" s="51" t="s">
        <v>86</v>
      </c>
      <c r="C18" s="52">
        <f>[1]waterabsorption!F21</f>
        <v>2.8016870522155104</v>
      </c>
      <c r="D18" s="50" t="s">
        <v>80</v>
      </c>
      <c r="F18" s="54"/>
    </row>
    <row r="19" spans="1:6">
      <c r="A19" s="50"/>
      <c r="B19" s="51" t="s">
        <v>87</v>
      </c>
      <c r="C19" s="52">
        <f>'[1]SPEC.GRAVITY-1 '!X21</f>
        <v>2.7700972731657907</v>
      </c>
      <c r="D19" s="50"/>
    </row>
    <row r="20" spans="1:6">
      <c r="A20" s="50">
        <v>8</v>
      </c>
      <c r="B20" s="51" t="s">
        <v>88</v>
      </c>
      <c r="C20" s="52">
        <f>'[1]SPEC.GRAVITY-1 '!R21</f>
        <v>2.8100884205547607</v>
      </c>
      <c r="D20" s="50" t="s">
        <v>80</v>
      </c>
    </row>
    <row r="21" spans="1:6">
      <c r="A21" s="50">
        <v>9</v>
      </c>
      <c r="B21" s="51" t="s">
        <v>89</v>
      </c>
      <c r="C21" s="52">
        <f>'[1]SPEC.GRAVITY-1 '!L21</f>
        <v>2.8061193698152169</v>
      </c>
      <c r="D21" s="50" t="s">
        <v>80</v>
      </c>
    </row>
    <row r="22" spans="1:6">
      <c r="A22" s="50">
        <v>10</v>
      </c>
      <c r="B22" s="51" t="s">
        <v>90</v>
      </c>
      <c r="C22" s="55">
        <v>5</v>
      </c>
      <c r="D22" s="50" t="s">
        <v>91</v>
      </c>
    </row>
    <row r="23" spans="1:6">
      <c r="A23" s="50">
        <v>11</v>
      </c>
      <c r="B23" s="51" t="s">
        <v>92</v>
      </c>
      <c r="C23" s="55">
        <v>2.472</v>
      </c>
      <c r="D23" s="50" t="s">
        <v>80</v>
      </c>
    </row>
    <row r="24" spans="1:6">
      <c r="A24" s="50">
        <v>12</v>
      </c>
      <c r="B24" s="51" t="s">
        <v>93</v>
      </c>
      <c r="C24" s="55">
        <v>1140</v>
      </c>
      <c r="D24" s="50" t="s">
        <v>94</v>
      </c>
    </row>
    <row r="25" spans="1:6">
      <c r="A25" s="50">
        <v>13</v>
      </c>
      <c r="B25" s="51" t="s">
        <v>95</v>
      </c>
      <c r="C25" s="55">
        <v>3.17</v>
      </c>
      <c r="D25" s="50" t="s">
        <v>96</v>
      </c>
    </row>
    <row r="26" spans="1:6">
      <c r="A26" s="50">
        <v>14</v>
      </c>
      <c r="B26" s="51" t="s">
        <v>97</v>
      </c>
      <c r="C26" s="55">
        <v>3.7</v>
      </c>
      <c r="D26" s="50" t="s">
        <v>98</v>
      </c>
    </row>
    <row r="27" spans="1:6">
      <c r="A27" s="50">
        <v>15</v>
      </c>
      <c r="B27" s="51" t="s">
        <v>99</v>
      </c>
      <c r="C27" s="55">
        <v>77</v>
      </c>
      <c r="D27" s="50" t="s">
        <v>100</v>
      </c>
    </row>
    <row r="28" spans="1:6">
      <c r="A28" s="50">
        <v>16</v>
      </c>
      <c r="B28" s="51" t="s">
        <v>101</v>
      </c>
      <c r="C28" s="55"/>
      <c r="D28" s="50" t="s">
        <v>102</v>
      </c>
    </row>
    <row r="31" spans="1:6">
      <c r="A31" s="37"/>
      <c r="B31" s="33" t="s">
        <v>103</v>
      </c>
    </row>
  </sheetData>
  <mergeCells count="5">
    <mergeCell ref="A1:D1"/>
    <mergeCell ref="A2:D2"/>
    <mergeCell ref="A3:D3"/>
    <mergeCell ref="A6:D6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topLeftCell="A7" workbookViewId="0">
      <selection activeCell="P5" sqref="P5"/>
    </sheetView>
  </sheetViews>
  <sheetFormatPr defaultRowHeight="15"/>
  <sheetData>
    <row r="1" spans="1:8">
      <c r="A1" s="231" t="s">
        <v>104</v>
      </c>
      <c r="B1" s="231" t="s">
        <v>105</v>
      </c>
      <c r="C1" s="232" t="s">
        <v>106</v>
      </c>
      <c r="D1" s="232"/>
      <c r="E1" s="231" t="s">
        <v>107</v>
      </c>
    </row>
    <row r="2" spans="1:8">
      <c r="A2" s="231"/>
      <c r="B2" s="231"/>
      <c r="C2" t="s">
        <v>108</v>
      </c>
      <c r="D2" t="s">
        <v>109</v>
      </c>
      <c r="E2" s="231"/>
      <c r="G2">
        <v>26.5</v>
      </c>
      <c r="H2">
        <v>0</v>
      </c>
    </row>
    <row r="3" spans="1:8">
      <c r="A3">
        <v>26.5</v>
      </c>
      <c r="B3" s="56">
        <f>[1]JMF!J6</f>
        <v>100</v>
      </c>
      <c r="C3">
        <v>100</v>
      </c>
      <c r="D3">
        <v>100</v>
      </c>
      <c r="E3">
        <v>100</v>
      </c>
      <c r="G3">
        <v>26.5</v>
      </c>
      <c r="H3">
        <v>110</v>
      </c>
    </row>
    <row r="4" spans="1:8">
      <c r="A4">
        <v>19</v>
      </c>
      <c r="B4" s="56">
        <f>[1]JMF!J7</f>
        <v>100</v>
      </c>
      <c r="C4">
        <v>90</v>
      </c>
      <c r="D4">
        <v>100</v>
      </c>
      <c r="E4">
        <v>95</v>
      </c>
      <c r="G4">
        <v>19</v>
      </c>
      <c r="H4">
        <v>0</v>
      </c>
    </row>
    <row r="5" spans="1:8">
      <c r="A5">
        <v>9.5</v>
      </c>
      <c r="B5" s="56">
        <f>[1]JMF!J8</f>
        <v>79.252384655345409</v>
      </c>
      <c r="C5">
        <v>56</v>
      </c>
      <c r="D5">
        <v>80</v>
      </c>
      <c r="E5">
        <v>68</v>
      </c>
      <c r="G5">
        <v>19</v>
      </c>
      <c r="H5">
        <v>110</v>
      </c>
    </row>
    <row r="6" spans="1:8">
      <c r="A6">
        <v>4.75</v>
      </c>
      <c r="B6" s="56">
        <f>[1]JMF!J9</f>
        <v>45.93956327025181</v>
      </c>
      <c r="C6">
        <v>35</v>
      </c>
      <c r="D6">
        <v>65</v>
      </c>
      <c r="E6">
        <v>50</v>
      </c>
      <c r="G6">
        <v>9.5</v>
      </c>
      <c r="H6">
        <v>0</v>
      </c>
    </row>
    <row r="7" spans="1:8">
      <c r="A7">
        <v>2.36</v>
      </c>
      <c r="B7" s="56">
        <f>[1]JMF!J10</f>
        <v>34.518094086299129</v>
      </c>
      <c r="C7">
        <v>23</v>
      </c>
      <c r="D7">
        <v>49</v>
      </c>
      <c r="E7">
        <v>36</v>
      </c>
      <c r="G7">
        <v>9.5</v>
      </c>
      <c r="H7">
        <v>110</v>
      </c>
    </row>
    <row r="8" spans="1:8">
      <c r="A8">
        <v>0.3</v>
      </c>
      <c r="B8" s="56">
        <f>[1]JMF!J11</f>
        <v>10.635680060670314</v>
      </c>
      <c r="C8">
        <v>5</v>
      </c>
      <c r="D8">
        <v>19</v>
      </c>
      <c r="E8">
        <v>12</v>
      </c>
      <c r="G8">
        <v>4.75</v>
      </c>
      <c r="H8">
        <v>0</v>
      </c>
    </row>
    <row r="9" spans="1:8">
      <c r="A9">
        <v>7.4999999999999997E-2</v>
      </c>
      <c r="B9" s="56">
        <f>[1]JMF!J12</f>
        <v>1.1987273986839992</v>
      </c>
      <c r="C9">
        <v>2</v>
      </c>
      <c r="D9">
        <v>8</v>
      </c>
      <c r="E9">
        <v>5</v>
      </c>
      <c r="G9">
        <v>4.75</v>
      </c>
      <c r="H9">
        <v>110</v>
      </c>
    </row>
    <row r="10" spans="1:8">
      <c r="G10">
        <v>2.36</v>
      </c>
      <c r="H10">
        <v>0</v>
      </c>
    </row>
    <row r="11" spans="1:8">
      <c r="G11">
        <v>2.36</v>
      </c>
      <c r="H11">
        <v>110</v>
      </c>
    </row>
    <row r="12" spans="1:8">
      <c r="G12">
        <v>0.3</v>
      </c>
      <c r="H12">
        <v>0</v>
      </c>
    </row>
    <row r="13" spans="1:8">
      <c r="G13">
        <v>0.3</v>
      </c>
      <c r="H13">
        <v>110</v>
      </c>
    </row>
    <row r="14" spans="1:8">
      <c r="G14">
        <v>7.4999999999999997E-2</v>
      </c>
      <c r="H14">
        <v>0</v>
      </c>
    </row>
    <row r="15" spans="1:8">
      <c r="G15">
        <v>7.4999999999999997E-2</v>
      </c>
      <c r="H15">
        <v>110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6"/>
  <sheetViews>
    <sheetView workbookViewId="0">
      <selection activeCell="V18" sqref="V18"/>
    </sheetView>
  </sheetViews>
  <sheetFormatPr defaultRowHeight="12.75"/>
  <cols>
    <col min="1" max="9" width="9.140625" style="58"/>
    <col min="10" max="10" width="9.5703125" style="58" bestFit="1" customWidth="1"/>
    <col min="11" max="16384" width="9.140625" style="58"/>
  </cols>
  <sheetData>
    <row r="1" spans="1:22" ht="18">
      <c r="A1" s="57" t="s">
        <v>110</v>
      </c>
    </row>
    <row r="2" spans="1:22" ht="13.5" thickBot="1"/>
    <row r="3" spans="1:22">
      <c r="A3" s="233" t="s">
        <v>104</v>
      </c>
      <c r="B3" s="235" t="s">
        <v>49</v>
      </c>
      <c r="C3" s="236"/>
      <c r="D3" s="237"/>
      <c r="E3" s="238"/>
      <c r="F3" s="235" t="s">
        <v>111</v>
      </c>
      <c r="G3" s="237"/>
      <c r="H3" s="237"/>
      <c r="I3" s="237"/>
      <c r="J3" s="238"/>
      <c r="K3" s="235" t="s">
        <v>112</v>
      </c>
      <c r="L3" s="237"/>
      <c r="M3" s="237"/>
      <c r="N3" s="237"/>
      <c r="O3" s="238"/>
      <c r="P3" s="235" t="s">
        <v>113</v>
      </c>
      <c r="Q3" s="237"/>
      <c r="R3" s="237"/>
      <c r="S3" s="237"/>
      <c r="T3" s="238"/>
      <c r="U3" s="246" t="s">
        <v>114</v>
      </c>
      <c r="V3" s="239" t="s">
        <v>106</v>
      </c>
    </row>
    <row r="4" spans="1:22">
      <c r="A4" s="234"/>
      <c r="B4" s="241" t="s">
        <v>13</v>
      </c>
      <c r="C4" s="242" t="s">
        <v>115</v>
      </c>
      <c r="D4" s="244" t="s">
        <v>116</v>
      </c>
      <c r="E4" s="245" t="s">
        <v>117</v>
      </c>
      <c r="F4" s="59" t="s">
        <v>13</v>
      </c>
      <c r="G4" s="60" t="s">
        <v>115</v>
      </c>
      <c r="H4" s="60" t="s">
        <v>116</v>
      </c>
      <c r="I4" s="60" t="s">
        <v>117</v>
      </c>
      <c r="J4" s="61" t="s">
        <v>118</v>
      </c>
      <c r="K4" s="59" t="s">
        <v>119</v>
      </c>
      <c r="L4" s="60" t="s">
        <v>115</v>
      </c>
      <c r="M4" s="60" t="s">
        <v>116</v>
      </c>
      <c r="N4" s="60" t="s">
        <v>117</v>
      </c>
      <c r="O4" s="61" t="s">
        <v>118</v>
      </c>
      <c r="P4" s="59" t="s">
        <v>119</v>
      </c>
      <c r="Q4" s="60" t="s">
        <v>115</v>
      </c>
      <c r="R4" s="60" t="s">
        <v>116</v>
      </c>
      <c r="S4" s="60" t="s">
        <v>117</v>
      </c>
      <c r="T4" s="61" t="s">
        <v>118</v>
      </c>
      <c r="U4" s="247"/>
      <c r="V4" s="240"/>
    </row>
    <row r="5" spans="1:22">
      <c r="A5" s="234"/>
      <c r="B5" s="241"/>
      <c r="C5" s="243"/>
      <c r="D5" s="244"/>
      <c r="E5" s="245"/>
      <c r="F5" s="62">
        <v>33</v>
      </c>
      <c r="G5" s="63">
        <v>16</v>
      </c>
      <c r="H5" s="63">
        <v>20</v>
      </c>
      <c r="I5" s="63">
        <v>31</v>
      </c>
      <c r="J5" s="64">
        <f>SUM(F5:I5)</f>
        <v>100</v>
      </c>
      <c r="K5" s="62">
        <v>22</v>
      </c>
      <c r="L5" s="63">
        <v>30</v>
      </c>
      <c r="M5" s="63">
        <v>22</v>
      </c>
      <c r="N5" s="63">
        <v>26</v>
      </c>
      <c r="O5" s="64">
        <f>SUM(K5:N5)</f>
        <v>100</v>
      </c>
      <c r="P5" s="62">
        <v>30</v>
      </c>
      <c r="Q5" s="63">
        <v>19</v>
      </c>
      <c r="R5" s="63">
        <v>22</v>
      </c>
      <c r="S5" s="63">
        <v>29</v>
      </c>
      <c r="T5" s="64">
        <f>SUM(P5:S5)</f>
        <v>100</v>
      </c>
      <c r="U5" s="247"/>
      <c r="V5" s="240"/>
    </row>
    <row r="6" spans="1:22" s="75" customFormat="1" ht="39" customHeight="1">
      <c r="A6" s="65" t="str">
        <f>'[1]Grain Size-agg.'!A14</f>
        <v>26.5 mm</v>
      </c>
      <c r="B6" s="66">
        <f>'[1]Grain Size-agg.'!E14</f>
        <v>100</v>
      </c>
      <c r="C6" s="67">
        <f>'[1]Grain Size-agg.'!K14</f>
        <v>100</v>
      </c>
      <c r="D6" s="68">
        <f>'[1]Grain Size-agg.'!Q14</f>
        <v>100</v>
      </c>
      <c r="E6" s="69">
        <f>'[1]Grain Size-agg.'!W14</f>
        <v>100</v>
      </c>
      <c r="F6" s="70">
        <f>B6*F5/100</f>
        <v>33</v>
      </c>
      <c r="G6" s="71">
        <f>C6*G5/100</f>
        <v>16</v>
      </c>
      <c r="H6" s="71">
        <f>D6*H5/100</f>
        <v>20</v>
      </c>
      <c r="I6" s="71">
        <f>E6*I5/100</f>
        <v>31</v>
      </c>
      <c r="J6" s="72">
        <f t="shared" ref="J6:J12" si="0">SUM(F6:I6)</f>
        <v>100</v>
      </c>
      <c r="K6" s="70">
        <f>B6*K5/100</f>
        <v>22</v>
      </c>
      <c r="L6" s="71">
        <f>C6*L5/100</f>
        <v>30</v>
      </c>
      <c r="M6" s="71">
        <f>D6*M5/100</f>
        <v>22</v>
      </c>
      <c r="N6" s="71">
        <f>E6*N5/100</f>
        <v>26</v>
      </c>
      <c r="O6" s="72">
        <f t="shared" ref="O6:O12" si="1">SUM(K6:N6)</f>
        <v>100</v>
      </c>
      <c r="P6" s="70">
        <f>B6*P5/100</f>
        <v>30</v>
      </c>
      <c r="Q6" s="71">
        <f>C6*Q5/100</f>
        <v>19</v>
      </c>
      <c r="R6" s="71">
        <f>D6*R5/100</f>
        <v>22</v>
      </c>
      <c r="S6" s="71">
        <f>E6*S5/100</f>
        <v>29</v>
      </c>
      <c r="T6" s="72">
        <f t="shared" ref="T6:T12" si="2">SUM(P6:S6)</f>
        <v>100</v>
      </c>
      <c r="U6" s="73"/>
      <c r="V6" s="74">
        <v>100</v>
      </c>
    </row>
    <row r="7" spans="1:22" s="75" customFormat="1" ht="39" customHeight="1">
      <c r="A7" s="65" t="str">
        <f>'[1]Grain Size-agg.'!A15</f>
        <v>19 mm</v>
      </c>
      <c r="B7" s="66">
        <f>'[1]Grain Size-agg.'!E15</f>
        <v>100</v>
      </c>
      <c r="C7" s="67">
        <f>'[1]Grain Size-agg.'!K15</f>
        <v>100</v>
      </c>
      <c r="D7" s="68">
        <f>'[1]Grain Size-agg.'!Q15</f>
        <v>100</v>
      </c>
      <c r="E7" s="69">
        <f>'[1]Grain Size-agg.'!W15</f>
        <v>100</v>
      </c>
      <c r="F7" s="70">
        <f t="shared" ref="F7:I12" si="3">B7*F6/100</f>
        <v>33</v>
      </c>
      <c r="G7" s="71">
        <f t="shared" si="3"/>
        <v>16</v>
      </c>
      <c r="H7" s="71">
        <f t="shared" si="3"/>
        <v>20</v>
      </c>
      <c r="I7" s="71">
        <f t="shared" si="3"/>
        <v>31</v>
      </c>
      <c r="J7" s="72">
        <f t="shared" si="0"/>
        <v>100</v>
      </c>
      <c r="K7" s="70">
        <f t="shared" ref="K7:N12" si="4">B7*K6/100</f>
        <v>22</v>
      </c>
      <c r="L7" s="71">
        <f t="shared" si="4"/>
        <v>30</v>
      </c>
      <c r="M7" s="71">
        <f t="shared" si="4"/>
        <v>22</v>
      </c>
      <c r="N7" s="71">
        <f t="shared" si="4"/>
        <v>26</v>
      </c>
      <c r="O7" s="72">
        <f t="shared" si="1"/>
        <v>100</v>
      </c>
      <c r="P7" s="70">
        <f t="shared" ref="P7:S12" si="5">B7*P6/100</f>
        <v>30</v>
      </c>
      <c r="Q7" s="71">
        <f t="shared" si="5"/>
        <v>19</v>
      </c>
      <c r="R7" s="71">
        <f t="shared" si="5"/>
        <v>22</v>
      </c>
      <c r="S7" s="71">
        <f t="shared" si="5"/>
        <v>29</v>
      </c>
      <c r="T7" s="72">
        <f t="shared" si="2"/>
        <v>100</v>
      </c>
      <c r="U7" s="76">
        <v>95</v>
      </c>
      <c r="V7" s="74" t="s">
        <v>120</v>
      </c>
    </row>
    <row r="8" spans="1:22" s="75" customFormat="1" ht="39" customHeight="1">
      <c r="A8" s="65" t="str">
        <f>'[1]Grain Size-agg.'!A16</f>
        <v>9.5 mm</v>
      </c>
      <c r="B8" s="66">
        <f>'[1]Grain Size-agg.'!E16</f>
        <v>48.429510591672752</v>
      </c>
      <c r="C8" s="67">
        <f>'[1]Grain Size-agg.'!K16</f>
        <v>76.691538500583732</v>
      </c>
      <c r="D8" s="68">
        <f>'[1]Grain Size-agg.'!Q16</f>
        <v>100</v>
      </c>
      <c r="E8" s="69">
        <f>'[1]Grain Size-agg.'!W16</f>
        <v>100</v>
      </c>
      <c r="F8" s="70">
        <f t="shared" si="3"/>
        <v>15.98173849525201</v>
      </c>
      <c r="G8" s="71">
        <f t="shared" si="3"/>
        <v>12.270646160093397</v>
      </c>
      <c r="H8" s="71">
        <f t="shared" si="3"/>
        <v>20</v>
      </c>
      <c r="I8" s="71">
        <f t="shared" si="3"/>
        <v>31</v>
      </c>
      <c r="J8" s="221">
        <f t="shared" si="0"/>
        <v>79.252384655345409</v>
      </c>
      <c r="K8" s="70">
        <f t="shared" si="4"/>
        <v>10.654492330168004</v>
      </c>
      <c r="L8" s="71">
        <f t="shared" si="4"/>
        <v>23.007461550175123</v>
      </c>
      <c r="M8" s="71">
        <f t="shared" si="4"/>
        <v>22</v>
      </c>
      <c r="N8" s="71">
        <f t="shared" si="4"/>
        <v>26</v>
      </c>
      <c r="O8" s="221">
        <f t="shared" si="1"/>
        <v>81.661953880343134</v>
      </c>
      <c r="P8" s="70">
        <f t="shared" si="5"/>
        <v>14.528853177501826</v>
      </c>
      <c r="Q8" s="71">
        <f t="shared" si="5"/>
        <v>14.571392315110909</v>
      </c>
      <c r="R8" s="71">
        <f t="shared" si="5"/>
        <v>22</v>
      </c>
      <c r="S8" s="71">
        <f t="shared" si="5"/>
        <v>29</v>
      </c>
      <c r="T8" s="221">
        <f t="shared" si="2"/>
        <v>80.100245492612743</v>
      </c>
      <c r="U8" s="76">
        <v>68</v>
      </c>
      <c r="V8" s="74" t="s">
        <v>121</v>
      </c>
    </row>
    <row r="9" spans="1:22" s="75" customFormat="1" ht="39" customHeight="1">
      <c r="A9" s="65" t="str">
        <f>'[1]Grain Size-agg.'!A17</f>
        <v>4.75 mm</v>
      </c>
      <c r="B9" s="66">
        <f>'[1]Grain Size-agg.'!E17</f>
        <v>4.6018991964937896</v>
      </c>
      <c r="C9" s="67">
        <f>'[1]Grain Size-agg.'!K17</f>
        <v>5.7205218009238052</v>
      </c>
      <c r="D9" s="68">
        <f>'[1]Grain Size-agg.'!Q17</f>
        <v>67.82077393075356</v>
      </c>
      <c r="E9" s="69">
        <f>'[1]Grain Size-agg.'!W17</f>
        <v>99.8</v>
      </c>
      <c r="F9" s="70">
        <f t="shared" si="3"/>
        <v>0.7354634953987409</v>
      </c>
      <c r="G9" s="71">
        <f t="shared" si="3"/>
        <v>0.70194498870236255</v>
      </c>
      <c r="H9" s="71">
        <f t="shared" si="3"/>
        <v>13.564154786150711</v>
      </c>
      <c r="I9" s="71">
        <f t="shared" si="3"/>
        <v>30.937999999999999</v>
      </c>
      <c r="J9" s="221">
        <f t="shared" si="0"/>
        <v>45.93956327025181</v>
      </c>
      <c r="K9" s="70">
        <f t="shared" si="4"/>
        <v>0.4903089969324938</v>
      </c>
      <c r="L9" s="71">
        <f t="shared" si="4"/>
        <v>1.3161468538169299</v>
      </c>
      <c r="M9" s="71">
        <f t="shared" si="4"/>
        <v>14.920570264765784</v>
      </c>
      <c r="N9" s="71">
        <f t="shared" si="4"/>
        <v>25.947999999999997</v>
      </c>
      <c r="O9" s="221">
        <f t="shared" si="1"/>
        <v>42.675026115515209</v>
      </c>
      <c r="P9" s="70">
        <f t="shared" si="5"/>
        <v>0.66860317763521893</v>
      </c>
      <c r="Q9" s="71">
        <f t="shared" si="5"/>
        <v>0.83355967408405562</v>
      </c>
      <c r="R9" s="71">
        <f t="shared" si="5"/>
        <v>14.920570264765784</v>
      </c>
      <c r="S9" s="71">
        <f t="shared" si="5"/>
        <v>28.941999999999997</v>
      </c>
      <c r="T9" s="221">
        <f t="shared" si="2"/>
        <v>45.364733116485056</v>
      </c>
      <c r="U9" s="76">
        <v>50</v>
      </c>
      <c r="V9" s="74" t="s">
        <v>122</v>
      </c>
    </row>
    <row r="10" spans="1:22" s="75" customFormat="1" ht="39" customHeight="1">
      <c r="A10" s="65" t="str">
        <f>'[1]Grain Size-agg.'!A18</f>
        <v>2.36 mm</v>
      </c>
      <c r="B10" s="66">
        <f>'[1]Grain Size-agg.'!E18</f>
        <v>0.32870708546384719</v>
      </c>
      <c r="C10" s="67">
        <f>'[1]Grain Size-agg.'!K18</f>
        <v>0.33500837520938376</v>
      </c>
      <c r="D10" s="68">
        <f>'[1]Grain Size-agg.'!Q18</f>
        <v>28.411405295315689</v>
      </c>
      <c r="E10" s="69">
        <f>'[1]Grain Size-agg.'!W18</f>
        <v>99.1</v>
      </c>
      <c r="F10" s="70">
        <f t="shared" si="3"/>
        <v>2.4175206203757372E-3</v>
      </c>
      <c r="G10" s="71">
        <f t="shared" si="3"/>
        <v>2.3515745015154771E-3</v>
      </c>
      <c r="H10" s="71">
        <f t="shared" si="3"/>
        <v>3.8537669911772396</v>
      </c>
      <c r="I10" s="71">
        <f t="shared" si="3"/>
        <v>30.659557999999997</v>
      </c>
      <c r="J10" s="221">
        <f t="shared" si="0"/>
        <v>34.518094086299129</v>
      </c>
      <c r="K10" s="70">
        <f t="shared" si="4"/>
        <v>1.6116804135838242E-3</v>
      </c>
      <c r="L10" s="71">
        <f t="shared" si="4"/>
        <v>4.4092021903415204E-3</v>
      </c>
      <c r="M10" s="71">
        <f t="shared" si="4"/>
        <v>4.2391436902949637</v>
      </c>
      <c r="N10" s="71">
        <f t="shared" si="4"/>
        <v>25.714467999999997</v>
      </c>
      <c r="O10" s="221">
        <f t="shared" si="1"/>
        <v>29.959632572898887</v>
      </c>
      <c r="P10" s="70">
        <f t="shared" si="5"/>
        <v>2.1977460185233972E-3</v>
      </c>
      <c r="Q10" s="71">
        <f t="shared" si="5"/>
        <v>2.792494720549629E-3</v>
      </c>
      <c r="R10" s="71">
        <f t="shared" si="5"/>
        <v>4.2391436902949637</v>
      </c>
      <c r="S10" s="71">
        <f t="shared" si="5"/>
        <v>28.681521999999994</v>
      </c>
      <c r="T10" s="221">
        <f t="shared" si="2"/>
        <v>32.925655931034029</v>
      </c>
      <c r="U10" s="76">
        <v>36</v>
      </c>
      <c r="V10" s="74" t="s">
        <v>123</v>
      </c>
    </row>
    <row r="11" spans="1:22" s="75" customFormat="1" ht="39" customHeight="1">
      <c r="A11" s="65" t="str">
        <f>'[1]Grain Size-agg.'!A19</f>
        <v>300 m</v>
      </c>
      <c r="B11" s="66">
        <f>'[1]Grain Size-agg.'!E19</f>
        <v>0</v>
      </c>
      <c r="C11" s="67">
        <f>'[1]Grain Size-agg.'!K19</f>
        <v>9.1365920511648824E-2</v>
      </c>
      <c r="D11" s="68">
        <f>'[1]Grain Size-agg.'!Q19</f>
        <v>0.71283095723013901</v>
      </c>
      <c r="E11" s="69">
        <f>'[1]Grain Size-agg.'!W19</f>
        <v>34.599999999999994</v>
      </c>
      <c r="F11" s="70">
        <f t="shared" si="3"/>
        <v>0</v>
      </c>
      <c r="G11" s="71">
        <f t="shared" si="3"/>
        <v>2.148537689826833E-6</v>
      </c>
      <c r="H11" s="71">
        <f t="shared" si="3"/>
        <v>2.7470844132627844E-2</v>
      </c>
      <c r="I11" s="71">
        <f t="shared" si="3"/>
        <v>10.608207067999997</v>
      </c>
      <c r="J11" s="221">
        <f t="shared" si="0"/>
        <v>10.635680060670314</v>
      </c>
      <c r="K11" s="70">
        <f t="shared" si="4"/>
        <v>0</v>
      </c>
      <c r="L11" s="71">
        <f t="shared" si="4"/>
        <v>4.0285081684253126E-6</v>
      </c>
      <c r="M11" s="71">
        <f t="shared" si="4"/>
        <v>3.0217928545890629E-2</v>
      </c>
      <c r="N11" s="71">
        <f t="shared" si="4"/>
        <v>8.8972059279999982</v>
      </c>
      <c r="O11" s="221">
        <f t="shared" si="1"/>
        <v>8.9274278850540565</v>
      </c>
      <c r="P11" s="70">
        <f t="shared" si="5"/>
        <v>0</v>
      </c>
      <c r="Q11" s="71">
        <f t="shared" si="5"/>
        <v>2.5513885066693638E-6</v>
      </c>
      <c r="R11" s="71">
        <f t="shared" si="5"/>
        <v>3.0217928545890629E-2</v>
      </c>
      <c r="S11" s="71">
        <f t="shared" si="5"/>
        <v>9.9238066119999964</v>
      </c>
      <c r="T11" s="221">
        <f t="shared" si="2"/>
        <v>9.9540270919343943</v>
      </c>
      <c r="U11" s="76">
        <v>12</v>
      </c>
      <c r="V11" s="77" t="s">
        <v>124</v>
      </c>
    </row>
    <row r="12" spans="1:22" s="75" customFormat="1" ht="39" customHeight="1" thickBot="1">
      <c r="A12" s="78" t="str">
        <f>'[1]Grain Size-agg.'!A20</f>
        <v>75 m</v>
      </c>
      <c r="B12" s="79">
        <f>'[1]Grain Size-agg.'!E20</f>
        <v>0</v>
      </c>
      <c r="C12" s="80">
        <f>'[1]Grain Size-agg.'!K20</f>
        <v>0</v>
      </c>
      <c r="D12" s="81">
        <f>'[1]Grain Size-agg.'!Q20</f>
        <v>0</v>
      </c>
      <c r="E12" s="82">
        <f>'[1]Grain Size-agg.'!W20</f>
        <v>11.299999999999997</v>
      </c>
      <c r="F12" s="83">
        <f t="shared" si="3"/>
        <v>0</v>
      </c>
      <c r="G12" s="84">
        <f t="shared" si="3"/>
        <v>0</v>
      </c>
      <c r="H12" s="84">
        <f t="shared" si="3"/>
        <v>0</v>
      </c>
      <c r="I12" s="84">
        <f t="shared" si="3"/>
        <v>1.1987273986839992</v>
      </c>
      <c r="J12" s="222">
        <f t="shared" si="0"/>
        <v>1.1987273986839992</v>
      </c>
      <c r="K12" s="83">
        <f t="shared" si="4"/>
        <v>0</v>
      </c>
      <c r="L12" s="84">
        <f t="shared" si="4"/>
        <v>0</v>
      </c>
      <c r="M12" s="84">
        <f t="shared" si="4"/>
        <v>0</v>
      </c>
      <c r="N12" s="84">
        <f t="shared" si="4"/>
        <v>1.0053842698639996</v>
      </c>
      <c r="O12" s="222">
        <f t="shared" si="1"/>
        <v>1.0053842698639996</v>
      </c>
      <c r="P12" s="83">
        <f t="shared" si="5"/>
        <v>0</v>
      </c>
      <c r="Q12" s="84">
        <f t="shared" si="5"/>
        <v>0</v>
      </c>
      <c r="R12" s="84">
        <f t="shared" si="5"/>
        <v>0</v>
      </c>
      <c r="S12" s="84">
        <f t="shared" si="5"/>
        <v>1.1213901471559993</v>
      </c>
      <c r="T12" s="222">
        <f t="shared" si="2"/>
        <v>1.1213901471559993</v>
      </c>
      <c r="U12" s="85">
        <v>5</v>
      </c>
      <c r="V12" s="86" t="s">
        <v>125</v>
      </c>
    </row>
    <row r="13" spans="1:22">
      <c r="B13" s="87"/>
      <c r="C13" s="87"/>
      <c r="D13" s="87"/>
      <c r="E13" s="87"/>
    </row>
    <row r="14" spans="1:22">
      <c r="A14" s="88" t="s">
        <v>126</v>
      </c>
    </row>
    <row r="16" spans="1:22" ht="15.75">
      <c r="A16" s="89" t="s">
        <v>127</v>
      </c>
      <c r="B16" s="90" t="s">
        <v>128</v>
      </c>
      <c r="C16" s="90"/>
    </row>
  </sheetData>
  <mergeCells count="11">
    <mergeCell ref="V3:V5"/>
    <mergeCell ref="B4:B5"/>
    <mergeCell ref="C4:C5"/>
    <mergeCell ref="D4:D5"/>
    <mergeCell ref="E4:E5"/>
    <mergeCell ref="U3:U5"/>
    <mergeCell ref="A3:A5"/>
    <mergeCell ref="B3:E3"/>
    <mergeCell ref="F3:J3"/>
    <mergeCell ref="K3:O3"/>
    <mergeCell ref="P3:T3"/>
  </mergeCells>
  <conditionalFormatting sqref="O5:O6 J5:J6 T5:T6">
    <cfRule type="cellIs" dxfId="6" priority="7" stopIfTrue="1" operator="notEqual">
      <formula>100</formula>
    </cfRule>
  </conditionalFormatting>
  <conditionalFormatting sqref="J7 O7 T7">
    <cfRule type="cellIs" dxfId="5" priority="6" stopIfTrue="1" operator="notBetween">
      <formula>100</formula>
      <formula>90</formula>
    </cfRule>
  </conditionalFormatting>
  <conditionalFormatting sqref="J8 O8 T8">
    <cfRule type="cellIs" dxfId="4" priority="5" stopIfTrue="1" operator="notBetween">
      <formula>56</formula>
      <formula>80</formula>
    </cfRule>
  </conditionalFormatting>
  <conditionalFormatting sqref="J9 O9 T9">
    <cfRule type="cellIs" dxfId="3" priority="4" stopIfTrue="1" operator="notBetween">
      <formula>35</formula>
      <formula>65</formula>
    </cfRule>
  </conditionalFormatting>
  <conditionalFormatting sqref="J10 O10 T10">
    <cfRule type="cellIs" dxfId="2" priority="3" stopIfTrue="1" operator="notBetween">
      <formula>23</formula>
      <formula>49</formula>
    </cfRule>
  </conditionalFormatting>
  <conditionalFormatting sqref="J11 O11 T11">
    <cfRule type="cellIs" dxfId="1" priority="2" stopIfTrue="1" operator="notBetween">
      <formula>5</formula>
      <formula>19</formula>
    </cfRule>
  </conditionalFormatting>
  <conditionalFormatting sqref="J12 O12 T12">
    <cfRule type="cellIs" dxfId="0" priority="1" stopIfTrue="1" operator="notBetween">
      <formula>2</formula>
      <formula>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H65" sqref="H65"/>
    </sheetView>
  </sheetViews>
  <sheetFormatPr defaultRowHeight="12.75"/>
  <cols>
    <col min="1" max="1" width="6" style="58" customWidth="1"/>
    <col min="2" max="2" width="8.140625" style="58" customWidth="1"/>
    <col min="3" max="3" width="7.5703125" style="58" customWidth="1"/>
    <col min="4" max="4" width="8.140625" style="58" customWidth="1"/>
    <col min="5" max="17" width="7.42578125" style="58" customWidth="1"/>
    <col min="18" max="16384" width="9.140625" style="58"/>
  </cols>
  <sheetData>
    <row r="1" spans="1:17" ht="16.5">
      <c r="A1" s="248" t="s">
        <v>129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3" spans="1:17" s="42" customFormat="1">
      <c r="A3" s="91" t="s">
        <v>130</v>
      </c>
      <c r="D3" s="92">
        <f>AVERAGE('[1]Cover Page'!C18:C21)</f>
        <v>2.79699802893782</v>
      </c>
      <c r="F3" s="91" t="s">
        <v>131</v>
      </c>
      <c r="I3" s="92">
        <f>'[1]Cover Page'!C14</f>
        <v>1.0164646178382051</v>
      </c>
      <c r="L3" s="249" t="s">
        <v>132</v>
      </c>
      <c r="M3" s="249"/>
      <c r="N3" s="249"/>
      <c r="O3" s="93">
        <v>6.65</v>
      </c>
    </row>
    <row r="4" spans="1:17" ht="13.5" thickBot="1">
      <c r="D4" s="94"/>
      <c r="I4" s="94"/>
    </row>
    <row r="5" spans="1:17" s="95" customFormat="1" ht="12">
      <c r="A5" s="246" t="s">
        <v>133</v>
      </c>
      <c r="B5" s="251" t="s">
        <v>134</v>
      </c>
      <c r="C5" s="251" t="s">
        <v>135</v>
      </c>
      <c r="D5" s="251" t="s">
        <v>136</v>
      </c>
      <c r="E5" s="251" t="s">
        <v>137</v>
      </c>
      <c r="F5" s="251"/>
      <c r="G5" s="251"/>
      <c r="H5" s="251" t="s">
        <v>138</v>
      </c>
      <c r="I5" s="251" t="s">
        <v>139</v>
      </c>
      <c r="J5" s="251" t="s">
        <v>140</v>
      </c>
      <c r="K5" s="251" t="s">
        <v>101</v>
      </c>
      <c r="L5" s="251" t="s">
        <v>99</v>
      </c>
      <c r="M5" s="251" t="s">
        <v>141</v>
      </c>
      <c r="N5" s="251"/>
      <c r="O5" s="251"/>
      <c r="P5" s="251"/>
      <c r="Q5" s="239" t="s">
        <v>142</v>
      </c>
    </row>
    <row r="6" spans="1:17" s="98" customFormat="1" ht="32.25" thickBot="1">
      <c r="A6" s="250"/>
      <c r="B6" s="252"/>
      <c r="C6" s="252"/>
      <c r="D6" s="252"/>
      <c r="E6" s="96" t="s">
        <v>143</v>
      </c>
      <c r="F6" s="96" t="s">
        <v>144</v>
      </c>
      <c r="G6" s="96" t="s">
        <v>145</v>
      </c>
      <c r="H6" s="252"/>
      <c r="I6" s="252"/>
      <c r="J6" s="252"/>
      <c r="K6" s="252"/>
      <c r="L6" s="252"/>
      <c r="M6" s="97" t="s">
        <v>146</v>
      </c>
      <c r="N6" s="97" t="s">
        <v>147</v>
      </c>
      <c r="O6" s="97" t="s">
        <v>148</v>
      </c>
      <c r="P6" s="97" t="s">
        <v>149</v>
      </c>
      <c r="Q6" s="254"/>
    </row>
    <row r="7" spans="1:17" ht="22.5" customHeight="1">
      <c r="A7" s="99">
        <v>1</v>
      </c>
      <c r="B7" s="100">
        <f>100-C7</f>
        <v>95.75</v>
      </c>
      <c r="C7" s="101">
        <v>4.25</v>
      </c>
      <c r="D7" s="102">
        <f>100/((B7/$D$3)+(C7/$I$3))</f>
        <v>2.6031979351970094</v>
      </c>
      <c r="E7" s="103">
        <v>1218</v>
      </c>
      <c r="F7" s="103">
        <v>723.5</v>
      </c>
      <c r="G7" s="103">
        <v>1220</v>
      </c>
      <c r="H7" s="104">
        <f>G7-F7</f>
        <v>496.5</v>
      </c>
      <c r="I7" s="102">
        <f>E7/H7</f>
        <v>2.4531722054380665</v>
      </c>
      <c r="J7" s="105"/>
      <c r="K7" s="105"/>
      <c r="L7" s="105"/>
      <c r="M7" s="106">
        <v>150</v>
      </c>
      <c r="N7" s="107">
        <f>M7*$O$3</f>
        <v>997.5</v>
      </c>
      <c r="O7" s="108" t="str">
        <f>IF((H7)&lt;471,"1.19",IF((H7)&lt;483,"1.14",IF((H7)&lt;496,"1.09",IF((H7)&lt;509,"1.04",IF((H7)&lt;523,"1",IF((H7)&lt;536,"0.96",IF((H7)&lt;547,"0.93",IF((H7)&lt;560,"0.89","FALSE"))))))))</f>
        <v>1.04</v>
      </c>
      <c r="P7" s="107">
        <f>N7*O7</f>
        <v>1037.4000000000001</v>
      </c>
      <c r="Q7" s="109">
        <v>2.8</v>
      </c>
    </row>
    <row r="8" spans="1:17" ht="22.5" customHeight="1">
      <c r="A8" s="76"/>
      <c r="B8" s="71"/>
      <c r="C8" s="71"/>
      <c r="D8" s="110"/>
      <c r="E8" s="111">
        <v>1243.5</v>
      </c>
      <c r="F8" s="111">
        <v>738.5</v>
      </c>
      <c r="G8" s="111">
        <v>1245.5</v>
      </c>
      <c r="H8" s="112">
        <f>G8-F8</f>
        <v>507</v>
      </c>
      <c r="I8" s="110">
        <f>E8/H8</f>
        <v>2.4526627218934913</v>
      </c>
      <c r="J8" s="113"/>
      <c r="K8" s="113"/>
      <c r="L8" s="113"/>
      <c r="M8" s="114">
        <v>148</v>
      </c>
      <c r="N8" s="115">
        <f>M8*$O$3</f>
        <v>984.2</v>
      </c>
      <c r="O8" s="116" t="str">
        <f>IF((H8)&lt;471,"1.19",IF((H8)&lt;483,"1.14",IF((H8)&lt;496,"1.09",IF((H8)&lt;509,"1.04",IF((H8)&lt;523,"1",IF((H8)&lt;536,"0.96",IF((H8)&lt;547,"0.93",IF((H8)&lt;560,"0.89","FALSE"))))))))</f>
        <v>1.04</v>
      </c>
      <c r="P8" s="115">
        <f>N8*O8</f>
        <v>1023.5680000000001</v>
      </c>
      <c r="Q8" s="117">
        <v>3.15</v>
      </c>
    </row>
    <row r="9" spans="1:17" ht="22.5" customHeight="1">
      <c r="A9" s="76"/>
      <c r="B9" s="71"/>
      <c r="C9" s="71"/>
      <c r="D9" s="113"/>
      <c r="E9" s="111">
        <v>1234</v>
      </c>
      <c r="F9" s="111">
        <v>732</v>
      </c>
      <c r="G9" s="111">
        <v>1236</v>
      </c>
      <c r="H9" s="112">
        <f>G9-F9</f>
        <v>504</v>
      </c>
      <c r="I9" s="110">
        <f>E9/H9</f>
        <v>2.4484126984126986</v>
      </c>
      <c r="J9" s="113"/>
      <c r="K9" s="71"/>
      <c r="L9" s="113"/>
      <c r="M9" s="114">
        <v>145</v>
      </c>
      <c r="N9" s="115">
        <f>M9*$O$3</f>
        <v>964.25</v>
      </c>
      <c r="O9" s="116" t="str">
        <f>IF((H9)&lt;471,"1.19",IF((H9)&lt;483,"1.14",IF((H9)&lt;496,"1.09",IF((H9)&lt;509,"1.04",IF((H9)&lt;523,"1",IF((H9)&lt;536,"0.96",IF((H9)&lt;547,"0.93",IF((H9)&lt;560,"0.89","FALSE"))))))))</f>
        <v>1.04</v>
      </c>
      <c r="P9" s="115">
        <f>N9*O9</f>
        <v>1002.82</v>
      </c>
      <c r="Q9" s="117">
        <v>3.35</v>
      </c>
    </row>
    <row r="10" spans="1:17" ht="22.5" customHeight="1">
      <c r="A10" s="76"/>
      <c r="B10" s="71"/>
      <c r="C10" s="71"/>
      <c r="D10" s="113"/>
      <c r="E10" s="112"/>
      <c r="F10" s="112"/>
      <c r="G10" s="112"/>
      <c r="H10" s="110"/>
      <c r="I10" s="118">
        <f>AVERAGE(I7:I9)</f>
        <v>2.4514158752480855</v>
      </c>
      <c r="J10" s="119">
        <f>(100*(D7-I10))/D7</f>
        <v>5.8306000437664407</v>
      </c>
      <c r="K10" s="119">
        <f>J10+(I10*(C7/$I$3))</f>
        <v>16.080359147002362</v>
      </c>
      <c r="L10" s="119">
        <f>(100*(I10*(C7/$I$3)))/K10</f>
        <v>63.740859327427643</v>
      </c>
      <c r="M10" s="120"/>
      <c r="N10" s="121">
        <f>AVERAGE(N7:N9)</f>
        <v>981.98333333333323</v>
      </c>
      <c r="O10" s="122"/>
      <c r="P10" s="121">
        <f>AVERAGE(P7:P9)</f>
        <v>1021.2626666666669</v>
      </c>
      <c r="Q10" s="123">
        <f>AVERAGE(Q7:Q9)</f>
        <v>3.0999999999999996</v>
      </c>
    </row>
    <row r="11" spans="1:17" ht="22.5" customHeight="1" thickBot="1">
      <c r="A11" s="85"/>
      <c r="B11" s="84"/>
      <c r="C11" s="84"/>
      <c r="D11" s="124"/>
      <c r="E11" s="125"/>
      <c r="F11" s="125"/>
      <c r="G11" s="125"/>
      <c r="H11" s="125"/>
      <c r="I11" s="124"/>
      <c r="J11" s="124"/>
      <c r="K11" s="124"/>
      <c r="L11" s="124"/>
      <c r="M11" s="124"/>
      <c r="N11" s="124"/>
      <c r="O11" s="126"/>
      <c r="P11" s="124"/>
      <c r="Q11" s="127"/>
    </row>
    <row r="12" spans="1:17" ht="22.5" customHeight="1">
      <c r="A12" s="99">
        <v>2</v>
      </c>
      <c r="B12" s="100">
        <f>100-C12</f>
        <v>95.5</v>
      </c>
      <c r="C12" s="101">
        <v>4.5</v>
      </c>
      <c r="D12" s="102">
        <f>100/((B12/$D$3)+(C12/$I$3))</f>
        <v>2.5926308893396715</v>
      </c>
      <c r="E12" s="103">
        <v>1222</v>
      </c>
      <c r="F12" s="103">
        <v>727.5</v>
      </c>
      <c r="G12" s="103">
        <v>1224</v>
      </c>
      <c r="H12" s="104">
        <f>G12-F12</f>
        <v>496.5</v>
      </c>
      <c r="I12" s="102">
        <f>E12/H12</f>
        <v>2.4612286002014097</v>
      </c>
      <c r="J12" s="105"/>
      <c r="K12" s="105"/>
      <c r="L12" s="105"/>
      <c r="M12" s="106">
        <v>152</v>
      </c>
      <c r="N12" s="107">
        <f>M12*$O$3</f>
        <v>1010.8000000000001</v>
      </c>
      <c r="O12" s="108" t="str">
        <f>IF((H12)&lt;471,"1.19",IF((H12)&lt;483,"1.14",IF((H12)&lt;496,"1.09",IF((H12)&lt;509,"1.04",IF((H12)&lt;523,"1",IF((H12)&lt;536,"0.96",IF((H12)&lt;547,"0.93",IF((H12)&lt;560,"0.89","FALSE"))))))))</f>
        <v>1.04</v>
      </c>
      <c r="P12" s="107">
        <f>N12*O12</f>
        <v>1051.2320000000002</v>
      </c>
      <c r="Q12" s="109">
        <v>2.9</v>
      </c>
    </row>
    <row r="13" spans="1:17" ht="22.5" customHeight="1">
      <c r="A13" s="76"/>
      <c r="B13" s="71"/>
      <c r="C13" s="71"/>
      <c r="D13" s="113"/>
      <c r="E13" s="111">
        <v>1217.5</v>
      </c>
      <c r="F13" s="111">
        <v>725.5</v>
      </c>
      <c r="G13" s="111">
        <v>1219.5</v>
      </c>
      <c r="H13" s="112">
        <f>G13-F13</f>
        <v>494</v>
      </c>
      <c r="I13" s="110">
        <f>E13/H13</f>
        <v>2.464574898785425</v>
      </c>
      <c r="J13" s="113"/>
      <c r="K13" s="113"/>
      <c r="L13" s="113"/>
      <c r="M13" s="114">
        <v>155</v>
      </c>
      <c r="N13" s="115">
        <f>M13*$O$3</f>
        <v>1030.75</v>
      </c>
      <c r="O13" s="116" t="str">
        <f>IF((H13)&lt;471,"1.19",IF((H13)&lt;483,"1.14",IF((H13)&lt;496,"1.09",IF((H13)&lt;509,"1.04",IF((H13)&lt;523,"1",IF((H13)&lt;536,"0.96",IF((H13)&lt;547,"0.93",IF((H13)&lt;560,"0.89","FALSE"))))))))</f>
        <v>1.09</v>
      </c>
      <c r="P13" s="115">
        <f>N13*O13</f>
        <v>1123.5175000000002</v>
      </c>
      <c r="Q13" s="117">
        <v>3.1</v>
      </c>
    </row>
    <row r="14" spans="1:17" ht="22.5" customHeight="1">
      <c r="A14" s="76"/>
      <c r="B14" s="71"/>
      <c r="C14" s="71"/>
      <c r="D14" s="113"/>
      <c r="E14" s="111">
        <v>1226.5</v>
      </c>
      <c r="F14" s="111">
        <v>731</v>
      </c>
      <c r="G14" s="111">
        <v>1228.5</v>
      </c>
      <c r="H14" s="112">
        <f>G14-F14</f>
        <v>497.5</v>
      </c>
      <c r="I14" s="110">
        <f>E14/H14</f>
        <v>2.4653266331658292</v>
      </c>
      <c r="J14" s="113"/>
      <c r="K14" s="113"/>
      <c r="L14" s="113"/>
      <c r="M14" s="114">
        <v>149</v>
      </c>
      <c r="N14" s="115">
        <f>M14*$O$3</f>
        <v>990.85</v>
      </c>
      <c r="O14" s="116" t="str">
        <f>IF((H14)&lt;471,"1.19",IF((H14)&lt;483,"1.14",IF((H14)&lt;496,"1.09",IF((H14)&lt;509,"1.04",IF((H14)&lt;523,"1",IF((H14)&lt;536,"0.96",IF((H14)&lt;547,"0.93",IF((H14)&lt;560,"0.89","FALSE"))))))))</f>
        <v>1.04</v>
      </c>
      <c r="P14" s="115">
        <f>N14*O14</f>
        <v>1030.4840000000002</v>
      </c>
      <c r="Q14" s="117">
        <v>3.4</v>
      </c>
    </row>
    <row r="15" spans="1:17" ht="22.5" customHeight="1">
      <c r="A15" s="76"/>
      <c r="B15" s="71"/>
      <c r="C15" s="71"/>
      <c r="D15" s="113"/>
      <c r="E15" s="112"/>
      <c r="F15" s="112"/>
      <c r="G15" s="112"/>
      <c r="H15" s="112"/>
      <c r="I15" s="118">
        <f>AVERAGE(I12:I14)</f>
        <v>2.4637100440508877</v>
      </c>
      <c r="J15" s="119">
        <f>(100*(D12-I15))/D12</f>
        <v>4.9725877223355619</v>
      </c>
      <c r="K15" s="119">
        <f>J15+(I15*(C12/$I$3))</f>
        <v>15.879701461137348</v>
      </c>
      <c r="L15" s="119">
        <f>(100*(I15*(C12/$I$3)))/K15</f>
        <v>68.685886604952515</v>
      </c>
      <c r="M15" s="120"/>
      <c r="N15" s="121">
        <f>AVERAGE(N12:N14)</f>
        <v>1010.8000000000001</v>
      </c>
      <c r="O15" s="122"/>
      <c r="P15" s="121">
        <f>AVERAGE(P12:P14)</f>
        <v>1068.4111666666668</v>
      </c>
      <c r="Q15" s="123">
        <f>AVERAGE(Q12:Q14)</f>
        <v>3.1333333333333333</v>
      </c>
    </row>
    <row r="16" spans="1:17" ht="22.5" customHeight="1" thickBot="1">
      <c r="A16" s="85"/>
      <c r="B16" s="84"/>
      <c r="C16" s="84"/>
      <c r="D16" s="124"/>
      <c r="E16" s="125"/>
      <c r="F16" s="125"/>
      <c r="G16" s="125"/>
      <c r="H16" s="125"/>
      <c r="I16" s="124"/>
      <c r="J16" s="124"/>
      <c r="K16" s="124"/>
      <c r="L16" s="124"/>
      <c r="M16" s="124"/>
      <c r="N16" s="124"/>
      <c r="O16" s="126"/>
      <c r="P16" s="124"/>
      <c r="Q16" s="127"/>
    </row>
    <row r="17" spans="1:19" ht="22.5" customHeight="1">
      <c r="A17" s="99">
        <v>3</v>
      </c>
      <c r="B17" s="100">
        <f>100-C17</f>
        <v>95.25</v>
      </c>
      <c r="C17" s="101">
        <v>4.75</v>
      </c>
      <c r="D17" s="102">
        <f>100/((B17/$D$3)+(C17/$I$3))</f>
        <v>2.5821492853326622</v>
      </c>
      <c r="E17" s="103">
        <v>1224</v>
      </c>
      <c r="F17" s="103">
        <v>730</v>
      </c>
      <c r="G17" s="103">
        <v>1225.5</v>
      </c>
      <c r="H17" s="104">
        <f>G17-F17</f>
        <v>495.5</v>
      </c>
      <c r="I17" s="102">
        <f>E17/H17</f>
        <v>2.4702320887991926</v>
      </c>
      <c r="J17" s="105"/>
      <c r="K17" s="105"/>
      <c r="L17" s="105"/>
      <c r="M17" s="106">
        <v>157</v>
      </c>
      <c r="N17" s="107">
        <f>M17*$O$3</f>
        <v>1044.05</v>
      </c>
      <c r="O17" s="128" t="str">
        <f>IF((H17)&lt;471,"1.19",IF((H17)&lt;483,"1.14",IF((H17)&lt;496,"1.09",IF((H17)&lt;509,"1.04",IF((H17)&lt;523,"1",IF((H17)&lt;536,"0.96",IF((H17)&lt;547,"0.93",IF((H17)&lt;560,"0.89","FALSE"))))))))</f>
        <v>1.09</v>
      </c>
      <c r="P17" s="107">
        <f>N17*O17</f>
        <v>1138.0145</v>
      </c>
      <c r="Q17" s="109">
        <v>2.9</v>
      </c>
    </row>
    <row r="18" spans="1:19" ht="22.5" customHeight="1">
      <c r="A18" s="76"/>
      <c r="B18" s="71"/>
      <c r="C18" s="71"/>
      <c r="D18" s="113"/>
      <c r="E18" s="111">
        <v>1229</v>
      </c>
      <c r="F18" s="111">
        <v>733.5</v>
      </c>
      <c r="G18" s="111">
        <v>1230.5</v>
      </c>
      <c r="H18" s="112">
        <f>G18-F18</f>
        <v>497</v>
      </c>
      <c r="I18" s="110">
        <f>E18/H18</f>
        <v>2.4728370221327967</v>
      </c>
      <c r="J18" s="113"/>
      <c r="K18" s="113"/>
      <c r="L18" s="113"/>
      <c r="M18" s="114">
        <v>175</v>
      </c>
      <c r="N18" s="115">
        <f>M18*$O$3</f>
        <v>1163.75</v>
      </c>
      <c r="O18" s="129" t="str">
        <f>IF((H18)&lt;471,"1.19",IF((H18)&lt;483,"1.14",IF((H18)&lt;496,"1.09",IF((H18)&lt;509,"1.04",IF((H18)&lt;523,"1",IF((H18)&lt;536,"0.96",IF((H18)&lt;547,"0.93",IF((H18)&lt;560,"0.89","FALSE"))))))))</f>
        <v>1.04</v>
      </c>
      <c r="P18" s="115">
        <f>N18*O18</f>
        <v>1210.3</v>
      </c>
      <c r="Q18" s="117">
        <v>2.9</v>
      </c>
      <c r="S18" s="130"/>
    </row>
    <row r="19" spans="1:19" ht="22.5" customHeight="1">
      <c r="A19" s="76"/>
      <c r="B19" s="71"/>
      <c r="C19" s="71"/>
      <c r="D19" s="113"/>
      <c r="E19" s="111">
        <v>1221</v>
      </c>
      <c r="F19" s="111">
        <v>728</v>
      </c>
      <c r="G19" s="111">
        <v>1222.5</v>
      </c>
      <c r="H19" s="112">
        <f>G19-F19</f>
        <v>494.5</v>
      </c>
      <c r="I19" s="110">
        <f>E19/H19</f>
        <v>2.4691607684529826</v>
      </c>
      <c r="J19" s="113"/>
      <c r="K19" s="113"/>
      <c r="L19" s="113"/>
      <c r="M19" s="114">
        <v>165</v>
      </c>
      <c r="N19" s="115">
        <f>M19*$O$3</f>
        <v>1097.25</v>
      </c>
      <c r="O19" s="129" t="str">
        <f>IF((H19)&lt;471,"1.19",IF((H19)&lt;483,"1.14",IF((H19)&lt;496,"1.09",IF((H19)&lt;509,"1.04",IF((H19)&lt;523,"1",IF((H19)&lt;536,"0.96",IF((H19)&lt;547,"0.93",IF((H19)&lt;560,"0.89","FALSE"))))))))</f>
        <v>1.09</v>
      </c>
      <c r="P19" s="115">
        <f>N19*O19</f>
        <v>1196.0025000000001</v>
      </c>
      <c r="Q19" s="117">
        <v>3.7</v>
      </c>
    </row>
    <row r="20" spans="1:19" ht="22.5" customHeight="1">
      <c r="A20" s="76"/>
      <c r="B20" s="71"/>
      <c r="C20" s="71"/>
      <c r="D20" s="113"/>
      <c r="E20" s="112"/>
      <c r="F20" s="112"/>
      <c r="G20" s="112"/>
      <c r="H20" s="112"/>
      <c r="I20" s="118">
        <f>AVERAGE(I17:I19)</f>
        <v>2.470743293128324</v>
      </c>
      <c r="J20" s="119">
        <f>(100*(D17-I20))/D17</f>
        <v>4.3144675188671604</v>
      </c>
      <c r="K20" s="119">
        <f>J20+(I20*(C17/$I$3))</f>
        <v>15.860398814852136</v>
      </c>
      <c r="L20" s="119">
        <f>(100*(I20*(C17/$I$3)))/K20</f>
        <v>72.797231839927193</v>
      </c>
      <c r="M20" s="120"/>
      <c r="N20" s="121">
        <f>AVERAGE(N17:N19)</f>
        <v>1101.6833333333334</v>
      </c>
      <c r="O20" s="122"/>
      <c r="P20" s="121">
        <f>AVERAGE(P17:P19)</f>
        <v>1181.4390000000001</v>
      </c>
      <c r="Q20" s="123">
        <f>AVERAGE(Q17:Q19)</f>
        <v>3.1666666666666665</v>
      </c>
    </row>
    <row r="21" spans="1:19" ht="22.5" customHeight="1" thickBot="1">
      <c r="A21" s="85"/>
      <c r="B21" s="84"/>
      <c r="C21" s="84"/>
      <c r="D21" s="124"/>
      <c r="E21" s="125"/>
      <c r="F21" s="125"/>
      <c r="G21" s="125"/>
      <c r="H21" s="125"/>
      <c r="I21" s="124"/>
      <c r="J21" s="124"/>
      <c r="K21" s="124"/>
      <c r="L21" s="124"/>
      <c r="M21" s="124"/>
      <c r="N21" s="124"/>
      <c r="O21" s="126"/>
      <c r="P21" s="124"/>
      <c r="Q21" s="127"/>
    </row>
    <row r="22" spans="1:19" ht="22.5" customHeight="1">
      <c r="A22" s="99">
        <v>4</v>
      </c>
      <c r="B22" s="100">
        <f>100-C22</f>
        <v>95</v>
      </c>
      <c r="C22" s="101">
        <v>5</v>
      </c>
      <c r="D22" s="102">
        <f>100/((B22/$D$3)+(C22/$I$3))</f>
        <v>2.5717520910642562</v>
      </c>
      <c r="E22" s="103">
        <v>1236</v>
      </c>
      <c r="F22" s="103">
        <v>740</v>
      </c>
      <c r="G22" s="103">
        <v>1238</v>
      </c>
      <c r="H22" s="104">
        <f>G22-F22</f>
        <v>498</v>
      </c>
      <c r="I22" s="102">
        <f>E22/H22</f>
        <v>2.4819277108433737</v>
      </c>
      <c r="J22" s="105"/>
      <c r="K22" s="105"/>
      <c r="L22" s="105"/>
      <c r="M22" s="106">
        <v>159</v>
      </c>
      <c r="N22" s="107">
        <f>M22*$O$3</f>
        <v>1057.3500000000001</v>
      </c>
      <c r="O22" s="128" t="str">
        <f>IF((H22)&lt;471,"1.19",IF((H22)&lt;483,"1.14",IF((H22)&lt;496,"1.09",IF((H22)&lt;509,"1.04",IF((H22)&lt;523,"1",IF((H22)&lt;536,"0.96",IF((H22)&lt;547,"0.93",IF((H22)&lt;560,"0.89","FALSE"))))))))</f>
        <v>1.04</v>
      </c>
      <c r="P22" s="107">
        <f>N22*O22</f>
        <v>1099.6440000000002</v>
      </c>
      <c r="Q22" s="109">
        <v>3.4</v>
      </c>
    </row>
    <row r="23" spans="1:19" ht="22.5" customHeight="1">
      <c r="A23" s="76"/>
      <c r="B23" s="71"/>
      <c r="C23" s="71"/>
      <c r="D23" s="113"/>
      <c r="E23" s="111">
        <v>1239</v>
      </c>
      <c r="F23" s="111">
        <v>741.5</v>
      </c>
      <c r="G23" s="111">
        <v>1241</v>
      </c>
      <c r="H23" s="112">
        <f>G23-F23</f>
        <v>499.5</v>
      </c>
      <c r="I23" s="110">
        <f>E23/H23</f>
        <v>2.4804804804804803</v>
      </c>
      <c r="J23" s="113"/>
      <c r="K23" s="113"/>
      <c r="L23" s="113"/>
      <c r="M23" s="114">
        <v>160</v>
      </c>
      <c r="N23" s="115">
        <f>M23*$O$3</f>
        <v>1064</v>
      </c>
      <c r="O23" s="129" t="str">
        <f>IF((H23)&lt;471,"1.19",IF((H23)&lt;483,"1.14",IF((H23)&lt;496,"1.09",IF((H23)&lt;509,"1.04",IF((H23)&lt;523,"1",IF((H23)&lt;536,"0.96",IF((H23)&lt;547,"0.93",IF((H23)&lt;560,"0.89","FALSE"))))))))</f>
        <v>1.04</v>
      </c>
      <c r="P23" s="115">
        <f>N23*O23</f>
        <v>1106.56</v>
      </c>
      <c r="Q23" s="117">
        <v>3</v>
      </c>
    </row>
    <row r="24" spans="1:19" ht="22.5" customHeight="1">
      <c r="A24" s="76"/>
      <c r="B24" s="71"/>
      <c r="C24" s="71"/>
      <c r="D24" s="113"/>
      <c r="E24" s="111">
        <v>1233.5</v>
      </c>
      <c r="F24" s="111">
        <v>737.5</v>
      </c>
      <c r="G24" s="111">
        <v>1235.5</v>
      </c>
      <c r="H24" s="112">
        <f>G24-F24</f>
        <v>498</v>
      </c>
      <c r="I24" s="110">
        <f>E24/H24</f>
        <v>2.4769076305220885</v>
      </c>
      <c r="J24" s="113"/>
      <c r="K24" s="113"/>
      <c r="L24" s="113"/>
      <c r="M24" s="114">
        <v>162</v>
      </c>
      <c r="N24" s="115">
        <f>M24*$O$3</f>
        <v>1077.3</v>
      </c>
      <c r="O24" s="129" t="str">
        <f>IF((H24)&lt;471,"1.19",IF((H24)&lt;483,"1.14",IF((H24)&lt;496,"1.09",IF((H24)&lt;509,"1.04",IF((H24)&lt;523,"1",IF((H24)&lt;536,"0.96",IF((H24)&lt;547,"0.93",IF((H24)&lt;560,"0.89","FALSE"))))))))</f>
        <v>1.04</v>
      </c>
      <c r="P24" s="115">
        <f>N24*O24</f>
        <v>1120.3920000000001</v>
      </c>
      <c r="Q24" s="117">
        <v>3.5</v>
      </c>
    </row>
    <row r="25" spans="1:19" ht="22.5" customHeight="1">
      <c r="A25" s="76"/>
      <c r="B25" s="71"/>
      <c r="C25" s="71"/>
      <c r="D25" s="113"/>
      <c r="E25" s="112"/>
      <c r="F25" s="112"/>
      <c r="G25" s="112"/>
      <c r="H25" s="112"/>
      <c r="I25" s="118">
        <f>AVERAGE(I22:I24)</f>
        <v>2.4797719406153145</v>
      </c>
      <c r="J25" s="119">
        <f>(100*(D22-I25))/D22</f>
        <v>3.5765558728826767</v>
      </c>
      <c r="K25" s="119">
        <f>J25+(I25*(C22/$I$3))</f>
        <v>15.774579774045316</v>
      </c>
      <c r="L25" s="119">
        <f>(100*(I25*(C22/$I$3)))/K25</f>
        <v>77.327092549448722</v>
      </c>
      <c r="M25" s="120"/>
      <c r="N25" s="121">
        <f>AVERAGE(N22:N24)</f>
        <v>1066.2166666666669</v>
      </c>
      <c r="O25" s="122"/>
      <c r="P25" s="121">
        <f>AVERAGE(P22:P24)</f>
        <v>1108.8653333333334</v>
      </c>
      <c r="Q25" s="123">
        <f>AVERAGE(Q22:Q24)</f>
        <v>3.3000000000000003</v>
      </c>
    </row>
    <row r="26" spans="1:19" ht="22.5" customHeight="1" thickBot="1">
      <c r="A26" s="85"/>
      <c r="B26" s="84"/>
      <c r="C26" s="84"/>
      <c r="D26" s="124"/>
      <c r="E26" s="125"/>
      <c r="F26" s="125"/>
      <c r="G26" s="125"/>
      <c r="H26" s="125"/>
      <c r="I26" s="124"/>
      <c r="J26" s="124"/>
      <c r="K26" s="124"/>
      <c r="L26" s="124"/>
      <c r="M26" s="124"/>
      <c r="N26" s="124"/>
      <c r="O26" s="126"/>
      <c r="P26" s="124"/>
      <c r="Q26" s="127"/>
    </row>
    <row r="27" spans="1:19" ht="22.5" customHeight="1">
      <c r="A27" s="99">
        <v>5</v>
      </c>
      <c r="B27" s="100">
        <f>100-C27</f>
        <v>94.75</v>
      </c>
      <c r="C27" s="101">
        <v>5.25</v>
      </c>
      <c r="D27" s="102">
        <f>100/((B27/$D$3)+(C27/$I$3))</f>
        <v>2.5614382909795261</v>
      </c>
      <c r="E27" s="103">
        <v>1231</v>
      </c>
      <c r="F27" s="103">
        <v>733.5</v>
      </c>
      <c r="G27" s="103">
        <v>1232.5</v>
      </c>
      <c r="H27" s="104">
        <f>G27-F27</f>
        <v>499</v>
      </c>
      <c r="I27" s="102">
        <f>E27/H27</f>
        <v>2.4669338677354711</v>
      </c>
      <c r="J27" s="105"/>
      <c r="K27" s="105"/>
      <c r="L27" s="105"/>
      <c r="M27" s="106">
        <v>153</v>
      </c>
      <c r="N27" s="107">
        <f>M27*$O$3</f>
        <v>1017.45</v>
      </c>
      <c r="O27" s="128" t="str">
        <f>IF((H27)&lt;471,"1.19",IF((H27)&lt;483,"1.14",IF((H27)&lt;496,"1.09",IF((H27)&lt;509,"1.04",IF((H27)&lt;523,"1",IF((H27)&lt;536,"0.96",IF((H27)&lt;547,"0.93",IF((H27)&lt;560,"0.89","FALSE"))))))))</f>
        <v>1.04</v>
      </c>
      <c r="P27" s="107">
        <f>N27*O27</f>
        <v>1058.1480000000001</v>
      </c>
      <c r="Q27" s="109">
        <v>3.6</v>
      </c>
    </row>
    <row r="28" spans="1:19" ht="22.5" customHeight="1">
      <c r="A28" s="76"/>
      <c r="B28" s="71"/>
      <c r="C28" s="71"/>
      <c r="D28" s="113"/>
      <c r="E28" s="111">
        <v>1229</v>
      </c>
      <c r="F28" s="111">
        <v>733</v>
      </c>
      <c r="G28" s="111">
        <v>1230.5</v>
      </c>
      <c r="H28" s="112">
        <f>G28-F28</f>
        <v>497.5</v>
      </c>
      <c r="I28" s="110">
        <f>E28/H28</f>
        <v>2.4703517587939698</v>
      </c>
      <c r="J28" s="113"/>
      <c r="K28" s="113"/>
      <c r="L28" s="113"/>
      <c r="M28" s="114">
        <v>149</v>
      </c>
      <c r="N28" s="115">
        <f>M28*$O$3</f>
        <v>990.85</v>
      </c>
      <c r="O28" s="129" t="str">
        <f>IF((H28)&lt;471,"1.19",IF((H28)&lt;483,"1.14",IF((H28)&lt;496,"1.09",IF((H28)&lt;509,"1.04",IF((H28)&lt;523,"1",IF((H28)&lt;536,"0.96",IF((H28)&lt;547,"0.93",IF((H28)&lt;560,"0.89","FALSE"))))))))</f>
        <v>1.04</v>
      </c>
      <c r="P28" s="115">
        <f>N28*O28</f>
        <v>1030.4840000000002</v>
      </c>
      <c r="Q28" s="117">
        <v>3.4</v>
      </c>
    </row>
    <row r="29" spans="1:19" ht="22.5" customHeight="1">
      <c r="A29" s="76"/>
      <c r="B29" s="71"/>
      <c r="C29" s="71"/>
      <c r="D29" s="113"/>
      <c r="E29" s="111">
        <v>1224.5</v>
      </c>
      <c r="F29" s="111">
        <v>731</v>
      </c>
      <c r="G29" s="111">
        <v>1226</v>
      </c>
      <c r="H29" s="112">
        <f>G29-F29</f>
        <v>495</v>
      </c>
      <c r="I29" s="110">
        <f>E29/H29</f>
        <v>2.4737373737373738</v>
      </c>
      <c r="J29" s="113"/>
      <c r="K29" s="113"/>
      <c r="L29" s="113"/>
      <c r="M29" s="114">
        <v>145</v>
      </c>
      <c r="N29" s="115">
        <f>M29*$O$3</f>
        <v>964.25</v>
      </c>
      <c r="O29" s="129" t="str">
        <f>IF((H29)&lt;471,"1.19",IF((H29)&lt;483,"1.14",IF((H29)&lt;496,"1.09",IF((H29)&lt;509,"1.04",IF((H29)&lt;523,"1",IF((H29)&lt;536,"0.96",IF((H29)&lt;547,"0.93",IF((H29)&lt;560,"0.89","FALSE"))))))))</f>
        <v>1.09</v>
      </c>
      <c r="P29" s="115">
        <f>N29*O29</f>
        <v>1051.0325</v>
      </c>
      <c r="Q29" s="117">
        <v>3.6</v>
      </c>
    </row>
    <row r="30" spans="1:19" ht="22.5" customHeight="1">
      <c r="A30" s="76"/>
      <c r="B30" s="71"/>
      <c r="C30" s="71"/>
      <c r="D30" s="113"/>
      <c r="E30" s="112"/>
      <c r="F30" s="112"/>
      <c r="G30" s="112"/>
      <c r="H30" s="112"/>
      <c r="I30" s="118">
        <f>AVERAGE(I27:I29)</f>
        <v>2.4703410000889381</v>
      </c>
      <c r="J30" s="119">
        <f>(100*(D27-I30))/D27</f>
        <v>3.5564897741788384</v>
      </c>
      <c r="K30" s="119">
        <f>J30+(I30*(C27/$I$3))</f>
        <v>16.315704431399009</v>
      </c>
      <c r="L30" s="119">
        <f>(100*(I30*(C27/$I$3)))/K30</f>
        <v>78.202045831778506</v>
      </c>
      <c r="M30" s="120"/>
      <c r="N30" s="121">
        <f>AVERAGE(N27:N29)</f>
        <v>990.85</v>
      </c>
      <c r="O30" s="122"/>
      <c r="P30" s="121">
        <f>AVERAGE(P27:P29)</f>
        <v>1046.5548333333336</v>
      </c>
      <c r="Q30" s="123">
        <f>AVERAGE(Q27:Q29)</f>
        <v>3.5333333333333332</v>
      </c>
    </row>
    <row r="31" spans="1:19" ht="22.5" customHeight="1" thickBot="1">
      <c r="A31" s="85"/>
      <c r="B31" s="84"/>
      <c r="C31" s="84"/>
      <c r="D31" s="124"/>
      <c r="E31" s="125"/>
      <c r="F31" s="125"/>
      <c r="G31" s="125"/>
      <c r="H31" s="125"/>
      <c r="I31" s="124"/>
      <c r="J31" s="124"/>
      <c r="K31" s="124"/>
      <c r="L31" s="124"/>
      <c r="M31" s="124"/>
      <c r="N31" s="124"/>
      <c r="O31" s="126"/>
      <c r="P31" s="124"/>
      <c r="Q31" s="127"/>
    </row>
    <row r="32" spans="1:19" ht="22.5" customHeight="1">
      <c r="A32" s="99">
        <v>6</v>
      </c>
      <c r="B32" s="100">
        <f>100-C32</f>
        <v>94.5</v>
      </c>
      <c r="C32" s="101">
        <v>5.5</v>
      </c>
      <c r="D32" s="102">
        <f>100/((B32/$D$3)+(C32/$I$3))</f>
        <v>2.551206885749671</v>
      </c>
      <c r="E32" s="103">
        <v>1241</v>
      </c>
      <c r="F32" s="103">
        <v>740</v>
      </c>
      <c r="G32" s="103">
        <v>1242.5</v>
      </c>
      <c r="H32" s="104">
        <f>G32-F32</f>
        <v>502.5</v>
      </c>
      <c r="I32" s="102">
        <f>E32/H32</f>
        <v>2.4696517412935322</v>
      </c>
      <c r="J32" s="105"/>
      <c r="K32" s="105"/>
      <c r="L32" s="105"/>
      <c r="M32" s="106">
        <v>149</v>
      </c>
      <c r="N32" s="107">
        <f>M32*$O$3</f>
        <v>990.85</v>
      </c>
      <c r="O32" s="128" t="str">
        <f>IF((H32)&lt;471,"1.19",IF((H32)&lt;483,"1.14",IF((H32)&lt;496,"1.09",IF((H32)&lt;509,"1.04",IF((H32)&lt;523,"1",IF((H32)&lt;536,"0.96",IF((H32)&lt;547,"0.93",IF((H32)&lt;560,"0.89","FALSE"))))))))</f>
        <v>1.04</v>
      </c>
      <c r="P32" s="107">
        <f>N32*O32</f>
        <v>1030.4840000000002</v>
      </c>
      <c r="Q32" s="109">
        <v>3.6</v>
      </c>
    </row>
    <row r="33" spans="1:17" ht="22.5" customHeight="1">
      <c r="A33" s="76"/>
      <c r="B33" s="113"/>
      <c r="C33" s="113"/>
      <c r="D33" s="113"/>
      <c r="E33" s="111">
        <v>1237.5</v>
      </c>
      <c r="F33" s="111">
        <v>736</v>
      </c>
      <c r="G33" s="111">
        <v>1239</v>
      </c>
      <c r="H33" s="112">
        <f>G33-F33</f>
        <v>503</v>
      </c>
      <c r="I33" s="110">
        <f>E33/H33</f>
        <v>2.4602385685884691</v>
      </c>
      <c r="J33" s="113"/>
      <c r="K33" s="113"/>
      <c r="L33" s="113"/>
      <c r="M33" s="114">
        <v>148</v>
      </c>
      <c r="N33" s="115">
        <f>M33*$O$3</f>
        <v>984.2</v>
      </c>
      <c r="O33" s="129" t="str">
        <f>IF((H33)&lt;471,"1.19",IF((H33)&lt;483,"1.14",IF((H33)&lt;496,"1.09",IF((H33)&lt;509,"1.04",IF((H33)&lt;523,"1",IF((H33)&lt;536,"0.96",IF((H33)&lt;547,"0.93",IF((H33)&lt;560,"0.89","FALSE"))))))))</f>
        <v>1.04</v>
      </c>
      <c r="P33" s="115">
        <f>N33*O33</f>
        <v>1023.5680000000001</v>
      </c>
      <c r="Q33" s="117">
        <v>3.5</v>
      </c>
    </row>
    <row r="34" spans="1:17" ht="22.5" customHeight="1">
      <c r="A34" s="76"/>
      <c r="B34" s="113"/>
      <c r="C34" s="113"/>
      <c r="D34" s="113"/>
      <c r="E34" s="111">
        <v>1238.5</v>
      </c>
      <c r="F34" s="111">
        <v>737</v>
      </c>
      <c r="G34" s="111">
        <v>1240</v>
      </c>
      <c r="H34" s="112">
        <f>G34-F34</f>
        <v>503</v>
      </c>
      <c r="I34" s="110">
        <f>E34/H34</f>
        <v>2.4622266401590456</v>
      </c>
      <c r="J34" s="113"/>
      <c r="K34" s="113"/>
      <c r="L34" s="113"/>
      <c r="M34" s="114">
        <v>148</v>
      </c>
      <c r="N34" s="115">
        <f>M34*$O$3</f>
        <v>984.2</v>
      </c>
      <c r="O34" s="129" t="str">
        <f>IF((H34)&lt;471,"1.19",IF((H34)&lt;483,"1.14",IF((H34)&lt;496,"1.09",IF((H34)&lt;509,"1.04",IF((H34)&lt;523,"1",IF((H34)&lt;536,"0.96",IF((H34)&lt;547,"0.93",IF((H34)&lt;560,"0.89","FALSE"))))))))</f>
        <v>1.04</v>
      </c>
      <c r="P34" s="115">
        <f>N34*O34</f>
        <v>1023.5680000000001</v>
      </c>
      <c r="Q34" s="117">
        <v>3.6</v>
      </c>
    </row>
    <row r="35" spans="1:17" ht="22.5" customHeight="1" thickBot="1">
      <c r="A35" s="85"/>
      <c r="B35" s="124"/>
      <c r="C35" s="124"/>
      <c r="D35" s="124"/>
      <c r="E35" s="124"/>
      <c r="F35" s="124"/>
      <c r="G35" s="124"/>
      <c r="H35" s="124"/>
      <c r="I35" s="131">
        <f>AVERAGE(I32:I34)</f>
        <v>2.4640389833470153</v>
      </c>
      <c r="J35" s="132">
        <f>(100*(D32-I35))/D32</f>
        <v>3.4167320137598898</v>
      </c>
      <c r="K35" s="132">
        <f>J35+(I35*(C32/$I$3))</f>
        <v>16.749428667019835</v>
      </c>
      <c r="L35" s="132">
        <f>(100*(I35*(C32/$I$3)))/K35</f>
        <v>79.60090411628461</v>
      </c>
      <c r="M35" s="133"/>
      <c r="N35" s="134">
        <f>AVERAGE(N32:N34)</f>
        <v>986.41666666666663</v>
      </c>
      <c r="O35" s="134"/>
      <c r="P35" s="134">
        <f>AVERAGE(P32:P34)</f>
        <v>1025.8733333333334</v>
      </c>
      <c r="Q35" s="135">
        <f>AVERAGE(Q32:Q34)</f>
        <v>3.5666666666666664</v>
      </c>
    </row>
    <row r="36" spans="1:17" ht="22.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</row>
    <row r="37" spans="1:17" ht="22.5" customHeight="1">
      <c r="A37" s="4" t="s">
        <v>150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</row>
    <row r="38" spans="1:17" ht="22.5" customHeight="1">
      <c r="C38" s="136"/>
      <c r="D38" s="136"/>
      <c r="E38" s="136"/>
      <c r="F38" s="137"/>
      <c r="G38" s="255">
        <v>100</v>
      </c>
      <c r="H38" s="255"/>
      <c r="I38" s="137"/>
      <c r="J38" s="136"/>
      <c r="K38" s="136"/>
      <c r="L38" s="136"/>
      <c r="M38" s="136"/>
      <c r="N38" s="136"/>
      <c r="O38" s="136"/>
      <c r="P38" s="136"/>
      <c r="Q38" s="136"/>
    </row>
    <row r="39" spans="1:17" ht="22.5" customHeight="1">
      <c r="A39" s="138">
        <v>1</v>
      </c>
      <c r="B39" s="43" t="s">
        <v>151</v>
      </c>
      <c r="C39" s="136"/>
      <c r="D39" s="136"/>
      <c r="E39" s="136"/>
      <c r="F39" s="139" t="s">
        <v>152</v>
      </c>
      <c r="G39" s="139" t="s">
        <v>153</v>
      </c>
      <c r="H39" s="139" t="s">
        <v>154</v>
      </c>
      <c r="I39" s="139" t="s">
        <v>155</v>
      </c>
      <c r="J39" s="136"/>
      <c r="K39" s="140"/>
      <c r="L39" s="136"/>
      <c r="M39" s="136"/>
      <c r="N39" s="136"/>
      <c r="O39" s="136"/>
      <c r="P39" s="136"/>
      <c r="Q39" s="136"/>
    </row>
    <row r="40" spans="1:17" ht="22.5" customHeight="1">
      <c r="B40" s="141"/>
      <c r="C40" s="136"/>
      <c r="D40" s="136"/>
      <c r="E40" s="136"/>
      <c r="F40" s="136" t="s">
        <v>156</v>
      </c>
      <c r="G40" s="136" t="s">
        <v>157</v>
      </c>
      <c r="H40" s="136" t="s">
        <v>158</v>
      </c>
      <c r="I40" s="136" t="s">
        <v>159</v>
      </c>
      <c r="J40" s="136"/>
      <c r="K40" s="43" t="s">
        <v>160</v>
      </c>
      <c r="L40" s="136"/>
      <c r="M40" s="136"/>
      <c r="N40" s="136"/>
      <c r="O40" s="136"/>
      <c r="P40" s="136"/>
      <c r="Q40" s="136"/>
    </row>
    <row r="41" spans="1:17" ht="22.5" customHeight="1">
      <c r="A41" s="142"/>
      <c r="B41" s="141" t="s">
        <v>161</v>
      </c>
      <c r="C41" s="140" t="s">
        <v>162</v>
      </c>
      <c r="D41" s="136"/>
      <c r="E41" s="136"/>
      <c r="F41" s="136"/>
      <c r="G41" s="136"/>
      <c r="H41" s="136"/>
      <c r="I41" s="136"/>
      <c r="J41" s="136"/>
      <c r="L41" s="136"/>
      <c r="M41" s="136"/>
      <c r="N41" s="136"/>
      <c r="O41" s="136"/>
      <c r="P41" s="136"/>
      <c r="Q41" s="136"/>
    </row>
    <row r="42" spans="1:17" ht="22.5" customHeight="1">
      <c r="A42" s="136"/>
      <c r="B42" s="136"/>
      <c r="C42" s="140" t="s">
        <v>163</v>
      </c>
      <c r="D42" s="136"/>
      <c r="E42" s="136"/>
      <c r="F42" s="136"/>
      <c r="G42" s="136"/>
      <c r="H42" s="136"/>
      <c r="I42" s="136"/>
      <c r="J42" s="136"/>
      <c r="K42" s="143" t="s">
        <v>164</v>
      </c>
      <c r="L42" s="144"/>
      <c r="M42" s="144"/>
      <c r="N42" s="144"/>
      <c r="O42" s="136"/>
      <c r="P42" s="136"/>
      <c r="Q42" s="136"/>
    </row>
    <row r="43" spans="1:17" ht="22.5" customHeight="1">
      <c r="A43" s="136"/>
      <c r="B43" s="136"/>
      <c r="C43" s="140" t="s">
        <v>165</v>
      </c>
      <c r="D43" s="136"/>
      <c r="E43" s="136"/>
      <c r="F43" s="136"/>
      <c r="G43" s="136"/>
      <c r="H43" s="136"/>
      <c r="I43" s="136"/>
      <c r="J43" s="136"/>
      <c r="K43" s="42"/>
      <c r="L43" s="42"/>
      <c r="M43" s="144"/>
      <c r="N43" s="144"/>
      <c r="O43" s="136"/>
      <c r="P43" s="136"/>
      <c r="Q43" s="136"/>
    </row>
    <row r="44" spans="1:17" ht="22.5" customHeight="1">
      <c r="A44" s="136"/>
      <c r="B44" s="136"/>
      <c r="C44" s="140" t="s">
        <v>166</v>
      </c>
      <c r="D44" s="136"/>
      <c r="E44" s="136"/>
      <c r="F44" s="136"/>
      <c r="G44" s="136"/>
      <c r="H44" s="136"/>
      <c r="I44" s="136"/>
      <c r="J44" s="136"/>
      <c r="K44" s="256" t="s">
        <v>104</v>
      </c>
      <c r="L44" s="256"/>
      <c r="M44" s="228" t="s">
        <v>167</v>
      </c>
      <c r="N44" s="228"/>
      <c r="O44" s="136"/>
      <c r="P44" s="136"/>
      <c r="Q44" s="136"/>
    </row>
    <row r="45" spans="1:17" ht="22.5" customHeight="1">
      <c r="A45" s="136"/>
      <c r="B45" s="136"/>
      <c r="C45" s="140" t="s">
        <v>168</v>
      </c>
      <c r="D45" s="136"/>
      <c r="E45" s="136"/>
      <c r="F45" s="136"/>
      <c r="G45" s="136"/>
      <c r="H45" s="136"/>
      <c r="I45" s="136"/>
      <c r="J45" s="136"/>
      <c r="K45" s="145">
        <v>26.5</v>
      </c>
      <c r="L45" s="42" t="s">
        <v>169</v>
      </c>
      <c r="M45" s="145">
        <f>([1]JMF!J5-[1]JMF!J6)/100*1200</f>
        <v>0</v>
      </c>
      <c r="N45" s="143" t="s">
        <v>170</v>
      </c>
      <c r="O45" s="136"/>
      <c r="P45" s="136"/>
      <c r="Q45" s="136"/>
    </row>
    <row r="46" spans="1:17" ht="22.5" customHeight="1">
      <c r="A46" s="136"/>
      <c r="B46" s="136"/>
      <c r="C46" s="140" t="s">
        <v>171</v>
      </c>
      <c r="D46" s="136"/>
      <c r="E46" s="136"/>
      <c r="F46" s="136"/>
      <c r="G46" s="136"/>
      <c r="H46" s="136"/>
      <c r="I46" s="136"/>
      <c r="J46" s="136"/>
      <c r="K46" s="145">
        <v>19</v>
      </c>
      <c r="L46" s="42" t="s">
        <v>169</v>
      </c>
      <c r="M46" s="145">
        <f>([1]JMF!J6-[1]JMF!J7)/100*1200</f>
        <v>0</v>
      </c>
      <c r="N46" s="143" t="s">
        <v>170</v>
      </c>
      <c r="O46" s="136"/>
      <c r="P46" s="136"/>
      <c r="Q46" s="136"/>
    </row>
    <row r="47" spans="1:17" ht="22.5" customHeight="1">
      <c r="A47" s="136"/>
      <c r="B47" s="136"/>
      <c r="C47" s="140" t="s">
        <v>172</v>
      </c>
      <c r="D47" s="136"/>
      <c r="E47" s="136"/>
      <c r="F47" s="136"/>
      <c r="G47" s="136"/>
      <c r="H47" s="136"/>
      <c r="I47" s="136"/>
      <c r="J47" s="136"/>
      <c r="K47" s="145">
        <v>9.5</v>
      </c>
      <c r="L47" s="42" t="s">
        <v>169</v>
      </c>
      <c r="M47" s="146">
        <f>([1]JMF!J7-[1]JMF!J8)/100*1200</f>
        <v>248.97138413585509</v>
      </c>
      <c r="N47" s="143" t="s">
        <v>170</v>
      </c>
      <c r="O47" s="136"/>
      <c r="P47" s="136"/>
      <c r="Q47" s="136"/>
    </row>
    <row r="48" spans="1:17" ht="22.5" customHeight="1">
      <c r="A48" s="136"/>
      <c r="B48" s="136"/>
      <c r="C48" s="140" t="s">
        <v>173</v>
      </c>
      <c r="D48" s="136"/>
      <c r="E48" s="136"/>
      <c r="F48" s="147"/>
      <c r="G48" s="136"/>
      <c r="H48" s="136"/>
      <c r="I48" s="136"/>
      <c r="J48" s="136"/>
      <c r="K48" s="145">
        <v>4.75</v>
      </c>
      <c r="L48" s="42" t="s">
        <v>169</v>
      </c>
      <c r="M48" s="146">
        <f>([1]JMF!J8-[1]JMF!J9)/100*1200</f>
        <v>399.75385662112319</v>
      </c>
      <c r="N48" s="143" t="s">
        <v>170</v>
      </c>
      <c r="O48" s="136"/>
      <c r="P48" s="136"/>
      <c r="Q48" s="136"/>
    </row>
    <row r="49" spans="1:17" ht="22.5" customHeight="1">
      <c r="A49" s="136"/>
      <c r="B49" s="136"/>
      <c r="C49" s="140"/>
      <c r="D49" s="136"/>
      <c r="E49" s="136"/>
      <c r="F49" s="136"/>
      <c r="G49" s="136"/>
      <c r="H49" s="136"/>
      <c r="I49" s="136"/>
      <c r="J49" s="136"/>
      <c r="K49" s="145">
        <v>2.36</v>
      </c>
      <c r="L49" s="42" t="s">
        <v>169</v>
      </c>
      <c r="M49" s="146">
        <f>([1]JMF!J9-[1]JMF!J10)/100*1200</f>
        <v>137.05763020743217</v>
      </c>
      <c r="N49" s="143" t="s">
        <v>170</v>
      </c>
      <c r="O49" s="136"/>
      <c r="P49" s="136"/>
      <c r="Q49" s="136"/>
    </row>
    <row r="50" spans="1:17" ht="22.5" customHeight="1">
      <c r="A50" s="90">
        <v>2</v>
      </c>
      <c r="B50" s="43" t="s">
        <v>174</v>
      </c>
      <c r="C50" s="136"/>
      <c r="D50" s="140"/>
      <c r="E50" s="140" t="s">
        <v>175</v>
      </c>
      <c r="F50" s="136"/>
      <c r="G50" s="136"/>
      <c r="H50" s="136"/>
      <c r="I50" s="136"/>
      <c r="J50" s="136"/>
      <c r="K50" s="145">
        <v>0.3</v>
      </c>
      <c r="L50" s="42" t="s">
        <v>169</v>
      </c>
      <c r="M50" s="146">
        <f>([1]JMF!J10-[1]JMF!J11)/100*1200</f>
        <v>286.58896830754577</v>
      </c>
      <c r="N50" s="143" t="s">
        <v>170</v>
      </c>
      <c r="O50" s="136"/>
      <c r="P50" s="136"/>
      <c r="Q50" s="136"/>
    </row>
    <row r="51" spans="1:17" ht="22.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45">
        <v>7.4999999999999997E-2</v>
      </c>
      <c r="L51" s="42" t="s">
        <v>169</v>
      </c>
      <c r="M51" s="146">
        <f>([1]JMF!J11-[1]JMF!J12)/100*1200</f>
        <v>113.24343194383577</v>
      </c>
      <c r="N51" s="143" t="s">
        <v>170</v>
      </c>
      <c r="O51" s="136"/>
      <c r="P51" s="136"/>
      <c r="Q51" s="136"/>
    </row>
    <row r="52" spans="1:17" ht="22.5" customHeight="1">
      <c r="A52" s="90">
        <v>3</v>
      </c>
      <c r="B52" s="88" t="s">
        <v>176</v>
      </c>
      <c r="K52" s="145" t="s">
        <v>177</v>
      </c>
      <c r="L52" s="42"/>
      <c r="M52" s="148">
        <f>[1]JMF!J12/100*1200</f>
        <v>14.384728784207992</v>
      </c>
      <c r="N52" s="143" t="s">
        <v>170</v>
      </c>
    </row>
    <row r="53" spans="1:17" ht="22.5" customHeight="1">
      <c r="K53" s="228" t="s">
        <v>118</v>
      </c>
      <c r="L53" s="228"/>
      <c r="M53" s="149">
        <f>SUM(M45:M52)</f>
        <v>1199.9999999999998</v>
      </c>
      <c r="N53" s="43" t="s">
        <v>170</v>
      </c>
    </row>
    <row r="54" spans="1:17" ht="22.5" customHeight="1">
      <c r="A54" s="90">
        <v>4</v>
      </c>
      <c r="B54" s="88" t="s">
        <v>178</v>
      </c>
      <c r="E54" s="137" t="s">
        <v>179</v>
      </c>
      <c r="F54" s="257" t="s">
        <v>180</v>
      </c>
    </row>
    <row r="55" spans="1:17" ht="22.5" customHeight="1">
      <c r="E55" s="136" t="s">
        <v>181</v>
      </c>
      <c r="F55" s="257"/>
      <c r="K55" s="43" t="s">
        <v>182</v>
      </c>
    </row>
    <row r="56" spans="1:17" ht="22.5" customHeight="1">
      <c r="K56" s="150"/>
      <c r="L56" s="150"/>
      <c r="M56" s="150"/>
      <c r="N56" s="150"/>
      <c r="O56" s="258" t="s">
        <v>183</v>
      </c>
      <c r="P56" s="258" t="s">
        <v>184</v>
      </c>
    </row>
    <row r="57" spans="1:17" ht="22.5" customHeight="1">
      <c r="A57" s="90">
        <v>5</v>
      </c>
      <c r="B57" s="88" t="s">
        <v>185</v>
      </c>
      <c r="K57" s="150"/>
      <c r="L57" s="150"/>
      <c r="M57" s="150"/>
      <c r="N57" s="150"/>
      <c r="O57" s="258"/>
      <c r="P57" s="258"/>
    </row>
    <row r="58" spans="1:17" ht="22.5" customHeight="1">
      <c r="K58" s="151">
        <f>C7</f>
        <v>4.25</v>
      </c>
      <c r="L58" s="12" t="s">
        <v>186</v>
      </c>
      <c r="M58" s="150"/>
      <c r="N58" s="150"/>
      <c r="O58" s="152">
        <f t="shared" ref="O58:O63" si="0">$M$53*K58/100</f>
        <v>50.999999999999993</v>
      </c>
      <c r="P58" s="153">
        <f t="shared" ref="P58:P63" si="1">($M$53+O58)*K58/100</f>
        <v>53.16749999999999</v>
      </c>
    </row>
    <row r="59" spans="1:17" ht="22.5" customHeight="1">
      <c r="C59" s="58" t="s">
        <v>187</v>
      </c>
      <c r="K59" s="151">
        <f>C12</f>
        <v>4.5</v>
      </c>
      <c r="L59" s="12" t="s">
        <v>186</v>
      </c>
      <c r="M59" s="150"/>
      <c r="N59" s="150"/>
      <c r="O59" s="152">
        <f t="shared" si="0"/>
        <v>53.999999999999993</v>
      </c>
      <c r="P59" s="153">
        <f t="shared" si="1"/>
        <v>56.429999999999993</v>
      </c>
    </row>
    <row r="60" spans="1:17" ht="22.5" customHeight="1">
      <c r="K60" s="151">
        <f>C17</f>
        <v>4.75</v>
      </c>
      <c r="L60" s="12" t="s">
        <v>186</v>
      </c>
      <c r="M60" s="150"/>
      <c r="N60" s="150"/>
      <c r="O60" s="152">
        <f t="shared" si="0"/>
        <v>56.999999999999993</v>
      </c>
      <c r="P60" s="153">
        <f t="shared" si="1"/>
        <v>59.707499999999989</v>
      </c>
    </row>
    <row r="61" spans="1:17" ht="22.5" customHeight="1">
      <c r="C61" s="253" t="s">
        <v>188</v>
      </c>
      <c r="D61" s="253"/>
      <c r="E61" s="154" t="s">
        <v>155</v>
      </c>
      <c r="K61" s="151">
        <f>C22</f>
        <v>5</v>
      </c>
      <c r="L61" s="12" t="s">
        <v>186</v>
      </c>
      <c r="M61" s="150"/>
      <c r="N61" s="150"/>
      <c r="O61" s="152">
        <f t="shared" si="0"/>
        <v>59.999999999999993</v>
      </c>
      <c r="P61" s="153">
        <f t="shared" si="1"/>
        <v>62.999999999999993</v>
      </c>
    </row>
    <row r="62" spans="1:17" ht="22.5" customHeight="1">
      <c r="C62" s="253"/>
      <c r="D62" s="253"/>
      <c r="E62" s="155" t="s">
        <v>159</v>
      </c>
      <c r="K62" s="151">
        <f>C27</f>
        <v>5.25</v>
      </c>
      <c r="L62" s="12" t="s">
        <v>186</v>
      </c>
      <c r="M62" s="150"/>
      <c r="N62" s="150"/>
      <c r="O62" s="152">
        <f t="shared" si="0"/>
        <v>62.999999999999993</v>
      </c>
      <c r="P62" s="153">
        <f t="shared" si="1"/>
        <v>66.30749999999999</v>
      </c>
    </row>
    <row r="63" spans="1:17" ht="22.5" customHeight="1">
      <c r="K63" s="151">
        <f>C32</f>
        <v>5.5</v>
      </c>
      <c r="L63" s="12" t="s">
        <v>186</v>
      </c>
      <c r="M63" s="150"/>
      <c r="N63" s="150"/>
      <c r="O63" s="152">
        <f t="shared" si="0"/>
        <v>65.999999999999986</v>
      </c>
      <c r="P63" s="153">
        <f t="shared" si="1"/>
        <v>69.63</v>
      </c>
    </row>
    <row r="64" spans="1:17" ht="22.5" customHeight="1">
      <c r="A64" s="90">
        <v>6</v>
      </c>
      <c r="B64" s="88" t="s">
        <v>189</v>
      </c>
      <c r="K64" s="151"/>
      <c r="L64" s="12"/>
      <c r="M64" s="150"/>
      <c r="N64" s="150"/>
      <c r="O64" s="152"/>
      <c r="P64" s="153"/>
    </row>
    <row r="65" spans="1:4" ht="22.5" customHeight="1"/>
    <row r="66" spans="1:4" ht="22.5" customHeight="1">
      <c r="A66" s="142"/>
      <c r="C66" s="253" t="s">
        <v>190</v>
      </c>
      <c r="D66" s="154" t="s">
        <v>191</v>
      </c>
    </row>
    <row r="67" spans="1:4" ht="22.5" customHeight="1">
      <c r="C67" s="253"/>
      <c r="D67" s="155" t="s">
        <v>192</v>
      </c>
    </row>
  </sheetData>
  <mergeCells count="23">
    <mergeCell ref="C66:C67"/>
    <mergeCell ref="K5:K6"/>
    <mergeCell ref="L5:L6"/>
    <mergeCell ref="M5:P5"/>
    <mergeCell ref="Q5:Q6"/>
    <mergeCell ref="G38:H38"/>
    <mergeCell ref="K44:L44"/>
    <mergeCell ref="M44:N44"/>
    <mergeCell ref="K53:L53"/>
    <mergeCell ref="F54:F55"/>
    <mergeCell ref="O56:O57"/>
    <mergeCell ref="P56:P57"/>
    <mergeCell ref="C61:D62"/>
    <mergeCell ref="A1:Q1"/>
    <mergeCell ref="L3:N3"/>
    <mergeCell ref="A5:A6"/>
    <mergeCell ref="B5:B6"/>
    <mergeCell ref="C5:C6"/>
    <mergeCell ref="D5:D6"/>
    <mergeCell ref="E5:G5"/>
    <mergeCell ref="H5:H6"/>
    <mergeCell ref="I5:I6"/>
    <mergeCell ref="J5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topLeftCell="A4" workbookViewId="0">
      <selection activeCell="I1" sqref="I1"/>
    </sheetView>
  </sheetViews>
  <sheetFormatPr defaultRowHeight="12.75"/>
  <cols>
    <col min="1" max="16384" width="9.140625" style="58"/>
  </cols>
  <sheetData>
    <row r="1" spans="1:7" ht="38.25">
      <c r="A1" s="156" t="s">
        <v>193</v>
      </c>
      <c r="B1" s="156" t="s">
        <v>194</v>
      </c>
      <c r="C1" s="156" t="s">
        <v>140</v>
      </c>
      <c r="D1" s="156" t="s">
        <v>101</v>
      </c>
      <c r="E1" s="156" t="s">
        <v>99</v>
      </c>
      <c r="F1" s="156" t="s">
        <v>147</v>
      </c>
      <c r="G1" s="156" t="s">
        <v>195</v>
      </c>
    </row>
    <row r="2" spans="1:7">
      <c r="A2" s="157">
        <f>'[1]Marshall data'!C7</f>
        <v>4.25</v>
      </c>
      <c r="B2" s="158">
        <f>'[1]Marshall data'!I10</f>
        <v>2.4514158752480855</v>
      </c>
      <c r="C2" s="158">
        <f>'[1]Marshall data'!J10</f>
        <v>5.8306000437664407</v>
      </c>
      <c r="D2" s="158">
        <f>'[1]Marshall data'!K10</f>
        <v>16.080359147002362</v>
      </c>
      <c r="E2" s="158">
        <f>'[1]Marshall data'!L10</f>
        <v>63.740859327427643</v>
      </c>
      <c r="F2" s="155">
        <f>'[1]Marshall data'!N10</f>
        <v>981.98333333333323</v>
      </c>
      <c r="G2" s="157">
        <f>'[1]Marshall data'!Q10</f>
        <v>3.0999999999999996</v>
      </c>
    </row>
    <row r="3" spans="1:7">
      <c r="A3" s="157">
        <f>'[1]Marshall data'!C12</f>
        <v>4.5</v>
      </c>
      <c r="B3" s="158">
        <f>'[1]Marshall data'!I15</f>
        <v>2.4637100440508877</v>
      </c>
      <c r="C3" s="158">
        <f>'[1]Marshall data'!J15</f>
        <v>4.9725877223355619</v>
      </c>
      <c r="D3" s="158">
        <f>'[1]Marshall data'!K15</f>
        <v>15.879701461137348</v>
      </c>
      <c r="E3" s="158">
        <f>'[1]Marshall data'!L15</f>
        <v>68.685886604952515</v>
      </c>
      <c r="F3" s="155">
        <f>'[1]Marshall data'!N15</f>
        <v>1010.8000000000001</v>
      </c>
      <c r="G3" s="157">
        <f>'[1]Marshall data'!Q15</f>
        <v>3.1333333333333333</v>
      </c>
    </row>
    <row r="4" spans="1:7">
      <c r="A4" s="157">
        <f>'[1]Marshall data'!C17</f>
        <v>4.75</v>
      </c>
      <c r="B4" s="158">
        <f>'[1]Marshall data'!I20</f>
        <v>2.470743293128324</v>
      </c>
      <c r="C4" s="158">
        <f>'[1]Marshall data'!J20</f>
        <v>4.3144675188671604</v>
      </c>
      <c r="D4" s="158">
        <f>'[1]Marshall data'!K20</f>
        <v>15.860398814852136</v>
      </c>
      <c r="E4" s="158">
        <f>'[1]Marshall data'!L20</f>
        <v>72.797231839927193</v>
      </c>
      <c r="F4" s="155">
        <f>'[1]Marshall data'!N20</f>
        <v>1101.6833333333334</v>
      </c>
      <c r="G4" s="157">
        <f>'[1]Marshall data'!Q20</f>
        <v>3.1666666666666665</v>
      </c>
    </row>
    <row r="5" spans="1:7">
      <c r="A5" s="157">
        <f>'[1]Marshall data'!C22</f>
        <v>5</v>
      </c>
      <c r="B5" s="158">
        <f>'[1]Marshall data'!I25</f>
        <v>2.4797719406153145</v>
      </c>
      <c r="C5" s="158">
        <f>'[1]Marshall data'!J25</f>
        <v>3.5765558728826767</v>
      </c>
      <c r="D5" s="158">
        <f>'[1]Marshall data'!K25</f>
        <v>15.774579774045316</v>
      </c>
      <c r="E5" s="158">
        <f>'[1]Marshall data'!L25</f>
        <v>77.327092549448722</v>
      </c>
      <c r="F5" s="155">
        <f>'[1]Marshall data'!N25</f>
        <v>1066.2166666666669</v>
      </c>
      <c r="G5" s="157">
        <f>'[1]Marshall data'!Q25</f>
        <v>3.3000000000000003</v>
      </c>
    </row>
    <row r="6" spans="1:7">
      <c r="A6" s="157">
        <f>'[1]Marshall data'!C27</f>
        <v>5.25</v>
      </c>
      <c r="B6" s="158">
        <f>'[1]Marshall data'!I30</f>
        <v>2.4703410000889381</v>
      </c>
      <c r="C6" s="158">
        <f>'[1]Marshall data'!J30</f>
        <v>3.5564897741788384</v>
      </c>
      <c r="D6" s="158">
        <f>'[1]Marshall data'!K30</f>
        <v>16.315704431399009</v>
      </c>
      <c r="E6" s="158">
        <f>'[1]Marshall data'!L30</f>
        <v>78.202045831778506</v>
      </c>
      <c r="F6" s="155">
        <f>'[1]Marshall data'!N30</f>
        <v>990.85</v>
      </c>
      <c r="G6" s="157">
        <f>'[1]Marshall data'!Q30</f>
        <v>3.5333333333333332</v>
      </c>
    </row>
    <row r="7" spans="1:7">
      <c r="A7" s="157">
        <f>'[1]Marshall data'!C32</f>
        <v>5.5</v>
      </c>
      <c r="B7" s="158">
        <f>'[1]Marshall data'!I35</f>
        <v>2.4640389833470153</v>
      </c>
      <c r="C7" s="158">
        <f>'[1]Marshall data'!J35</f>
        <v>3.4167320137598898</v>
      </c>
      <c r="D7" s="158">
        <f>'[1]Marshall data'!K35</f>
        <v>16.749428667019835</v>
      </c>
      <c r="E7" s="158">
        <f>'[1]Marshall data'!L35</f>
        <v>79.60090411628461</v>
      </c>
      <c r="F7" s="155">
        <f>'[1]Marshall data'!N35</f>
        <v>986.41666666666663</v>
      </c>
      <c r="G7" s="157">
        <f>'[1]Marshall data'!Q35</f>
        <v>3.5666666666666664</v>
      </c>
    </row>
    <row r="8" spans="1:7">
      <c r="A8" s="87"/>
    </row>
    <row r="9" spans="1:7">
      <c r="A9" s="8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I15" sqref="I15"/>
    </sheetView>
  </sheetViews>
  <sheetFormatPr defaultRowHeight="12.75"/>
  <cols>
    <col min="1" max="3" width="16.5703125" style="5" customWidth="1"/>
    <col min="4" max="4" width="20.5703125" style="5" customWidth="1"/>
    <col min="5" max="5" width="16.5703125" style="5" customWidth="1"/>
    <col min="6" max="6" width="23.5703125" style="5" customWidth="1"/>
    <col min="7" max="16384" width="9.140625" style="5"/>
  </cols>
  <sheetData>
    <row r="1" spans="1:10" ht="18">
      <c r="A1" s="261" t="s">
        <v>0</v>
      </c>
      <c r="B1" s="261"/>
      <c r="C1" s="261"/>
      <c r="D1" s="261"/>
      <c r="E1" s="261"/>
      <c r="F1" s="261"/>
      <c r="G1" s="1"/>
    </row>
    <row r="2" spans="1:10" ht="14.25">
      <c r="A2" s="227" t="s">
        <v>196</v>
      </c>
      <c r="B2" s="227"/>
      <c r="C2" s="227"/>
      <c r="D2" s="227"/>
      <c r="E2" s="227"/>
      <c r="F2" s="227"/>
      <c r="G2" s="2"/>
    </row>
    <row r="3" spans="1:10">
      <c r="A3" s="262"/>
      <c r="B3" s="262"/>
      <c r="C3" s="262"/>
      <c r="D3" s="262"/>
      <c r="E3" s="262"/>
      <c r="F3" s="262"/>
      <c r="G3" s="8"/>
    </row>
    <row r="4" spans="1:10" s="11" customFormat="1" ht="14.25">
      <c r="A4" s="43" t="s">
        <v>2</v>
      </c>
      <c r="B4" s="43"/>
      <c r="C4" s="263" t="s">
        <v>3</v>
      </c>
      <c r="D4" s="263"/>
      <c r="E4" s="263"/>
      <c r="F4" s="263"/>
      <c r="G4" s="43"/>
      <c r="H4" s="2"/>
    </row>
    <row r="5" spans="1:10" s="14" customFormat="1" ht="14.25">
      <c r="A5" s="43" t="s">
        <v>4</v>
      </c>
      <c r="B5" s="43"/>
      <c r="C5" s="264" t="s">
        <v>5</v>
      </c>
      <c r="D5" s="257"/>
      <c r="E5" s="257"/>
      <c r="F5" s="257"/>
      <c r="G5" s="45"/>
      <c r="H5" s="32"/>
    </row>
    <row r="6" spans="1:10" s="14" customFormat="1">
      <c r="A6" s="159" t="s">
        <v>6</v>
      </c>
      <c r="B6" s="159"/>
      <c r="C6" s="259"/>
      <c r="D6" s="260"/>
      <c r="E6" s="260"/>
      <c r="F6" s="260"/>
      <c r="G6" s="159"/>
      <c r="H6" s="41"/>
    </row>
    <row r="7" spans="1:10" s="58" customFormat="1" ht="15">
      <c r="A7" s="265" t="s">
        <v>197</v>
      </c>
      <c r="B7" s="265"/>
      <c r="C7" s="265"/>
      <c r="D7" s="265"/>
      <c r="E7" s="265"/>
      <c r="F7" s="265"/>
      <c r="G7" s="160"/>
      <c r="H7" s="15"/>
      <c r="I7" s="15"/>
      <c r="J7" s="15"/>
    </row>
    <row r="8" spans="1:10" s="58" customFormat="1" ht="14.25">
      <c r="A8" s="12" t="s">
        <v>8</v>
      </c>
      <c r="B8" s="12"/>
      <c r="C8" s="161" t="s">
        <v>9</v>
      </c>
      <c r="D8" s="24"/>
      <c r="E8" s="12" t="s">
        <v>10</v>
      </c>
      <c r="F8" s="162" t="s">
        <v>198</v>
      </c>
      <c r="H8" s="15"/>
      <c r="I8" s="15"/>
      <c r="J8" s="15"/>
    </row>
    <row r="9" spans="1:10" s="58" customFormat="1" ht="14.25">
      <c r="A9" s="12" t="s">
        <v>12</v>
      </c>
      <c r="B9" s="12"/>
      <c r="C9" s="161" t="s">
        <v>199</v>
      </c>
      <c r="D9" s="24"/>
      <c r="E9" s="12" t="s">
        <v>14</v>
      </c>
      <c r="F9" s="162" t="s">
        <v>198</v>
      </c>
      <c r="H9" s="15"/>
      <c r="I9" s="15"/>
      <c r="J9" s="15"/>
    </row>
    <row r="10" spans="1:10" s="58" customFormat="1">
      <c r="A10" s="12" t="s">
        <v>15</v>
      </c>
      <c r="B10" s="12"/>
      <c r="C10" s="161" t="s">
        <v>200</v>
      </c>
      <c r="D10" s="24"/>
      <c r="E10" s="12" t="s">
        <v>17</v>
      </c>
      <c r="F10" s="162"/>
      <c r="H10" s="42"/>
      <c r="I10" s="42"/>
      <c r="J10" s="42"/>
    </row>
    <row r="11" spans="1:10" s="150" customFormat="1">
      <c r="A11" s="16" t="s">
        <v>18</v>
      </c>
      <c r="B11" s="163"/>
      <c r="C11" s="164">
        <v>1</v>
      </c>
      <c r="D11" s="165"/>
      <c r="E11" s="16"/>
      <c r="F11" s="166"/>
      <c r="H11" s="167"/>
      <c r="I11" s="167"/>
      <c r="J11" s="12"/>
    </row>
    <row r="12" spans="1:10" s="17" customFormat="1">
      <c r="A12" s="18"/>
      <c r="B12" s="18"/>
      <c r="E12" s="168"/>
    </row>
    <row r="13" spans="1:10" s="17" customFormat="1" ht="15">
      <c r="A13" s="266" t="s">
        <v>19</v>
      </c>
      <c r="B13" s="266"/>
      <c r="C13" s="266"/>
      <c r="D13" s="266"/>
      <c r="E13" s="266"/>
      <c r="F13" s="266"/>
      <c r="G13" s="266"/>
    </row>
    <row r="15" spans="1:10">
      <c r="A15" s="267" t="s">
        <v>201</v>
      </c>
      <c r="B15" s="267" t="s">
        <v>202</v>
      </c>
      <c r="C15" s="269" t="s">
        <v>203</v>
      </c>
      <c r="D15" s="270"/>
      <c r="E15" s="269" t="s">
        <v>204</v>
      </c>
      <c r="F15" s="270"/>
    </row>
    <row r="16" spans="1:10" s="170" customFormat="1" ht="56.25" customHeight="1">
      <c r="A16" s="268"/>
      <c r="B16" s="268"/>
      <c r="C16" s="169" t="s">
        <v>205</v>
      </c>
      <c r="D16" s="169" t="s">
        <v>206</v>
      </c>
      <c r="E16" s="169" t="s">
        <v>207</v>
      </c>
      <c r="F16" s="169" t="s">
        <v>208</v>
      </c>
    </row>
    <row r="17" spans="1:7" ht="28.5" customHeight="1">
      <c r="A17" s="171">
        <v>63</v>
      </c>
      <c r="B17" s="171">
        <v>50</v>
      </c>
      <c r="C17" s="172"/>
      <c r="D17" s="173"/>
      <c r="E17" s="171"/>
      <c r="F17" s="173"/>
    </row>
    <row r="18" spans="1:7" ht="28.5" customHeight="1">
      <c r="A18" s="171">
        <v>50</v>
      </c>
      <c r="B18" s="171">
        <v>40</v>
      </c>
      <c r="C18" s="172"/>
      <c r="D18" s="173"/>
      <c r="E18" s="171"/>
      <c r="F18" s="174"/>
    </row>
    <row r="19" spans="1:7" ht="28.5" customHeight="1">
      <c r="A19" s="171">
        <v>40</v>
      </c>
      <c r="B19" s="171">
        <v>31.5</v>
      </c>
      <c r="C19" s="172"/>
      <c r="D19" s="173"/>
      <c r="E19" s="171"/>
      <c r="F19" s="174"/>
    </row>
    <row r="20" spans="1:7" ht="28.5" customHeight="1">
      <c r="A20" s="171">
        <v>31.5</v>
      </c>
      <c r="B20" s="171">
        <v>25</v>
      </c>
      <c r="C20" s="172"/>
      <c r="D20" s="173"/>
      <c r="E20" s="171"/>
      <c r="F20" s="174"/>
    </row>
    <row r="21" spans="1:7" ht="28.5" customHeight="1">
      <c r="A21" s="171">
        <v>25</v>
      </c>
      <c r="B21" s="171">
        <v>20</v>
      </c>
      <c r="C21" s="172"/>
      <c r="D21" s="173"/>
      <c r="E21" s="171"/>
      <c r="F21" s="174"/>
    </row>
    <row r="22" spans="1:7" ht="28.5" customHeight="1">
      <c r="A22" s="171">
        <v>20</v>
      </c>
      <c r="B22" s="171">
        <v>16</v>
      </c>
      <c r="C22" s="172"/>
      <c r="D22" s="175"/>
      <c r="E22" s="176">
        <f>C22-D22</f>
        <v>0</v>
      </c>
      <c r="F22" s="174" t="s">
        <v>80</v>
      </c>
    </row>
    <row r="23" spans="1:7" ht="28.5" customHeight="1">
      <c r="A23" s="171">
        <v>16</v>
      </c>
      <c r="B23" s="171">
        <v>12.5</v>
      </c>
      <c r="C23" s="172">
        <v>672</v>
      </c>
      <c r="D23" s="173">
        <v>140.5</v>
      </c>
      <c r="E23" s="176">
        <f>C23-D23</f>
        <v>531.5</v>
      </c>
      <c r="F23" s="174">
        <v>21.5</v>
      </c>
    </row>
    <row r="24" spans="1:7" ht="28.5" customHeight="1">
      <c r="A24" s="171">
        <v>12.5</v>
      </c>
      <c r="B24" s="171">
        <v>10</v>
      </c>
      <c r="C24" s="172">
        <v>424.5</v>
      </c>
      <c r="D24" s="173">
        <v>126.5</v>
      </c>
      <c r="E24" s="176">
        <f>C24-D24</f>
        <v>298</v>
      </c>
      <c r="F24" s="174">
        <v>23</v>
      </c>
    </row>
    <row r="25" spans="1:7" ht="28.5" customHeight="1">
      <c r="A25" s="171">
        <v>10</v>
      </c>
      <c r="B25" s="171">
        <v>6.3</v>
      </c>
      <c r="C25" s="172">
        <v>226.5</v>
      </c>
      <c r="D25" s="172">
        <v>54.5</v>
      </c>
      <c r="E25" s="176">
        <f>C25-D25</f>
        <v>172</v>
      </c>
      <c r="F25" s="173">
        <v>97.5</v>
      </c>
    </row>
    <row r="26" spans="1:7" ht="28.5" customHeight="1">
      <c r="A26" s="171"/>
      <c r="B26" s="171"/>
      <c r="C26" s="20">
        <f>SUM(C17:C25)</f>
        <v>1323</v>
      </c>
      <c r="D26" s="20">
        <f>SUM(D17:D25)</f>
        <v>321.5</v>
      </c>
      <c r="E26" s="20">
        <f>SUM(E17:E25)</f>
        <v>1001.5</v>
      </c>
      <c r="F26" s="20">
        <f>SUM(F17:F25)</f>
        <v>142</v>
      </c>
    </row>
    <row r="27" spans="1:7" ht="28.5" customHeight="1">
      <c r="A27" s="171"/>
      <c r="B27" s="20"/>
      <c r="C27" s="20" t="s">
        <v>209</v>
      </c>
      <c r="D27" s="177" t="s">
        <v>210</v>
      </c>
      <c r="E27" s="20" t="s">
        <v>211</v>
      </c>
      <c r="F27" s="177" t="s">
        <v>212</v>
      </c>
    </row>
    <row r="28" spans="1:7" ht="28.5" customHeight="1">
      <c r="A28" s="178"/>
      <c r="B28" s="178"/>
      <c r="C28" s="179" t="s">
        <v>213</v>
      </c>
      <c r="D28" s="180">
        <f>D26/C26*100</f>
        <v>24.300831443688587</v>
      </c>
      <c r="E28" s="179" t="s">
        <v>214</v>
      </c>
      <c r="F28" s="180">
        <f>F26/E26*100</f>
        <v>14.178731902146779</v>
      </c>
    </row>
    <row r="29" spans="1:7">
      <c r="D29" s="181"/>
      <c r="G29" s="182"/>
    </row>
    <row r="30" spans="1:7">
      <c r="D30" s="181"/>
      <c r="G30" s="182"/>
    </row>
    <row r="31" spans="1:7">
      <c r="D31" s="181"/>
      <c r="G31" s="182"/>
    </row>
    <row r="32" spans="1:7" ht="15">
      <c r="A32" s="183" t="s">
        <v>215</v>
      </c>
      <c r="D32" s="184">
        <f>D28+F28</f>
        <v>38.479563345835366</v>
      </c>
      <c r="E32" s="185" t="s">
        <v>216</v>
      </c>
    </row>
    <row r="36" spans="1:7">
      <c r="F36" s="186"/>
    </row>
    <row r="39" spans="1:7">
      <c r="A39" s="28"/>
      <c r="B39" s="187"/>
      <c r="C39" s="187"/>
      <c r="D39" s="187"/>
      <c r="E39" s="188"/>
      <c r="F39" s="189"/>
      <c r="G39" s="189"/>
    </row>
  </sheetData>
  <mergeCells count="12">
    <mergeCell ref="A7:F7"/>
    <mergeCell ref="A13:G13"/>
    <mergeCell ref="A15:A16"/>
    <mergeCell ref="B15:B16"/>
    <mergeCell ref="C15:D15"/>
    <mergeCell ref="E15:F15"/>
    <mergeCell ref="C6:F6"/>
    <mergeCell ref="A1:F1"/>
    <mergeCell ref="A2:F2"/>
    <mergeCell ref="A3:F3"/>
    <mergeCell ref="C4:F4"/>
    <mergeCell ref="C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5"/>
  <sheetViews>
    <sheetView topLeftCell="A7" workbookViewId="0">
      <selection activeCell="L11" sqref="L11"/>
    </sheetView>
  </sheetViews>
  <sheetFormatPr defaultRowHeight="12.75"/>
  <cols>
    <col min="1" max="4" width="9.140625" style="14"/>
    <col min="5" max="5" width="16" style="14" customWidth="1"/>
    <col min="6" max="16384" width="9.140625" style="14"/>
  </cols>
  <sheetData>
    <row r="1" spans="1:8" ht="18">
      <c r="A1" s="261" t="s">
        <v>0</v>
      </c>
      <c r="B1" s="261"/>
      <c r="C1" s="261"/>
      <c r="D1" s="261"/>
      <c r="E1" s="261"/>
      <c r="F1" s="261"/>
      <c r="G1" s="261"/>
      <c r="H1" s="261"/>
    </row>
    <row r="2" spans="1:8">
      <c r="A2" s="271" t="s">
        <v>1</v>
      </c>
      <c r="B2" s="271"/>
      <c r="C2" s="271"/>
      <c r="D2" s="271"/>
      <c r="E2" s="271"/>
      <c r="F2" s="271"/>
      <c r="G2" s="271"/>
      <c r="H2" s="271"/>
    </row>
    <row r="3" spans="1:8">
      <c r="A3" s="272"/>
      <c r="B3" s="272"/>
      <c r="C3" s="272"/>
      <c r="D3" s="272"/>
      <c r="E3" s="272"/>
      <c r="F3" s="272"/>
      <c r="G3" s="272"/>
      <c r="H3" s="272"/>
    </row>
    <row r="4" spans="1:8">
      <c r="A4" s="273"/>
      <c r="B4" s="273"/>
      <c r="C4" s="273"/>
      <c r="D4" s="273"/>
      <c r="E4" s="273"/>
      <c r="F4" s="273"/>
      <c r="G4" s="273"/>
      <c r="H4" s="273"/>
    </row>
    <row r="5" spans="1:8">
      <c r="A5" s="43" t="s">
        <v>2</v>
      </c>
      <c r="B5" s="41"/>
      <c r="C5" s="264" t="s">
        <v>3</v>
      </c>
      <c r="D5" s="264"/>
      <c r="E5" s="264"/>
      <c r="F5" s="264"/>
      <c r="G5" s="264"/>
      <c r="H5" s="264"/>
    </row>
    <row r="6" spans="1:8">
      <c r="A6" s="43" t="s">
        <v>4</v>
      </c>
      <c r="B6" s="41"/>
      <c r="C6" s="229" t="s">
        <v>5</v>
      </c>
      <c r="D6" s="229"/>
      <c r="E6" s="229"/>
      <c r="F6" s="229"/>
      <c r="G6" s="229"/>
      <c r="H6" s="229"/>
    </row>
    <row r="7" spans="1:8">
      <c r="A7" s="159" t="s">
        <v>6</v>
      </c>
      <c r="B7" s="8"/>
      <c r="C7" s="259"/>
      <c r="D7" s="259"/>
      <c r="E7" s="259"/>
      <c r="F7" s="259"/>
      <c r="G7" s="259"/>
      <c r="H7" s="259"/>
    </row>
    <row r="8" spans="1:8" s="190" customFormat="1" ht="15">
      <c r="A8" s="265" t="s">
        <v>217</v>
      </c>
      <c r="B8" s="265"/>
      <c r="C8" s="265"/>
      <c r="D8" s="265"/>
      <c r="E8" s="265"/>
      <c r="F8" s="265"/>
      <c r="G8" s="265"/>
      <c r="H8" s="265"/>
    </row>
    <row r="9" spans="1:8" s="190" customFormat="1" ht="24" customHeight="1">
      <c r="A9" s="12" t="s">
        <v>8</v>
      </c>
      <c r="B9" s="12"/>
      <c r="C9" s="161" t="s">
        <v>9</v>
      </c>
      <c r="F9" s="12" t="s">
        <v>10</v>
      </c>
      <c r="H9" s="162" t="s">
        <v>218</v>
      </c>
    </row>
    <row r="10" spans="1:8" s="190" customFormat="1" ht="24" customHeight="1">
      <c r="A10" s="12" t="s">
        <v>12</v>
      </c>
      <c r="B10" s="12"/>
      <c r="C10" s="161" t="s">
        <v>219</v>
      </c>
      <c r="F10" s="12" t="s">
        <v>14</v>
      </c>
      <c r="H10" s="162" t="s">
        <v>218</v>
      </c>
    </row>
    <row r="11" spans="1:8" s="190" customFormat="1" ht="24" customHeight="1">
      <c r="A11" s="12" t="s">
        <v>15</v>
      </c>
      <c r="B11" s="12"/>
      <c r="C11" s="161" t="s">
        <v>200</v>
      </c>
      <c r="F11" s="12" t="s">
        <v>17</v>
      </c>
      <c r="H11" s="191"/>
    </row>
    <row r="12" spans="1:8" s="190" customFormat="1" ht="24" customHeight="1">
      <c r="A12" s="16" t="s">
        <v>18</v>
      </c>
      <c r="B12" s="16"/>
      <c r="C12" s="164">
        <v>1</v>
      </c>
      <c r="D12" s="16"/>
      <c r="E12" s="16"/>
      <c r="F12" s="16"/>
      <c r="G12" s="16"/>
      <c r="H12" s="16"/>
    </row>
    <row r="13" spans="1:8" ht="24" customHeight="1">
      <c r="A13" s="192"/>
      <c r="B13" s="17"/>
      <c r="C13" s="17"/>
      <c r="D13" s="17"/>
      <c r="E13" s="17"/>
      <c r="F13" s="17"/>
      <c r="G13" s="17"/>
      <c r="H13" s="17"/>
    </row>
    <row r="14" spans="1:8" ht="24" customHeight="1">
      <c r="A14" s="274" t="s">
        <v>31</v>
      </c>
      <c r="B14" s="274" t="s">
        <v>220</v>
      </c>
      <c r="C14" s="274"/>
      <c r="D14" s="274"/>
      <c r="E14" s="274"/>
      <c r="F14" s="274">
        <v>1</v>
      </c>
      <c r="G14" s="274">
        <v>2</v>
      </c>
      <c r="H14" s="274">
        <v>3</v>
      </c>
    </row>
    <row r="15" spans="1:8" ht="24" customHeight="1">
      <c r="A15" s="274"/>
      <c r="B15" s="274"/>
      <c r="C15" s="274"/>
      <c r="D15" s="274"/>
      <c r="E15" s="274"/>
      <c r="F15" s="274"/>
      <c r="G15" s="274"/>
      <c r="H15" s="274"/>
    </row>
    <row r="16" spans="1:8" ht="24" customHeight="1">
      <c r="A16" s="275" t="s">
        <v>221</v>
      </c>
      <c r="B16" s="276" t="s">
        <v>222</v>
      </c>
      <c r="C16" s="276"/>
      <c r="D16" s="276"/>
      <c r="E16" s="276"/>
      <c r="F16" s="275">
        <v>751</v>
      </c>
      <c r="G16" s="275">
        <f>F16</f>
        <v>751</v>
      </c>
      <c r="H16" s="275">
        <f>G16</f>
        <v>751</v>
      </c>
    </row>
    <row r="17" spans="1:8" ht="24" customHeight="1">
      <c r="A17" s="275"/>
      <c r="B17" s="276"/>
      <c r="C17" s="276"/>
      <c r="D17" s="276"/>
      <c r="E17" s="276"/>
      <c r="F17" s="275"/>
      <c r="G17" s="275"/>
      <c r="H17" s="275"/>
    </row>
    <row r="18" spans="1:8" ht="24" customHeight="1">
      <c r="A18" s="275" t="s">
        <v>223</v>
      </c>
      <c r="B18" s="276" t="s">
        <v>224</v>
      </c>
      <c r="C18" s="276"/>
      <c r="D18" s="276"/>
      <c r="E18" s="276"/>
      <c r="F18" s="277">
        <f>F16+F20</f>
        <v>1086.5</v>
      </c>
      <c r="G18" s="277">
        <f>G16+G20</f>
        <v>1090</v>
      </c>
      <c r="H18" s="277">
        <f>H16+H20</f>
        <v>1094.5</v>
      </c>
    </row>
    <row r="19" spans="1:8" ht="24" customHeight="1">
      <c r="A19" s="275"/>
      <c r="B19" s="276"/>
      <c r="C19" s="276"/>
      <c r="D19" s="276"/>
      <c r="E19" s="276"/>
      <c r="F19" s="277"/>
      <c r="G19" s="277"/>
      <c r="H19" s="277"/>
    </row>
    <row r="20" spans="1:8" ht="24" customHeight="1">
      <c r="A20" s="275" t="s">
        <v>225</v>
      </c>
      <c r="B20" s="276" t="s">
        <v>226</v>
      </c>
      <c r="C20" s="276"/>
      <c r="D20" s="276"/>
      <c r="E20" s="276"/>
      <c r="F20" s="277">
        <v>335.5</v>
      </c>
      <c r="G20" s="277">
        <v>339</v>
      </c>
      <c r="H20" s="277">
        <v>343.5</v>
      </c>
    </row>
    <row r="21" spans="1:8" ht="24" customHeight="1">
      <c r="A21" s="275"/>
      <c r="B21" s="276"/>
      <c r="C21" s="276"/>
      <c r="D21" s="276"/>
      <c r="E21" s="276"/>
      <c r="F21" s="277"/>
      <c r="G21" s="277"/>
      <c r="H21" s="277"/>
    </row>
    <row r="22" spans="1:8" ht="24" customHeight="1">
      <c r="A22" s="275" t="s">
        <v>227</v>
      </c>
      <c r="B22" s="278" t="s">
        <v>228</v>
      </c>
      <c r="C22" s="278"/>
      <c r="D22" s="278"/>
      <c r="E22" s="278"/>
      <c r="F22" s="277">
        <v>293.5</v>
      </c>
      <c r="G22" s="277">
        <v>296</v>
      </c>
      <c r="H22" s="277">
        <v>300</v>
      </c>
    </row>
    <row r="23" spans="1:8" ht="24" customHeight="1">
      <c r="A23" s="275"/>
      <c r="B23" s="278"/>
      <c r="C23" s="278"/>
      <c r="D23" s="278"/>
      <c r="E23" s="278"/>
      <c r="F23" s="277"/>
      <c r="G23" s="277"/>
      <c r="H23" s="277"/>
    </row>
    <row r="24" spans="1:8" ht="24" customHeight="1">
      <c r="A24" s="275" t="s">
        <v>229</v>
      </c>
      <c r="B24" s="278" t="s">
        <v>230</v>
      </c>
      <c r="C24" s="278"/>
      <c r="D24" s="278"/>
      <c r="E24" s="278"/>
      <c r="F24" s="275">
        <f>F20-F22</f>
        <v>42</v>
      </c>
      <c r="G24" s="275">
        <f>G20-G22</f>
        <v>43</v>
      </c>
      <c r="H24" s="275">
        <f>H20-H22</f>
        <v>43.5</v>
      </c>
    </row>
    <row r="25" spans="1:8" ht="24" customHeight="1">
      <c r="A25" s="275"/>
      <c r="B25" s="278"/>
      <c r="C25" s="278"/>
      <c r="D25" s="278"/>
      <c r="E25" s="278"/>
      <c r="F25" s="275"/>
      <c r="G25" s="275"/>
      <c r="H25" s="275"/>
    </row>
    <row r="26" spans="1:8" ht="24" customHeight="1">
      <c r="A26" s="275" t="s">
        <v>231</v>
      </c>
      <c r="B26" s="276" t="s">
        <v>232</v>
      </c>
      <c r="C26" s="276"/>
      <c r="D26" s="276"/>
      <c r="E26" s="276"/>
      <c r="F26" s="281">
        <f>F24/F20*100</f>
        <v>12.518628912071536</v>
      </c>
      <c r="G26" s="281">
        <f>G24/G20*100</f>
        <v>12.684365781710916</v>
      </c>
      <c r="H26" s="281">
        <f>H24/H20*100</f>
        <v>12.663755458515283</v>
      </c>
    </row>
    <row r="27" spans="1:8" ht="24" customHeight="1">
      <c r="A27" s="275"/>
      <c r="B27" s="276"/>
      <c r="C27" s="276"/>
      <c r="D27" s="276"/>
      <c r="E27" s="276"/>
      <c r="F27" s="281"/>
      <c r="G27" s="281"/>
      <c r="H27" s="281"/>
    </row>
    <row r="28" spans="1:8" ht="24" customHeight="1">
      <c r="B28" s="88"/>
      <c r="C28" s="88"/>
      <c r="D28" s="88"/>
      <c r="E28" s="88"/>
      <c r="F28" s="42"/>
      <c r="G28" s="42"/>
      <c r="H28" s="42"/>
    </row>
    <row r="29" spans="1:8" ht="24" customHeight="1">
      <c r="B29" s="264" t="s">
        <v>233</v>
      </c>
      <c r="C29" s="264"/>
      <c r="D29" s="264"/>
      <c r="E29" s="264"/>
      <c r="F29" s="279">
        <f>AVERAGE(F26:H27)</f>
        <v>12.622250050765912</v>
      </c>
      <c r="G29" s="280"/>
      <c r="H29" s="280"/>
    </row>
    <row r="30" spans="1:8" ht="24" customHeight="1">
      <c r="B30" s="264"/>
      <c r="C30" s="264"/>
      <c r="D30" s="264"/>
      <c r="E30" s="264"/>
      <c r="F30" s="280"/>
      <c r="G30" s="280"/>
      <c r="H30" s="280"/>
    </row>
    <row r="31" spans="1:8">
      <c r="B31" s="42"/>
      <c r="C31" s="42"/>
      <c r="D31" s="42"/>
      <c r="E31" s="42"/>
      <c r="F31" s="42"/>
      <c r="G31" s="42"/>
      <c r="H31" s="42"/>
    </row>
    <row r="32" spans="1:8">
      <c r="B32" s="42"/>
      <c r="C32" s="42"/>
      <c r="D32" s="42"/>
      <c r="E32" s="42"/>
      <c r="F32" s="42"/>
      <c r="G32" s="42"/>
      <c r="H32" s="42"/>
    </row>
    <row r="33" spans="1:8">
      <c r="B33" s="42"/>
      <c r="C33" s="42"/>
      <c r="D33" s="42"/>
      <c r="E33" s="42"/>
      <c r="F33" s="42"/>
      <c r="G33" s="42"/>
      <c r="H33" s="42"/>
    </row>
    <row r="34" spans="1:8" ht="14.25">
      <c r="A34" s="193" t="s">
        <v>234</v>
      </c>
      <c r="B34" s="42"/>
      <c r="C34" s="194"/>
      <c r="D34" s="194"/>
      <c r="E34" s="194"/>
      <c r="F34" s="194"/>
      <c r="G34" s="194"/>
      <c r="H34" s="194"/>
    </row>
    <row r="35" spans="1:8">
      <c r="A35" s="195"/>
      <c r="B35" s="195"/>
      <c r="C35" s="195"/>
      <c r="D35" s="195"/>
      <c r="E35" s="195"/>
      <c r="F35" s="195"/>
      <c r="G35" s="195"/>
      <c r="H35" s="195"/>
    </row>
    <row r="36" spans="1:8">
      <c r="A36" s="196"/>
      <c r="B36" s="196"/>
      <c r="C36" s="196"/>
      <c r="D36" s="196"/>
      <c r="E36" s="196"/>
      <c r="F36" s="196"/>
      <c r="G36" s="196"/>
      <c r="H36" s="196"/>
    </row>
    <row r="40" spans="1:8">
      <c r="A40" s="42"/>
      <c r="B40" s="42"/>
      <c r="C40" s="42"/>
      <c r="D40" s="42"/>
      <c r="E40" s="42"/>
      <c r="F40" s="42"/>
      <c r="G40" s="42"/>
      <c r="H40" s="42"/>
    </row>
    <row r="41" spans="1:8">
      <c r="A41" s="42"/>
      <c r="B41" s="42"/>
      <c r="C41" s="42"/>
      <c r="D41" s="42"/>
      <c r="E41" s="42"/>
      <c r="F41" s="42"/>
      <c r="G41" s="42"/>
      <c r="H41" s="197"/>
    </row>
    <row r="42" spans="1:8">
      <c r="A42" s="42"/>
      <c r="B42" s="42"/>
      <c r="C42" s="42"/>
      <c r="D42" s="42"/>
      <c r="E42" s="42"/>
      <c r="F42" s="42"/>
      <c r="G42" s="42"/>
      <c r="H42" s="42"/>
    </row>
    <row r="43" spans="1:8">
      <c r="A43" s="42"/>
      <c r="B43" s="42"/>
      <c r="C43" s="42"/>
      <c r="D43" s="42"/>
      <c r="E43" s="42"/>
      <c r="F43" s="42"/>
      <c r="G43" s="42"/>
      <c r="H43" s="42"/>
    </row>
    <row r="44" spans="1:8">
      <c r="A44" s="19"/>
      <c r="B44" s="19"/>
      <c r="C44" s="17"/>
      <c r="D44" s="19"/>
      <c r="E44" s="19"/>
      <c r="F44" s="19"/>
      <c r="G44" s="19"/>
      <c r="H44" s="19"/>
    </row>
    <row r="45" spans="1:8">
      <c r="A45" s="42"/>
      <c r="B45" s="42"/>
      <c r="C45" s="42"/>
      <c r="D45" s="42"/>
      <c r="E45" s="42"/>
      <c r="F45" s="42"/>
      <c r="G45" s="42"/>
      <c r="H45" s="42"/>
    </row>
  </sheetData>
  <mergeCells count="44">
    <mergeCell ref="B29:E30"/>
    <mergeCell ref="F29:H30"/>
    <mergeCell ref="A24:A25"/>
    <mergeCell ref="B24:E25"/>
    <mergeCell ref="F24:F25"/>
    <mergeCell ref="G24:G25"/>
    <mergeCell ref="H24:H25"/>
    <mergeCell ref="A26:A27"/>
    <mergeCell ref="B26:E27"/>
    <mergeCell ref="F26:F27"/>
    <mergeCell ref="G26:G27"/>
    <mergeCell ref="H26:H27"/>
    <mergeCell ref="A20:A21"/>
    <mergeCell ref="B20:E21"/>
    <mergeCell ref="F20:F21"/>
    <mergeCell ref="G20:G21"/>
    <mergeCell ref="H20:H21"/>
    <mergeCell ref="A22:A23"/>
    <mergeCell ref="B22:E23"/>
    <mergeCell ref="F22:F23"/>
    <mergeCell ref="G22:G23"/>
    <mergeCell ref="H22:H23"/>
    <mergeCell ref="A16:A17"/>
    <mergeCell ref="B16:E17"/>
    <mergeCell ref="F16:F17"/>
    <mergeCell ref="G16:G17"/>
    <mergeCell ref="H16:H17"/>
    <mergeCell ref="A18:A19"/>
    <mergeCell ref="B18:E19"/>
    <mergeCell ref="F18:F19"/>
    <mergeCell ref="G18:G19"/>
    <mergeCell ref="H18:H19"/>
    <mergeCell ref="A8:H8"/>
    <mergeCell ref="A14:A15"/>
    <mergeCell ref="B14:E15"/>
    <mergeCell ref="F14:F15"/>
    <mergeCell ref="G14:G15"/>
    <mergeCell ref="H14:H15"/>
    <mergeCell ref="C7:H7"/>
    <mergeCell ref="A1:H1"/>
    <mergeCell ref="A2:H3"/>
    <mergeCell ref="A4:H4"/>
    <mergeCell ref="C5:H5"/>
    <mergeCell ref="C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F12" sqref="F12"/>
    </sheetView>
  </sheetViews>
  <sheetFormatPr defaultRowHeight="12.75"/>
  <cols>
    <col min="1" max="5" width="9.140625" style="198"/>
    <col min="6" max="6" width="10.140625" style="198" customWidth="1"/>
    <col min="7" max="16384" width="9.140625" style="198"/>
  </cols>
  <sheetData>
    <row r="1" spans="1:24" ht="24.75" customHeight="1">
      <c r="A1" s="261" t="s">
        <v>0</v>
      </c>
      <c r="B1" s="261"/>
      <c r="C1" s="261"/>
      <c r="D1" s="261"/>
      <c r="E1" s="261"/>
      <c r="F1" s="261"/>
      <c r="G1" s="261" t="s">
        <v>0</v>
      </c>
      <c r="H1" s="261"/>
      <c r="I1" s="261"/>
      <c r="J1" s="261"/>
      <c r="K1" s="261"/>
      <c r="L1" s="261"/>
      <c r="M1" s="261" t="s">
        <v>0</v>
      </c>
      <c r="N1" s="261"/>
      <c r="O1" s="261"/>
      <c r="P1" s="261"/>
      <c r="Q1" s="261"/>
      <c r="R1" s="261"/>
      <c r="S1" s="261" t="s">
        <v>0</v>
      </c>
      <c r="T1" s="261"/>
      <c r="U1" s="261"/>
      <c r="V1" s="261"/>
      <c r="W1" s="261"/>
      <c r="X1" s="261"/>
    </row>
    <row r="2" spans="1:24" ht="24.75" customHeight="1">
      <c r="A2" s="272" t="s">
        <v>235</v>
      </c>
      <c r="B2" s="272"/>
      <c r="C2" s="272"/>
      <c r="D2" s="272"/>
      <c r="E2" s="272"/>
      <c r="F2" s="272"/>
      <c r="G2" s="272" t="s">
        <v>235</v>
      </c>
      <c r="H2" s="272"/>
      <c r="I2" s="272"/>
      <c r="J2" s="272"/>
      <c r="K2" s="272"/>
      <c r="L2" s="272"/>
      <c r="M2" s="272" t="s">
        <v>235</v>
      </c>
      <c r="N2" s="272"/>
      <c r="O2" s="272"/>
      <c r="P2" s="272"/>
      <c r="Q2" s="272"/>
      <c r="R2" s="272"/>
      <c r="S2" s="272" t="s">
        <v>196</v>
      </c>
      <c r="T2" s="272"/>
      <c r="U2" s="272"/>
      <c r="V2" s="272"/>
      <c r="W2" s="272"/>
      <c r="X2" s="272"/>
    </row>
    <row r="3" spans="1:24" ht="24.75" customHeight="1">
      <c r="A3" s="273" t="s">
        <v>236</v>
      </c>
      <c r="B3" s="273"/>
      <c r="C3" s="273"/>
      <c r="D3" s="273"/>
      <c r="E3" s="273"/>
      <c r="F3" s="273"/>
      <c r="G3" s="273" t="s">
        <v>236</v>
      </c>
      <c r="H3" s="273"/>
      <c r="I3" s="273"/>
      <c r="J3" s="273"/>
      <c r="K3" s="273"/>
      <c r="L3" s="273"/>
      <c r="M3" s="273" t="s">
        <v>236</v>
      </c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</row>
    <row r="4" spans="1:24" s="24" customFormat="1" ht="24.75" customHeight="1">
      <c r="A4" s="43" t="s">
        <v>2</v>
      </c>
      <c r="B4" s="41"/>
      <c r="C4" s="43" t="s">
        <v>3</v>
      </c>
      <c r="D4" s="41"/>
      <c r="E4" s="41"/>
      <c r="F4" s="41"/>
      <c r="G4" s="43" t="s">
        <v>2</v>
      </c>
      <c r="H4" s="41"/>
      <c r="I4" s="43" t="s">
        <v>3</v>
      </c>
      <c r="J4" s="41"/>
      <c r="K4" s="41"/>
      <c r="L4" s="41"/>
      <c r="M4" s="43" t="s">
        <v>2</v>
      </c>
      <c r="N4" s="41"/>
      <c r="O4" s="43" t="s">
        <v>3</v>
      </c>
      <c r="P4" s="41"/>
      <c r="Q4" s="41"/>
      <c r="R4" s="41"/>
      <c r="S4" s="43" t="s">
        <v>2</v>
      </c>
      <c r="T4" s="41"/>
      <c r="U4" s="43" t="s">
        <v>3</v>
      </c>
      <c r="V4" s="41"/>
      <c r="W4" s="41"/>
      <c r="X4" s="41"/>
    </row>
    <row r="5" spans="1:24" s="24" customFormat="1" ht="24.75" customHeight="1">
      <c r="A5" s="43" t="s">
        <v>4</v>
      </c>
      <c r="B5" s="41"/>
      <c r="C5" s="229" t="s">
        <v>5</v>
      </c>
      <c r="D5" s="229"/>
      <c r="E5" s="229"/>
      <c r="F5" s="229"/>
      <c r="G5" s="43" t="s">
        <v>4</v>
      </c>
      <c r="H5" s="41"/>
      <c r="I5" s="229" t="s">
        <v>5</v>
      </c>
      <c r="J5" s="229"/>
      <c r="K5" s="229"/>
      <c r="L5" s="229"/>
      <c r="M5" s="43" t="s">
        <v>4</v>
      </c>
      <c r="N5" s="41"/>
      <c r="O5" s="229" t="s">
        <v>5</v>
      </c>
      <c r="P5" s="229"/>
      <c r="Q5" s="229"/>
      <c r="R5" s="229"/>
      <c r="S5" s="43" t="s">
        <v>4</v>
      </c>
      <c r="T5" s="41"/>
      <c r="U5" s="229" t="s">
        <v>5</v>
      </c>
      <c r="V5" s="229"/>
      <c r="W5" s="229"/>
      <c r="X5" s="229"/>
    </row>
    <row r="6" spans="1:24" s="24" customFormat="1" ht="24.75" customHeight="1">
      <c r="A6" s="159" t="s">
        <v>6</v>
      </c>
      <c r="B6" s="8"/>
      <c r="C6" s="159" t="s">
        <v>237</v>
      </c>
      <c r="D6" s="8"/>
      <c r="E6" s="8"/>
      <c r="F6" s="8"/>
      <c r="G6" s="159" t="s">
        <v>6</v>
      </c>
      <c r="H6" s="8"/>
      <c r="I6" s="159" t="s">
        <v>237</v>
      </c>
      <c r="J6" s="8"/>
      <c r="K6" s="8"/>
      <c r="L6" s="8"/>
      <c r="M6" s="159" t="s">
        <v>6</v>
      </c>
      <c r="N6" s="8"/>
      <c r="O6" s="159" t="s">
        <v>237</v>
      </c>
      <c r="P6" s="8"/>
      <c r="Q6" s="8"/>
      <c r="R6" s="8"/>
      <c r="S6" s="159" t="s">
        <v>6</v>
      </c>
      <c r="T6" s="8"/>
      <c r="U6" s="159"/>
      <c r="V6" s="8"/>
      <c r="W6" s="8"/>
      <c r="X6" s="8"/>
    </row>
    <row r="7" spans="1:24" s="24" customFormat="1" ht="24.75" customHeight="1">
      <c r="A7" s="282" t="s">
        <v>238</v>
      </c>
      <c r="B7" s="282"/>
      <c r="C7" s="282"/>
      <c r="D7" s="282"/>
      <c r="E7" s="282"/>
      <c r="F7" s="282"/>
      <c r="G7" s="282" t="s">
        <v>238</v>
      </c>
      <c r="H7" s="282"/>
      <c r="I7" s="282"/>
      <c r="J7" s="282"/>
      <c r="K7" s="282"/>
      <c r="L7" s="282"/>
      <c r="M7" s="282" t="s">
        <v>238</v>
      </c>
      <c r="N7" s="282"/>
      <c r="O7" s="282"/>
      <c r="P7" s="282"/>
      <c r="Q7" s="282"/>
      <c r="R7" s="282"/>
      <c r="S7" s="282" t="s">
        <v>238</v>
      </c>
      <c r="T7" s="282"/>
      <c r="U7" s="282"/>
      <c r="V7" s="282"/>
      <c r="W7" s="282"/>
      <c r="X7" s="282"/>
    </row>
    <row r="8" spans="1:24" ht="24.75" customHeight="1">
      <c r="A8" s="199" t="s">
        <v>8</v>
      </c>
      <c r="B8" s="199"/>
      <c r="C8" s="200" t="s">
        <v>9</v>
      </c>
      <c r="D8" s="199" t="s">
        <v>10</v>
      </c>
      <c r="E8" s="201" t="s">
        <v>239</v>
      </c>
      <c r="F8" s="199"/>
      <c r="G8" s="199" t="s">
        <v>8</v>
      </c>
      <c r="H8" s="199"/>
      <c r="I8" s="200" t="s">
        <v>9</v>
      </c>
      <c r="J8" s="199" t="s">
        <v>10</v>
      </c>
      <c r="K8" s="201" t="s">
        <v>240</v>
      </c>
      <c r="L8" s="199"/>
      <c r="M8" s="199" t="s">
        <v>8</v>
      </c>
      <c r="N8" s="199"/>
      <c r="O8" s="200" t="s">
        <v>9</v>
      </c>
      <c r="P8" s="199" t="s">
        <v>10</v>
      </c>
      <c r="Q8" s="202">
        <v>37054</v>
      </c>
      <c r="R8" s="199"/>
      <c r="S8" s="199" t="s">
        <v>8</v>
      </c>
      <c r="T8" s="199"/>
      <c r="U8" s="200" t="s">
        <v>9</v>
      </c>
      <c r="V8" s="199" t="s">
        <v>10</v>
      </c>
      <c r="W8" s="202" t="s">
        <v>241</v>
      </c>
      <c r="X8" s="199"/>
    </row>
    <row r="9" spans="1:24" ht="24.75" customHeight="1">
      <c r="A9" s="12" t="s">
        <v>12</v>
      </c>
      <c r="B9" s="12"/>
      <c r="C9" s="161" t="s">
        <v>13</v>
      </c>
      <c r="D9" s="12" t="s">
        <v>14</v>
      </c>
      <c r="E9" s="191" t="s">
        <v>239</v>
      </c>
      <c r="F9" s="12"/>
      <c r="G9" s="12" t="s">
        <v>12</v>
      </c>
      <c r="H9" s="12"/>
      <c r="I9" s="161" t="s">
        <v>115</v>
      </c>
      <c r="J9" s="12" t="s">
        <v>14</v>
      </c>
      <c r="K9" s="191" t="s">
        <v>240</v>
      </c>
      <c r="L9" s="12"/>
      <c r="M9" s="12" t="s">
        <v>12</v>
      </c>
      <c r="N9" s="12"/>
      <c r="O9" s="161" t="s">
        <v>116</v>
      </c>
      <c r="P9" s="12" t="s">
        <v>14</v>
      </c>
      <c r="Q9" s="203">
        <v>37054</v>
      </c>
      <c r="R9" s="12"/>
      <c r="S9" s="12" t="s">
        <v>12</v>
      </c>
      <c r="T9" s="12"/>
      <c r="U9" s="161" t="s">
        <v>242</v>
      </c>
      <c r="V9" s="12" t="s">
        <v>14</v>
      </c>
      <c r="W9" s="203" t="s">
        <v>241</v>
      </c>
      <c r="X9" s="12"/>
    </row>
    <row r="10" spans="1:24" ht="24.75" customHeight="1">
      <c r="A10" s="12" t="s">
        <v>15</v>
      </c>
      <c r="B10" s="12"/>
      <c r="C10" s="161" t="s">
        <v>16</v>
      </c>
      <c r="D10" s="12" t="s">
        <v>17</v>
      </c>
      <c r="E10" s="162" t="s">
        <v>243</v>
      </c>
      <c r="F10" s="12"/>
      <c r="G10" s="12" t="s">
        <v>15</v>
      </c>
      <c r="H10" s="12"/>
      <c r="I10" s="161" t="s">
        <v>200</v>
      </c>
      <c r="J10" s="12" t="s">
        <v>17</v>
      </c>
      <c r="K10" s="162" t="s">
        <v>243</v>
      </c>
      <c r="L10" s="12"/>
      <c r="M10" s="12" t="s">
        <v>15</v>
      </c>
      <c r="N10" s="12"/>
      <c r="O10" s="161" t="s">
        <v>200</v>
      </c>
      <c r="P10" s="12" t="s">
        <v>17</v>
      </c>
      <c r="Q10" s="162" t="s">
        <v>243</v>
      </c>
      <c r="R10" s="12"/>
      <c r="S10" s="12" t="s">
        <v>15</v>
      </c>
      <c r="T10" s="12"/>
      <c r="U10" s="161" t="s">
        <v>200</v>
      </c>
      <c r="V10" s="12" t="s">
        <v>17</v>
      </c>
      <c r="W10" s="162"/>
      <c r="X10" s="12"/>
    </row>
    <row r="11" spans="1:24" ht="24.75" customHeight="1">
      <c r="A11" s="16" t="s">
        <v>18</v>
      </c>
      <c r="B11" s="16"/>
      <c r="C11" s="164">
        <v>1</v>
      </c>
      <c r="D11" s="16"/>
      <c r="E11" s="16"/>
      <c r="F11" s="16"/>
      <c r="G11" s="16" t="s">
        <v>18</v>
      </c>
      <c r="H11" s="16"/>
      <c r="I11" s="164">
        <v>1</v>
      </c>
      <c r="J11" s="16"/>
      <c r="K11" s="16"/>
      <c r="L11" s="16"/>
      <c r="M11" s="16" t="s">
        <v>18</v>
      </c>
      <c r="N11" s="16"/>
      <c r="O11" s="164">
        <v>1</v>
      </c>
      <c r="P11" s="16"/>
      <c r="Q11" s="16"/>
      <c r="R11" s="16"/>
      <c r="S11" s="16" t="s">
        <v>18</v>
      </c>
      <c r="T11" s="16"/>
      <c r="U11" s="164">
        <v>1</v>
      </c>
      <c r="V11" s="16"/>
      <c r="W11" s="16"/>
      <c r="X11" s="16"/>
    </row>
    <row r="12" spans="1:24" ht="24.75" customHeight="1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</row>
    <row r="13" spans="1:24" ht="24.75" customHeight="1">
      <c r="A13" s="205" t="s">
        <v>244</v>
      </c>
      <c r="B13" s="205" t="s">
        <v>245</v>
      </c>
      <c r="C13" s="205" t="s">
        <v>246</v>
      </c>
      <c r="D13" s="205" t="s">
        <v>247</v>
      </c>
      <c r="E13" s="205" t="s">
        <v>248</v>
      </c>
      <c r="F13" s="205" t="s">
        <v>249</v>
      </c>
      <c r="G13" s="205" t="s">
        <v>244</v>
      </c>
      <c r="H13" s="205" t="s">
        <v>245</v>
      </c>
      <c r="I13" s="205" t="s">
        <v>246</v>
      </c>
      <c r="J13" s="205" t="s">
        <v>247</v>
      </c>
      <c r="K13" s="205" t="s">
        <v>248</v>
      </c>
      <c r="L13" s="205" t="s">
        <v>249</v>
      </c>
      <c r="M13" s="205" t="s">
        <v>244</v>
      </c>
      <c r="N13" s="205" t="s">
        <v>245</v>
      </c>
      <c r="O13" s="205" t="s">
        <v>246</v>
      </c>
      <c r="P13" s="205" t="s">
        <v>247</v>
      </c>
      <c r="Q13" s="205" t="s">
        <v>248</v>
      </c>
      <c r="R13" s="205" t="s">
        <v>249</v>
      </c>
      <c r="S13" s="205" t="s">
        <v>244</v>
      </c>
      <c r="T13" s="205" t="s">
        <v>245</v>
      </c>
      <c r="U13" s="205" t="s">
        <v>246</v>
      </c>
      <c r="V13" s="205" t="s">
        <v>247</v>
      </c>
      <c r="W13" s="205" t="s">
        <v>248</v>
      </c>
      <c r="X13" s="205" t="s">
        <v>249</v>
      </c>
    </row>
    <row r="14" spans="1:24" ht="24.75" customHeight="1">
      <c r="A14" s="206" t="s">
        <v>250</v>
      </c>
      <c r="B14" s="207">
        <v>0</v>
      </c>
      <c r="C14" s="206">
        <f>B14</f>
        <v>0</v>
      </c>
      <c r="D14" s="208">
        <f t="shared" ref="D14:D21" si="0">C14/$C$21*100</f>
        <v>0</v>
      </c>
      <c r="E14" s="208">
        <f>100-D14</f>
        <v>100</v>
      </c>
      <c r="F14" s="209"/>
      <c r="G14" s="206" t="s">
        <v>250</v>
      </c>
      <c r="H14" s="207">
        <v>0</v>
      </c>
      <c r="I14" s="206">
        <f>H14</f>
        <v>0</v>
      </c>
      <c r="J14" s="208">
        <f>I14/$I$21*100</f>
        <v>0</v>
      </c>
      <c r="K14" s="208">
        <f>100-J14</f>
        <v>100</v>
      </c>
      <c r="L14" s="209"/>
      <c r="M14" s="206" t="s">
        <v>250</v>
      </c>
      <c r="N14" s="207">
        <v>0</v>
      </c>
      <c r="O14" s="206">
        <f>N14</f>
        <v>0</v>
      </c>
      <c r="P14" s="208">
        <f>O14/$O$21*100</f>
        <v>0</v>
      </c>
      <c r="Q14" s="208">
        <f>100-P14</f>
        <v>100</v>
      </c>
      <c r="R14" s="209"/>
      <c r="S14" s="206" t="s">
        <v>250</v>
      </c>
      <c r="T14" s="207">
        <v>0</v>
      </c>
      <c r="U14" s="206">
        <f>T14</f>
        <v>0</v>
      </c>
      <c r="V14" s="208">
        <f>U14/$U$21*100</f>
        <v>0</v>
      </c>
      <c r="W14" s="208">
        <f>100-V14</f>
        <v>100</v>
      </c>
      <c r="X14" s="209"/>
    </row>
    <row r="15" spans="1:24" ht="24.75" customHeight="1">
      <c r="A15" s="206" t="s">
        <v>251</v>
      </c>
      <c r="B15" s="207">
        <v>0</v>
      </c>
      <c r="C15" s="206">
        <f>C14+B15</f>
        <v>0</v>
      </c>
      <c r="D15" s="208">
        <f t="shared" si="0"/>
        <v>0</v>
      </c>
      <c r="E15" s="208">
        <f t="shared" ref="E15:E21" si="1">100-D15</f>
        <v>100</v>
      </c>
      <c r="F15" s="209"/>
      <c r="G15" s="206" t="s">
        <v>251</v>
      </c>
      <c r="H15" s="207">
        <v>0</v>
      </c>
      <c r="I15" s="206">
        <f>I14+H15</f>
        <v>0</v>
      </c>
      <c r="J15" s="208">
        <f t="shared" ref="J15:J21" si="2">I15/$I$21*100</f>
        <v>0</v>
      </c>
      <c r="K15" s="208">
        <f t="shared" ref="K15:K21" si="3">100-J15</f>
        <v>100</v>
      </c>
      <c r="L15" s="209"/>
      <c r="M15" s="206" t="s">
        <v>251</v>
      </c>
      <c r="N15" s="207">
        <v>0</v>
      </c>
      <c r="O15" s="206">
        <f>O14+N15</f>
        <v>0</v>
      </c>
      <c r="P15" s="208">
        <f t="shared" ref="P15:P21" si="4">O15/$O$21*100</f>
        <v>0</v>
      </c>
      <c r="Q15" s="208">
        <f t="shared" ref="Q15:Q21" si="5">100-P15</f>
        <v>100</v>
      </c>
      <c r="R15" s="209"/>
      <c r="S15" s="206" t="s">
        <v>251</v>
      </c>
      <c r="T15" s="207">
        <v>0</v>
      </c>
      <c r="U15" s="206">
        <f>U14+T15</f>
        <v>0</v>
      </c>
      <c r="V15" s="208">
        <f t="shared" ref="V15:V21" si="6">U15/$U$21*100</f>
        <v>0</v>
      </c>
      <c r="W15" s="208">
        <f t="shared" ref="W15:W21" si="7">100-V15</f>
        <v>100</v>
      </c>
      <c r="X15" s="209"/>
    </row>
    <row r="16" spans="1:24" ht="24.75" customHeight="1">
      <c r="A16" s="206" t="s">
        <v>252</v>
      </c>
      <c r="B16" s="207">
        <f>7026+34</f>
        <v>7060</v>
      </c>
      <c r="C16" s="206">
        <f t="shared" ref="C16:C21" si="8">C15+B16</f>
        <v>7060</v>
      </c>
      <c r="D16" s="208">
        <f t="shared" si="0"/>
        <v>51.570489408327248</v>
      </c>
      <c r="E16" s="208">
        <f t="shared" si="1"/>
        <v>48.429510591672752</v>
      </c>
      <c r="F16" s="209"/>
      <c r="G16" s="206" t="s">
        <v>252</v>
      </c>
      <c r="H16" s="207">
        <v>4592</v>
      </c>
      <c r="I16" s="206">
        <f t="shared" ref="I16:I21" si="9">I15+H16</f>
        <v>4592</v>
      </c>
      <c r="J16" s="208">
        <f t="shared" si="2"/>
        <v>23.308461499416271</v>
      </c>
      <c r="K16" s="208">
        <f t="shared" si="3"/>
        <v>76.691538500583732</v>
      </c>
      <c r="L16" s="209"/>
      <c r="M16" s="206" t="s">
        <v>252</v>
      </c>
      <c r="N16" s="207">
        <v>0</v>
      </c>
      <c r="O16" s="206">
        <f t="shared" ref="O16:O21" si="10">O15+N16</f>
        <v>0</v>
      </c>
      <c r="P16" s="208">
        <f t="shared" si="4"/>
        <v>0</v>
      </c>
      <c r="Q16" s="208">
        <f t="shared" si="5"/>
        <v>100</v>
      </c>
      <c r="R16" s="209"/>
      <c r="S16" s="206" t="s">
        <v>252</v>
      </c>
      <c r="T16" s="207">
        <v>0</v>
      </c>
      <c r="U16" s="206">
        <f t="shared" ref="U16:U21" si="11">U15+T16</f>
        <v>0</v>
      </c>
      <c r="V16" s="208">
        <f t="shared" si="6"/>
        <v>0</v>
      </c>
      <c r="W16" s="208">
        <f t="shared" si="7"/>
        <v>100</v>
      </c>
      <c r="X16" s="209"/>
    </row>
    <row r="17" spans="1:24" ht="24.75" customHeight="1">
      <c r="A17" s="206" t="s">
        <v>253</v>
      </c>
      <c r="B17" s="207">
        <v>6000</v>
      </c>
      <c r="C17" s="206">
        <f t="shared" si="8"/>
        <v>13060</v>
      </c>
      <c r="D17" s="208">
        <f t="shared" si="0"/>
        <v>95.39810080350621</v>
      </c>
      <c r="E17" s="208">
        <f t="shared" si="1"/>
        <v>4.6018991964937896</v>
      </c>
      <c r="F17" s="209"/>
      <c r="G17" s="206" t="s">
        <v>253</v>
      </c>
      <c r="H17" s="207">
        <v>13982</v>
      </c>
      <c r="I17" s="206">
        <f t="shared" si="9"/>
        <v>18574</v>
      </c>
      <c r="J17" s="208">
        <f t="shared" si="2"/>
        <v>94.279478199076195</v>
      </c>
      <c r="K17" s="208">
        <f t="shared" si="3"/>
        <v>5.7205218009238052</v>
      </c>
      <c r="L17" s="209"/>
      <c r="M17" s="206" t="s">
        <v>253</v>
      </c>
      <c r="N17" s="207">
        <v>158</v>
      </c>
      <c r="O17" s="206">
        <f t="shared" si="10"/>
        <v>158</v>
      </c>
      <c r="P17" s="208">
        <f t="shared" si="4"/>
        <v>32.17922606924644</v>
      </c>
      <c r="Q17" s="208">
        <f t="shared" si="5"/>
        <v>67.82077393075356</v>
      </c>
      <c r="R17" s="209"/>
      <c r="S17" s="206" t="s">
        <v>253</v>
      </c>
      <c r="T17" s="207">
        <v>1</v>
      </c>
      <c r="U17" s="206">
        <f t="shared" si="11"/>
        <v>1</v>
      </c>
      <c r="V17" s="208">
        <f t="shared" si="6"/>
        <v>0.2</v>
      </c>
      <c r="W17" s="208">
        <f t="shared" si="7"/>
        <v>99.8</v>
      </c>
      <c r="X17" s="209"/>
    </row>
    <row r="18" spans="1:24" ht="24.75" customHeight="1">
      <c r="A18" s="206" t="s">
        <v>254</v>
      </c>
      <c r="B18" s="207">
        <v>585</v>
      </c>
      <c r="C18" s="206">
        <f t="shared" si="8"/>
        <v>13645</v>
      </c>
      <c r="D18" s="208">
        <f t="shared" si="0"/>
        <v>99.671292914536153</v>
      </c>
      <c r="E18" s="208">
        <f t="shared" si="1"/>
        <v>0.32870708546384719</v>
      </c>
      <c r="F18" s="209"/>
      <c r="G18" s="206" t="s">
        <v>254</v>
      </c>
      <c r="H18" s="207">
        <v>1061</v>
      </c>
      <c r="I18" s="206">
        <f t="shared" si="9"/>
        <v>19635</v>
      </c>
      <c r="J18" s="208">
        <f t="shared" si="2"/>
        <v>99.664991624790616</v>
      </c>
      <c r="K18" s="208">
        <f t="shared" si="3"/>
        <v>0.33500837520938376</v>
      </c>
      <c r="L18" s="209"/>
      <c r="M18" s="206" t="s">
        <v>254</v>
      </c>
      <c r="N18" s="207">
        <v>193.5</v>
      </c>
      <c r="O18" s="206">
        <f t="shared" si="10"/>
        <v>351.5</v>
      </c>
      <c r="P18" s="208">
        <f t="shared" si="4"/>
        <v>71.588594704684311</v>
      </c>
      <c r="Q18" s="208">
        <f t="shared" si="5"/>
        <v>28.411405295315689</v>
      </c>
      <c r="R18" s="209"/>
      <c r="S18" s="206" t="s">
        <v>254</v>
      </c>
      <c r="T18" s="207">
        <v>3.5</v>
      </c>
      <c r="U18" s="206">
        <f t="shared" si="11"/>
        <v>4.5</v>
      </c>
      <c r="V18" s="208">
        <f t="shared" si="6"/>
        <v>0.89999999999999991</v>
      </c>
      <c r="W18" s="208">
        <f t="shared" si="7"/>
        <v>99.1</v>
      </c>
      <c r="X18" s="209"/>
    </row>
    <row r="19" spans="1:24" ht="24.75" customHeight="1">
      <c r="A19" s="206" t="s">
        <v>255</v>
      </c>
      <c r="B19" s="207">
        <v>45</v>
      </c>
      <c r="C19" s="206">
        <f t="shared" si="8"/>
        <v>13690</v>
      </c>
      <c r="D19" s="208">
        <f t="shared" si="0"/>
        <v>100</v>
      </c>
      <c r="E19" s="208">
        <f t="shared" si="1"/>
        <v>0</v>
      </c>
      <c r="F19" s="209"/>
      <c r="G19" s="206" t="s">
        <v>255</v>
      </c>
      <c r="H19" s="207">
        <v>48</v>
      </c>
      <c r="I19" s="206">
        <f t="shared" si="9"/>
        <v>19683</v>
      </c>
      <c r="J19" s="208">
        <f t="shared" si="2"/>
        <v>99.908634079488351</v>
      </c>
      <c r="K19" s="208">
        <f t="shared" si="3"/>
        <v>9.1365920511648824E-2</v>
      </c>
      <c r="L19" s="209"/>
      <c r="M19" s="206" t="s">
        <v>255</v>
      </c>
      <c r="N19" s="207">
        <v>136</v>
      </c>
      <c r="O19" s="206">
        <f t="shared" si="10"/>
        <v>487.5</v>
      </c>
      <c r="P19" s="208">
        <f t="shared" si="4"/>
        <v>99.287169042769861</v>
      </c>
      <c r="Q19" s="208">
        <f t="shared" si="5"/>
        <v>0.71283095723013901</v>
      </c>
      <c r="R19" s="209"/>
      <c r="S19" s="206" t="s">
        <v>255</v>
      </c>
      <c r="T19" s="207">
        <v>322.5</v>
      </c>
      <c r="U19" s="206">
        <f t="shared" si="11"/>
        <v>327</v>
      </c>
      <c r="V19" s="208">
        <f t="shared" si="6"/>
        <v>65.400000000000006</v>
      </c>
      <c r="W19" s="208">
        <f t="shared" si="7"/>
        <v>34.599999999999994</v>
      </c>
      <c r="X19" s="209"/>
    </row>
    <row r="20" spans="1:24" ht="24.75" customHeight="1">
      <c r="A20" s="206" t="s">
        <v>256</v>
      </c>
      <c r="B20" s="207">
        <v>0</v>
      </c>
      <c r="C20" s="206">
        <f t="shared" si="8"/>
        <v>13690</v>
      </c>
      <c r="D20" s="208">
        <f t="shared" si="0"/>
        <v>100</v>
      </c>
      <c r="E20" s="208">
        <f t="shared" si="1"/>
        <v>0</v>
      </c>
      <c r="F20" s="209"/>
      <c r="G20" s="206" t="s">
        <v>256</v>
      </c>
      <c r="H20" s="207">
        <v>18</v>
      </c>
      <c r="I20" s="206">
        <f t="shared" si="9"/>
        <v>19701</v>
      </c>
      <c r="J20" s="208">
        <f t="shared" si="2"/>
        <v>100</v>
      </c>
      <c r="K20" s="208">
        <f t="shared" si="3"/>
        <v>0</v>
      </c>
      <c r="L20" s="209"/>
      <c r="M20" s="206" t="s">
        <v>256</v>
      </c>
      <c r="N20" s="207">
        <v>3.5</v>
      </c>
      <c r="O20" s="206">
        <f t="shared" si="10"/>
        <v>491</v>
      </c>
      <c r="P20" s="208">
        <f t="shared" si="4"/>
        <v>100</v>
      </c>
      <c r="Q20" s="208">
        <f t="shared" si="5"/>
        <v>0</v>
      </c>
      <c r="R20" s="209"/>
      <c r="S20" s="206" t="s">
        <v>256</v>
      </c>
      <c r="T20" s="207">
        <v>116.5</v>
      </c>
      <c r="U20" s="206">
        <f t="shared" si="11"/>
        <v>443.5</v>
      </c>
      <c r="V20" s="208">
        <f t="shared" si="6"/>
        <v>88.7</v>
      </c>
      <c r="W20" s="208">
        <f t="shared" si="7"/>
        <v>11.299999999999997</v>
      </c>
      <c r="X20" s="209"/>
    </row>
    <row r="21" spans="1:24" ht="24.75" customHeight="1">
      <c r="A21" s="206" t="s">
        <v>177</v>
      </c>
      <c r="B21" s="207">
        <v>0</v>
      </c>
      <c r="C21" s="206">
        <f t="shared" si="8"/>
        <v>13690</v>
      </c>
      <c r="D21" s="208">
        <f t="shared" si="0"/>
        <v>100</v>
      </c>
      <c r="E21" s="208">
        <f t="shared" si="1"/>
        <v>0</v>
      </c>
      <c r="F21" s="209"/>
      <c r="G21" s="206" t="s">
        <v>177</v>
      </c>
      <c r="H21" s="207">
        <v>0</v>
      </c>
      <c r="I21" s="206">
        <f t="shared" si="9"/>
        <v>19701</v>
      </c>
      <c r="J21" s="208">
        <f t="shared" si="2"/>
        <v>100</v>
      </c>
      <c r="K21" s="208">
        <f t="shared" si="3"/>
        <v>0</v>
      </c>
      <c r="L21" s="209"/>
      <c r="M21" s="206" t="s">
        <v>177</v>
      </c>
      <c r="N21" s="207">
        <v>0</v>
      </c>
      <c r="O21" s="206">
        <f t="shared" si="10"/>
        <v>491</v>
      </c>
      <c r="P21" s="208">
        <f t="shared" si="4"/>
        <v>100</v>
      </c>
      <c r="Q21" s="208">
        <f t="shared" si="5"/>
        <v>0</v>
      </c>
      <c r="R21" s="209"/>
      <c r="S21" s="206" t="s">
        <v>177</v>
      </c>
      <c r="T21" s="207">
        <f>500-U20</f>
        <v>56.5</v>
      </c>
      <c r="U21" s="206">
        <f t="shared" si="11"/>
        <v>500</v>
      </c>
      <c r="V21" s="208">
        <f t="shared" si="6"/>
        <v>100</v>
      </c>
      <c r="W21" s="208">
        <f t="shared" si="7"/>
        <v>0</v>
      </c>
      <c r="X21" s="209"/>
    </row>
    <row r="22" spans="1:24" ht="24.75" customHeight="1">
      <c r="A22" s="210"/>
      <c r="B22" s="211"/>
      <c r="C22" s="211"/>
      <c r="D22" s="211"/>
      <c r="E22" s="211"/>
      <c r="F22" s="211"/>
      <c r="G22" s="210"/>
      <c r="H22" s="211"/>
      <c r="I22" s="211"/>
      <c r="J22" s="211"/>
      <c r="K22" s="211"/>
      <c r="L22" s="211"/>
      <c r="M22" s="210"/>
      <c r="N22" s="211"/>
      <c r="O22" s="211"/>
      <c r="P22" s="211"/>
      <c r="Q22" s="211"/>
      <c r="R22" s="211"/>
    </row>
    <row r="23" spans="1:24" ht="15">
      <c r="A23" s="212"/>
      <c r="B23" s="211"/>
      <c r="C23" s="211"/>
      <c r="D23" s="211"/>
      <c r="E23" s="211"/>
      <c r="F23" s="211"/>
      <c r="G23" s="212"/>
      <c r="H23" s="211"/>
      <c r="I23" s="211"/>
      <c r="J23" s="211"/>
      <c r="K23" s="211"/>
      <c r="L23" s="211"/>
      <c r="M23" s="212"/>
      <c r="N23" s="211"/>
      <c r="O23" s="211"/>
      <c r="P23" s="211"/>
      <c r="Q23" s="211"/>
      <c r="R23" s="211"/>
    </row>
    <row r="24" spans="1:24">
      <c r="A24" s="213"/>
      <c r="G24" s="213"/>
      <c r="M24" s="213"/>
    </row>
    <row r="26" spans="1:24">
      <c r="D26" s="214"/>
      <c r="E26" s="214"/>
      <c r="F26" s="214"/>
      <c r="J26" s="214"/>
      <c r="K26" s="214"/>
      <c r="L26" s="214"/>
      <c r="P26" s="214"/>
      <c r="Q26" s="214"/>
      <c r="R26" s="214"/>
    </row>
  </sheetData>
  <mergeCells count="20">
    <mergeCell ref="A7:F7"/>
    <mergeCell ref="G7:L7"/>
    <mergeCell ref="M7:R7"/>
    <mergeCell ref="S7:X7"/>
    <mergeCell ref="A3:F3"/>
    <mergeCell ref="G3:L3"/>
    <mergeCell ref="M3:R3"/>
    <mergeCell ref="S3:X3"/>
    <mergeCell ref="C5:F5"/>
    <mergeCell ref="I5:L5"/>
    <mergeCell ref="O5:R5"/>
    <mergeCell ref="U5:X5"/>
    <mergeCell ref="A1:F1"/>
    <mergeCell ref="G1:L1"/>
    <mergeCell ref="M1:R1"/>
    <mergeCell ref="S1:X1"/>
    <mergeCell ref="A2:F2"/>
    <mergeCell ref="G2:L2"/>
    <mergeCell ref="M2:R2"/>
    <mergeCell ref="S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PROGRAMME</vt:lpstr>
      <vt:lpstr>COVER PAGE</vt:lpstr>
      <vt:lpstr>Sheet3</vt:lpstr>
      <vt:lpstr>JMF</vt:lpstr>
      <vt:lpstr>MARSHALL DATA</vt:lpstr>
      <vt:lpstr>summary &amp; graphs</vt:lpstr>
      <vt:lpstr>EI FI</vt:lpstr>
      <vt:lpstr>AIV</vt:lpstr>
      <vt:lpstr>Grain size-agg</vt:lpstr>
      <vt:lpstr>Specific gravity-1</vt:lpstr>
      <vt:lpstr>Water absorption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2009-02-17T04:47:07Z</dcterms:modified>
</cp:coreProperties>
</file>