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code\SOMS\tests\test_nds\"/>
    </mc:Choice>
  </mc:AlternateContent>
  <xr:revisionPtr revIDLastSave="0" documentId="13_ncr:1_{F0BF0966-B07D-4B5A-B62F-3F3ED239CCA4}" xr6:coauthVersionLast="46" xr6:coauthVersionMax="46" xr10:uidLastSave="{00000000-0000-0000-0000-000000000000}"/>
  <bookViews>
    <workbookView xWindow="-120" yWindow="-120" windowWidth="29040" windowHeight="17640" activeTab="6" xr2:uid="{00000000-000D-0000-FFFF-FFFF00000000}"/>
  </bookViews>
  <sheets>
    <sheet name="Notes" sheetId="3" r:id="rId1"/>
    <sheet name="Design Values" sheetId="1" r:id="rId2"/>
    <sheet name="Table" sheetId="8" r:id="rId3"/>
    <sheet name="Fire" sheetId="9" r:id="rId4"/>
    <sheet name="Member Checks" sheetId="4" r:id="rId5"/>
    <sheet name="jb comments" sheetId="6" r:id="rId6"/>
    <sheet name="Section Properties" sheetId="7" r:id="rId7"/>
  </sheets>
  <definedNames>
    <definedName name="Eminp">'Design Values'!$Q$38</definedName>
    <definedName name="Ep">'Design Values'!$Q$37</definedName>
    <definedName name="FbExf">'Design Values'!$K$45</definedName>
    <definedName name="FbEyf">'Design Values'!$K$46</definedName>
    <definedName name="Fbxf">'Design Values'!$K$43</definedName>
    <definedName name="Fbxp">'Design Values'!$Q$29</definedName>
    <definedName name="FbxpRev">'Design Values'!#REF!</definedName>
    <definedName name="Fbyf">'Design Values'!$K$44</definedName>
    <definedName name="Fbyp">'Design Values'!$Q$30</definedName>
    <definedName name="FcExf">'Design Values'!$K$53</definedName>
    <definedName name="FcEyf">'Design Values'!$K$54</definedName>
    <definedName name="Fcf">'Design Values'!$K$51</definedName>
    <definedName name="Fcp">'Design Values'!$Q$35</definedName>
    <definedName name="Fcperpf">'Design Values'!$K$52</definedName>
    <definedName name="Fcperpp">'Design Values'!$Q$36</definedName>
    <definedName name="Frtf">'Design Values'!$K$50</definedName>
    <definedName name="Frtp">'Design Values'!$Q$34</definedName>
    <definedName name="Ftf">'Design Values'!$K$47</definedName>
    <definedName name="Ftp">'Design Values'!$Q$31</definedName>
    <definedName name="Fvxf">'Design Values'!$K$49</definedName>
    <definedName name="Fvxp">'Design Values'!$Q$33</definedName>
    <definedName name="Fvyf">'Design Values'!$K$48</definedName>
    <definedName name="Fvyp">'Design Values'!$Q$32</definedName>
    <definedName name="_xlnm.Print_Area" localSheetId="1">'Design Values'!$A$2:$R$39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3" i="1" l="1"/>
  <c r="Q21" i="1"/>
  <c r="Q30" i="1"/>
  <c r="N3" i="8" s="1"/>
  <c r="F16" i="1"/>
  <c r="G2" i="9"/>
  <c r="B2" i="9"/>
  <c r="C2" i="9"/>
  <c r="D2" i="9"/>
  <c r="F2" i="9"/>
  <c r="G3" i="9"/>
  <c r="B3" i="9"/>
  <c r="C3" i="9"/>
  <c r="D3" i="9"/>
  <c r="F3" i="9"/>
  <c r="G4" i="9"/>
  <c r="B4" i="9"/>
  <c r="C4" i="9"/>
  <c r="D4" i="9"/>
  <c r="E4" i="9"/>
  <c r="F4" i="9"/>
  <c r="H4" i="9"/>
  <c r="G5" i="9"/>
  <c r="B5" i="9"/>
  <c r="C5" i="9"/>
  <c r="D5" i="9"/>
  <c r="E5" i="9"/>
  <c r="F5" i="9"/>
  <c r="H5" i="9"/>
  <c r="G6" i="9"/>
  <c r="B6" i="9"/>
  <c r="C6" i="9"/>
  <c r="D6" i="9"/>
  <c r="E6" i="9"/>
  <c r="F6" i="9"/>
  <c r="H6" i="9"/>
  <c r="G7" i="9"/>
  <c r="B7" i="9"/>
  <c r="C7" i="9"/>
  <c r="D7" i="9"/>
  <c r="E7" i="9"/>
  <c r="F7" i="9"/>
  <c r="H7" i="9"/>
  <c r="G8" i="9"/>
  <c r="B8" i="9"/>
  <c r="C8" i="9"/>
  <c r="D8" i="9"/>
  <c r="E8" i="9"/>
  <c r="G9" i="9"/>
  <c r="B9" i="9"/>
  <c r="C9" i="9"/>
  <c r="D9" i="9"/>
  <c r="E9" i="9"/>
  <c r="F9" i="9"/>
  <c r="H9" i="9"/>
  <c r="C2" i="8"/>
  <c r="B1" i="8"/>
  <c r="C1" i="8"/>
  <c r="D1" i="8"/>
  <c r="E1" i="8"/>
  <c r="F1" i="8"/>
  <c r="G1" i="8"/>
  <c r="I1" i="8"/>
  <c r="J1" i="8"/>
  <c r="K1" i="8"/>
  <c r="L1" i="8"/>
  <c r="M3" i="8"/>
  <c r="B3" i="8"/>
  <c r="C3" i="8"/>
  <c r="D3" i="8"/>
  <c r="E3" i="8"/>
  <c r="F3" i="8"/>
  <c r="G3" i="8"/>
  <c r="H3" i="8"/>
  <c r="I3" i="8"/>
  <c r="J3" i="8"/>
  <c r="K3" i="8"/>
  <c r="L3" i="8"/>
  <c r="M4" i="8"/>
  <c r="B4" i="8"/>
  <c r="C4" i="8"/>
  <c r="D4" i="8"/>
  <c r="E4" i="8"/>
  <c r="F4" i="8"/>
  <c r="G4" i="8"/>
  <c r="H4" i="8"/>
  <c r="I4" i="8"/>
  <c r="J4" i="8"/>
  <c r="K4" i="8"/>
  <c r="L4" i="8"/>
  <c r="N4" i="8"/>
  <c r="M5" i="8"/>
  <c r="B5" i="8"/>
  <c r="C5" i="8"/>
  <c r="D5" i="8"/>
  <c r="E5" i="8"/>
  <c r="F5" i="8"/>
  <c r="G5" i="8"/>
  <c r="H5" i="8"/>
  <c r="I5" i="8"/>
  <c r="J5" i="8"/>
  <c r="K5" i="8"/>
  <c r="L5" i="8"/>
  <c r="N5" i="8"/>
  <c r="M6" i="8"/>
  <c r="B6" i="8"/>
  <c r="C6" i="8"/>
  <c r="D6" i="8"/>
  <c r="E6" i="8"/>
  <c r="F6" i="8"/>
  <c r="G6" i="8"/>
  <c r="H6" i="8"/>
  <c r="I6" i="8"/>
  <c r="J6" i="8"/>
  <c r="K6" i="8"/>
  <c r="L6" i="8"/>
  <c r="N6" i="8"/>
  <c r="M7" i="8"/>
  <c r="B7" i="8"/>
  <c r="C7" i="8"/>
  <c r="D7" i="8"/>
  <c r="E7" i="8"/>
  <c r="F7" i="8"/>
  <c r="G7" i="8"/>
  <c r="H7" i="8"/>
  <c r="I7" i="8"/>
  <c r="J7" i="8"/>
  <c r="K7" i="8"/>
  <c r="L7" i="8"/>
  <c r="N7" i="8"/>
  <c r="M8" i="8"/>
  <c r="B8" i="8"/>
  <c r="C8" i="8"/>
  <c r="D8" i="8"/>
  <c r="E8" i="8"/>
  <c r="F8" i="8"/>
  <c r="G8" i="8"/>
  <c r="H8" i="8"/>
  <c r="I8" i="8"/>
  <c r="J8" i="8"/>
  <c r="K8" i="8"/>
  <c r="L8" i="8"/>
  <c r="N8" i="8"/>
  <c r="M9" i="8"/>
  <c r="B9" i="8"/>
  <c r="C9" i="8"/>
  <c r="D9" i="8"/>
  <c r="E9" i="8"/>
  <c r="F9" i="8"/>
  <c r="G9" i="8"/>
  <c r="H9" i="8"/>
  <c r="I9" i="8"/>
  <c r="J9" i="8"/>
  <c r="K9" i="8"/>
  <c r="L9" i="8"/>
  <c r="N9" i="8"/>
  <c r="M10" i="8"/>
  <c r="B10" i="8"/>
  <c r="C10" i="8"/>
  <c r="D10" i="8"/>
  <c r="E10" i="8"/>
  <c r="F10" i="8"/>
  <c r="G10" i="8"/>
  <c r="H10" i="8"/>
  <c r="I10" i="8"/>
  <c r="J10" i="8"/>
  <c r="K10" i="8"/>
  <c r="L10" i="8"/>
  <c r="N10" i="8"/>
  <c r="M11" i="8"/>
  <c r="B11" i="8"/>
  <c r="C11" i="8"/>
  <c r="D11" i="8"/>
  <c r="E11" i="8"/>
  <c r="F11" i="8"/>
  <c r="G11" i="8"/>
  <c r="H11" i="8"/>
  <c r="I11" i="8"/>
  <c r="J11" i="8"/>
  <c r="K11" i="8"/>
  <c r="L11" i="8"/>
  <c r="N11" i="8"/>
  <c r="L2" i="8"/>
  <c r="N2" i="8"/>
  <c r="K2" i="8"/>
  <c r="M2" i="8"/>
  <c r="B2" i="8"/>
  <c r="D2" i="8"/>
  <c r="E2" i="8"/>
  <c r="F2" i="8"/>
  <c r="G2" i="8"/>
  <c r="H2" i="8"/>
  <c r="I2" i="8"/>
  <c r="J2" i="8"/>
  <c r="C76" i="4"/>
  <c r="Q17" i="1" l="1"/>
  <c r="F21" i="1" l="1"/>
  <c r="F17" i="1" l="1"/>
  <c r="E8" i="4" l="1"/>
  <c r="D52" i="1" l="1"/>
  <c r="D51" i="1"/>
  <c r="D49" i="1"/>
  <c r="K49" i="1" s="1"/>
  <c r="D48" i="1"/>
  <c r="K48" i="1" s="1"/>
  <c r="D47" i="1"/>
  <c r="D43" i="1"/>
  <c r="P83" i="1" s="1"/>
  <c r="C5" i="4" l="1" a="1"/>
  <c r="C5" i="4" s="1"/>
  <c r="C33" i="4" l="1"/>
  <c r="H22" i="1" l="1"/>
  <c r="K33" i="4" l="1"/>
  <c r="M12" i="4"/>
  <c r="F86" i="1" l="1"/>
  <c r="G63" i="4" l="1"/>
  <c r="I86" i="1"/>
  <c r="F96" i="1" l="1"/>
  <c r="M11" i="4" l="1"/>
  <c r="J9" i="1"/>
  <c r="F119" i="1"/>
  <c r="I119" i="1" s="1"/>
  <c r="F118" i="1"/>
  <c r="I118" i="1" s="1"/>
  <c r="F102" i="1" a="1"/>
  <c r="F102" i="1" s="1"/>
  <c r="F85" i="1" l="1"/>
  <c r="I85" i="1" s="1"/>
  <c r="C63" i="4" l="1"/>
  <c r="D5" i="4" a="1"/>
  <c r="D5" i="4" s="1"/>
  <c r="D44" i="1" l="1"/>
  <c r="P84" i="1" s="1"/>
  <c r="P119" i="1" l="1"/>
  <c r="Q22" i="1"/>
  <c r="E21" i="4"/>
  <c r="P121" i="1"/>
  <c r="M16" i="4"/>
  <c r="M15" i="4"/>
  <c r="M14" i="4"/>
  <c r="O44" i="4" s="1"/>
  <c r="M13" i="4"/>
  <c r="M10" i="4"/>
  <c r="M9" i="4"/>
  <c r="M8" i="4"/>
  <c r="K52" i="1"/>
  <c r="K47" i="1"/>
  <c r="K44" i="4" s="1"/>
  <c r="P85" i="1" l="1"/>
  <c r="K63" i="4" s="1"/>
  <c r="D45" i="1" s="1"/>
  <c r="P86" i="1"/>
  <c r="S119" i="1"/>
  <c r="P118" i="1"/>
  <c r="S118" i="1" s="1"/>
  <c r="M20" i="4"/>
  <c r="E20" i="4"/>
  <c r="C55" i="4" s="1"/>
  <c r="M21" i="4"/>
  <c r="S85" i="1" l="1"/>
  <c r="O43" i="4"/>
  <c r="G43" i="4"/>
  <c r="O63" i="4"/>
  <c r="S86" i="1"/>
  <c r="K55" i="4"/>
  <c r="E28" i="4"/>
  <c r="E26" i="4"/>
  <c r="E25" i="4"/>
  <c r="E29" i="4"/>
  <c r="G38" i="4" s="1"/>
  <c r="G55" i="4"/>
  <c r="O55" i="4"/>
  <c r="M29" i="4"/>
  <c r="O38" i="4" s="1"/>
  <c r="M26" i="4"/>
  <c r="O33" i="4" s="1"/>
  <c r="M28" i="4"/>
  <c r="M25" i="4"/>
  <c r="M24" i="4"/>
  <c r="K34" i="4" s="1"/>
  <c r="G33" i="4" l="1"/>
  <c r="O65" i="4"/>
  <c r="K65" i="4"/>
  <c r="K38" i="4"/>
  <c r="K43" i="4"/>
  <c r="M27" i="4"/>
  <c r="M30" i="4"/>
  <c r="N33" i="1" l="1"/>
  <c r="D34" i="1" s="1"/>
  <c r="N32" i="1"/>
  <c r="M30" i="1"/>
  <c r="M29" i="1"/>
  <c r="P120" i="1" l="1"/>
  <c r="F128" i="1" l="1"/>
  <c r="F107" i="1"/>
  <c r="F106" i="1"/>
  <c r="F103" i="1"/>
  <c r="F97" i="1"/>
  <c r="F95" i="1"/>
  <c r="H44" i="1" l="1"/>
  <c r="K30" i="1"/>
  <c r="P36" i="1"/>
  <c r="F120" i="1"/>
  <c r="F108" i="1"/>
  <c r="E24" i="4" l="1"/>
  <c r="E9" i="4"/>
  <c r="E7" i="4"/>
  <c r="C56" i="4" l="1"/>
  <c r="K56" i="4"/>
  <c r="G56" i="4"/>
  <c r="O56" i="4"/>
  <c r="O57" i="4" s="1"/>
  <c r="C34" i="4"/>
  <c r="C43" i="4" l="1"/>
  <c r="C38" i="4"/>
  <c r="C61" i="4" s="1"/>
  <c r="G57" i="4"/>
  <c r="C57" i="4"/>
  <c r="E30" i="4"/>
  <c r="E27" i="4"/>
  <c r="K57" i="4"/>
  <c r="C65" i="4"/>
  <c r="G65" i="4"/>
  <c r="F98" i="1"/>
  <c r="F99" i="1" s="1"/>
  <c r="D60" i="4" l="1"/>
  <c r="C60" i="4"/>
  <c r="K60" i="4"/>
  <c r="L60" i="4"/>
  <c r="K61" i="4"/>
  <c r="F80" i="1" a="1"/>
  <c r="F80" i="1" s="1"/>
  <c r="F79" i="1" a="1"/>
  <c r="F79" i="1" s="1"/>
  <c r="F75" i="1"/>
  <c r="F74" i="1"/>
  <c r="G35" i="1" s="1"/>
  <c r="F73" i="1"/>
  <c r="G36" i="1" s="1"/>
  <c r="F72" i="1"/>
  <c r="F71" i="1"/>
  <c r="F70" i="1"/>
  <c r="J108" i="1"/>
  <c r="F109" i="1" s="1"/>
  <c r="D50" i="1" l="1"/>
  <c r="K50" i="1" s="1"/>
  <c r="H36" i="1"/>
  <c r="Q36" i="1" s="1"/>
  <c r="C77" i="4" s="1"/>
  <c r="C78" i="4" s="1"/>
  <c r="H32" i="1"/>
  <c r="H35" i="1"/>
  <c r="H29" i="1"/>
  <c r="H30" i="1"/>
  <c r="H33" i="1"/>
  <c r="G43" i="1"/>
  <c r="J29" i="1"/>
  <c r="L29" i="1"/>
  <c r="H31" i="1"/>
  <c r="H37" i="1"/>
  <c r="H38" i="1"/>
  <c r="H34" i="1"/>
  <c r="G34" i="1"/>
  <c r="G31" i="1"/>
  <c r="G38" i="1"/>
  <c r="G37" i="1"/>
  <c r="G33" i="1"/>
  <c r="G32" i="1"/>
  <c r="F31" i="1"/>
  <c r="F35" i="1"/>
  <c r="F33" i="1"/>
  <c r="F29" i="1"/>
  <c r="F34" i="1"/>
  <c r="F32" i="1"/>
  <c r="F30" i="1"/>
  <c r="G30" i="1"/>
  <c r="G29" i="1"/>
  <c r="Q33" i="1" l="1"/>
  <c r="F83" i="1"/>
  <c r="F84" i="1"/>
  <c r="Q31" i="1"/>
  <c r="Q32" i="1"/>
  <c r="Q34" i="1"/>
  <c r="Q37" i="1"/>
  <c r="Q38" i="1"/>
  <c r="F122" i="1" s="1"/>
  <c r="F121" i="1"/>
  <c r="P87" i="1" l="1"/>
  <c r="K64" i="4" s="1"/>
  <c r="P88" i="1"/>
  <c r="F88" i="1"/>
  <c r="F90" i="1" s="1"/>
  <c r="F92" i="1" s="1"/>
  <c r="I30" i="1" s="1"/>
  <c r="F87" i="1"/>
  <c r="O45" i="4"/>
  <c r="G44" i="4"/>
  <c r="G45" i="4" s="1"/>
  <c r="D53" i="1"/>
  <c r="K53" i="1" s="1"/>
  <c r="D46" i="1"/>
  <c r="K46" i="1" s="1"/>
  <c r="K45" i="1"/>
  <c r="D54" i="1"/>
  <c r="K54" i="1" s="1"/>
  <c r="O58" i="4" s="1"/>
  <c r="K45" i="4"/>
  <c r="C58" i="4"/>
  <c r="G64" i="4"/>
  <c r="G66" i="4" s="1"/>
  <c r="G58" i="4"/>
  <c r="C44" i="4"/>
  <c r="C45" i="4" s="1"/>
  <c r="C52" i="4" l="1"/>
  <c r="C68" i="4"/>
  <c r="C62" i="4"/>
  <c r="O64" i="4"/>
  <c r="O66" i="4" s="1"/>
  <c r="P90" i="1"/>
  <c r="P92" i="1" s="1"/>
  <c r="I44" i="1" s="1"/>
  <c r="K66" i="4"/>
  <c r="P89" i="1"/>
  <c r="P91" i="1" s="1"/>
  <c r="I43" i="1" s="1"/>
  <c r="F89" i="1"/>
  <c r="F91" i="1" s="1"/>
  <c r="C64" i="4"/>
  <c r="C66" i="4" s="1"/>
  <c r="O62" i="4"/>
  <c r="K58" i="4"/>
  <c r="P122" i="1"/>
  <c r="P124" i="1" s="1"/>
  <c r="P125" i="1" s="1"/>
  <c r="F124" i="1"/>
  <c r="F125" i="1" s="1"/>
  <c r="G62" i="4"/>
  <c r="E2" i="9" l="1"/>
  <c r="H2" i="9"/>
  <c r="K44" i="1"/>
  <c r="E3" i="9"/>
  <c r="C51" i="4"/>
  <c r="G69" i="4"/>
  <c r="G39" i="4"/>
  <c r="G40" i="4" s="1"/>
  <c r="K71" i="4"/>
  <c r="K69" i="4"/>
  <c r="J51" i="1"/>
  <c r="I29" i="1"/>
  <c r="C69" i="4"/>
  <c r="O69" i="4"/>
  <c r="K52" i="4"/>
  <c r="O39" i="4"/>
  <c r="O40" i="4" s="1"/>
  <c r="K49" i="4"/>
  <c r="O34" i="4"/>
  <c r="O35" i="4" s="1"/>
  <c r="K50" i="4"/>
  <c r="C71" i="4"/>
  <c r="K68" i="4"/>
  <c r="K62" i="4"/>
  <c r="K51" i="4" l="1"/>
  <c r="O50" i="4" s="1"/>
  <c r="H3" i="9"/>
  <c r="K51" i="1"/>
  <c r="H8" i="9" s="1"/>
  <c r="F8" i="9"/>
  <c r="O68" i="4"/>
  <c r="K70" i="4" s="1"/>
  <c r="O52" i="4"/>
  <c r="Q29" i="1"/>
  <c r="C49" i="4" s="1"/>
  <c r="G50" i="4" s="1"/>
  <c r="O35" i="1"/>
  <c r="Q35" i="1" s="1"/>
  <c r="K39" i="4" l="1"/>
  <c r="G68" i="4"/>
  <c r="C70" i="4" s="1"/>
  <c r="C50" i="4"/>
  <c r="G52" i="4" s="1"/>
  <c r="G34" i="4"/>
  <c r="G35" i="4" s="1"/>
  <c r="K40" i="4"/>
  <c r="C39" i="4"/>
  <c r="C40"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Eunice Leung</author>
    <author>tc={5EAE223E-C9EB-4544-8B37-08A9F32A9188}</author>
    <author>tc={88E42EF2-642D-4F48-90BB-E7C95FDF91AB}</author>
    <author>tc={18858759-A12C-4F86-A473-50C943576EC2}</author>
    <author>tc={6EA91F58-4BD1-432B-A9BE-E16FA5A0DAFA}</author>
    <author>tc={3166CCE5-6FEF-4828-83CC-97ECDBD8B11E}</author>
    <author>tc={03C9EA0D-A1EC-438D-9C8A-FD4ACB3ADDC9}</author>
    <author>tc={088B1702-01E1-4C92-8051-CC323D72C8BF}</author>
  </authors>
  <commentList>
    <comment ref="F3" authorId="0" shapeId="0" xr:uid="{00000000-0006-0000-0100-000001000000}">
      <text>
        <r>
          <rPr>
            <b/>
            <sz val="9"/>
            <color indexed="81"/>
            <rFont val="Tahoma"/>
            <family val="2"/>
          </rPr>
          <t>Eunice Leung:</t>
        </r>
        <r>
          <rPr>
            <sz val="9"/>
            <color indexed="81"/>
            <rFont val="Tahoma"/>
            <family val="2"/>
          </rPr>
          <t xml:space="preserve">
Important to specify 'Southern Pine'  or 'Hardwood' if used to adjust Volume factor or Curvature Factor</t>
        </r>
      </text>
    </comment>
    <comment ref="Q1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review with luca</t>
      </text>
    </comment>
    <comment ref="D13" authorId="0" shapeId="0" xr:uid="{00000000-0006-0000-0100-000003000000}">
      <text>
        <r>
          <rPr>
            <sz val="9"/>
            <color indexed="81"/>
            <rFont val="Tahoma"/>
            <family val="2"/>
          </rPr>
          <t>For bending members, feeds into Cv factor</t>
        </r>
      </text>
    </comment>
    <comment ref="F18" authorId="0" shapeId="0" xr:uid="{00000000-0006-0000-0100-000004000000}">
      <text>
        <r>
          <rPr>
            <sz val="9"/>
            <color indexed="81"/>
            <rFont val="Tahoma"/>
            <family val="2"/>
          </rPr>
          <t>Member Checks not included for curved members</t>
        </r>
      </text>
    </comment>
    <comment ref="F20" authorId="0" shapeId="0" xr:uid="{00000000-0006-0000-0100-000005000000}">
      <text>
        <r>
          <rPr>
            <sz val="9"/>
            <color indexed="81"/>
            <rFont val="Tahoma"/>
            <family val="2"/>
          </rPr>
          <t>x-x runs parallel to wide face of laminations. y-y runs perpendicular to the wide faces of the laminations</t>
        </r>
      </text>
    </comment>
    <comment ref="M27" authorId="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not in NDS 2005, only required for tapered members
Reply:
    shall not apply simulatneosu with volume factor Cv for taper on compression face; shall not apply simultaneously with beam stability factor for taper on tension face</t>
      </text>
    </comment>
    <comment ref="N27" authorId="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Not in NDS 2005</t>
      </text>
    </comment>
    <comment ref="D29" authorId="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for members &gt;15 in deep in the x-x axis, mutliply reference bending design value by 0.88</t>
      </text>
    </comment>
    <comment ref="D30" authorId="0" shapeId="0" xr:uid="{00000000-0006-0000-0100-000009000000}">
      <text>
        <r>
          <rPr>
            <b/>
            <sz val="9"/>
            <color indexed="81"/>
            <rFont val="Tahoma"/>
            <family val="2"/>
          </rPr>
          <t>Eunice Leung:</t>
        </r>
        <r>
          <rPr>
            <sz val="9"/>
            <color indexed="81"/>
            <rFont val="Tahoma"/>
            <family val="2"/>
          </rPr>
          <t xml:space="preserve">
1400 for 2 laminations
1650 for 3 laminations
1850 for 4+ laminations</t>
        </r>
      </text>
    </comment>
    <comment ref="B34" authorId="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need Frc as well for radial compression 5.2.9</t>
      </text>
    </comment>
    <comment ref="D38" authorId="0" shapeId="0" xr:uid="{00000000-0006-0000-0100-00000B000000}">
      <text>
        <r>
          <rPr>
            <b/>
            <sz val="9"/>
            <color indexed="81"/>
            <rFont val="Tahoma"/>
            <family val="2"/>
          </rPr>
          <t>Eunice Leung:</t>
        </r>
        <r>
          <rPr>
            <sz val="9"/>
            <color indexed="81"/>
            <rFont val="Tahoma"/>
            <family val="2"/>
          </rPr>
          <t xml:space="preserve">
0.83x1e6 per NDS 2005
0.85x1e6 per NDS 2015</t>
        </r>
      </text>
    </comment>
    <comment ref="B50" authorId="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need Frc as well for radial compression 5.2.9</t>
      </text>
    </comment>
    <comment ref="D83" authorId="0" shapeId="0" xr:uid="{00000000-0006-0000-0100-00000D000000}">
      <text>
        <r>
          <rPr>
            <sz val="9"/>
            <color indexed="81"/>
            <rFont val="Tahoma"/>
            <family val="2"/>
          </rPr>
          <t>except Cfu, Cv and CL</t>
        </r>
      </text>
    </comment>
    <comment ref="N83" authorId="0" shapeId="0" xr:uid="{00000000-0006-0000-0100-00000E000000}">
      <text>
        <r>
          <rPr>
            <sz val="9"/>
            <color indexed="81"/>
            <rFont val="Tahoma"/>
            <family val="2"/>
          </rPr>
          <t>except Cfu, Cv and CL</t>
        </r>
      </text>
    </comment>
    <comment ref="D84" authorId="0" shapeId="0" xr:uid="{00000000-0006-0000-0100-00000F000000}">
      <text>
        <r>
          <rPr>
            <sz val="9"/>
            <color indexed="81"/>
            <rFont val="Tahoma"/>
            <family val="2"/>
          </rPr>
          <t>except Cfu, Cv, CL</t>
        </r>
      </text>
    </comment>
    <comment ref="N84" authorId="0" shapeId="0" xr:uid="{00000000-0006-0000-0100-000010000000}">
      <text>
        <r>
          <rPr>
            <sz val="9"/>
            <color indexed="81"/>
            <rFont val="Tahoma"/>
            <family val="2"/>
          </rPr>
          <t>except Cfu, Cv, CL</t>
        </r>
      </text>
    </comment>
    <comment ref="F115" authorId="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review with luca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tc={2AF94507-5B42-48B6-8269-87FF475479F1}</author>
    <author>tc={D0304DAA-8F49-4F12-9A5F-8331CA2F040D}</author>
    <author>tc={AE373605-EDFB-4396-9C12-9B8A005309F1}</author>
    <author>tc={F0E94580-18AB-49F7-B7CD-A5511A620A94}</author>
    <author>tc={B39B75F6-4682-4E7B-83C4-338AA0131E42}</author>
    <author>tc={DF9B1990-6A49-44A3-B3DE-767D54512A83}</author>
    <author>Eunice Leung</author>
    <author>tc={81A4E741-1AF8-442B-8511-03580AF84201}</author>
    <author>tc={9DE8C935-AC7C-414F-8B24-54F17F332754}</author>
    <author>tc={B71D5135-F202-4AC8-9967-65C7EA218394}</author>
    <author>tc={1BEE41FC-4B39-4ED3-9F7D-3B41340BCC04}</author>
  </authors>
  <commentList>
    <comment ref="E2"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For tension checks, Both max tension and minimum tension required to be considered for the net compressive stress check</t>
      </text>
    </comment>
    <comment ref="C5"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Search must be done from shortest duration to longest duration. Updates required for load cases not considered</t>
      </text>
    </comment>
    <comment ref="J32"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do we need to do this check again?
Reply:
    technically no, but connection design should take fire char into account</t>
      </text>
    </comment>
    <comment ref="F42"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review with luca
Reply:
    shear check parallel to grain is not axis dependent</t>
      </text>
    </comment>
    <comment ref="N42"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review with luca
Reply:
    shear check parallel to grain is not axis dependent</t>
      </text>
    </comment>
    <comment ref="N44"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No fire adjustment factor, check required?</t>
      </text>
    </comment>
    <comment ref="B49" authorId="6" shapeId="0" xr:uid="{00000000-0006-0000-0200-000007000000}">
      <text>
        <r>
          <rPr>
            <sz val="9"/>
            <color indexed="81"/>
            <rFont val="Tahoma"/>
            <family val="2"/>
          </rPr>
          <t>except CL</t>
        </r>
      </text>
    </comment>
    <comment ref="B50" authorId="6" shapeId="0" xr:uid="{00000000-0006-0000-0200-000008000000}">
      <text>
        <r>
          <rPr>
            <sz val="9"/>
            <color indexed="81"/>
            <rFont val="Tahoma"/>
            <family val="2"/>
          </rPr>
          <t>except Cv</t>
        </r>
      </text>
    </comment>
    <comment ref="B51" authorId="6" shapeId="0" xr:uid="{00000000-0006-0000-0200-000009000000}">
      <text>
        <r>
          <rPr>
            <sz val="9"/>
            <color indexed="81"/>
            <rFont val="Tahoma"/>
            <family val="2"/>
          </rPr>
          <t>except CL</t>
        </r>
      </text>
    </comment>
    <comment ref="F52" authorId="7"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If value is negative, indicates member does not experience compressive stress</t>
      </text>
    </comment>
    <comment ref="N52" authorId="8"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If value is negative, indicates member does not experience compressive stress</t>
      </text>
    </comment>
    <comment ref="B62" authorId="6" shapeId="0" xr:uid="{00000000-0006-0000-0200-00000C000000}">
      <text>
        <r>
          <rPr>
            <sz val="9"/>
            <color indexed="81"/>
            <rFont val="Tahoma"/>
            <family val="2"/>
          </rPr>
          <t>Column Buckling</t>
        </r>
      </text>
    </comment>
    <comment ref="B66" authorId="6" shapeId="0" xr:uid="{00000000-0006-0000-0200-00000D000000}">
      <text>
        <r>
          <rPr>
            <sz val="9"/>
            <color indexed="81"/>
            <rFont val="Tahoma"/>
            <family val="2"/>
          </rPr>
          <t>Lateral Torsional Buckling</t>
        </r>
      </text>
    </comment>
    <comment ref="B70" authorId="9" shapeId="0" xr:uid="{00000000-0006-0000-0200-00000E000000}">
      <text>
        <t>[Threaded comment]
Your version of Excel allows you to read this threaded comment; however, any edits to it will get removed if the file is opened in a newer version of Excel. Learn more: https://go.microsoft.com/fwlink/?linkid=870924
Comment:
    note that the result is the same whether subscript 1 is the x axis or the y axis.</t>
      </text>
    </comment>
    <comment ref="J70" authorId="10" shapeId="0" xr:uid="{00000000-0006-0000-0200-00000F000000}">
      <text>
        <t>[Threaded comment]
Your version of Excel allows you to read this threaded comment; however, any edits to it will get removed if the file is opened in a newer version of Excel. Learn more: https://go.microsoft.com/fwlink/?linkid=870924
Comment:
    note that the result is the same whether subscript 1 is the x axis or the y axis.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<sst xmlns="http://schemas.openxmlformats.org/spreadsheetml/2006/main" count="1030" uniqueCount="442">
  <si>
    <t xml:space="preserve">Ft' = </t>
  </si>
  <si>
    <t xml:space="preserve">Frt' = </t>
  </si>
  <si>
    <t xml:space="preserve">Fc' = </t>
  </si>
  <si>
    <r>
      <t>Fc</t>
    </r>
    <r>
      <rPr>
        <sz val="11"/>
        <color theme="1"/>
        <rFont val="Calibri"/>
        <family val="2"/>
      </rPr>
      <t xml:space="preserve">Ʇ' = </t>
    </r>
  </si>
  <si>
    <t xml:space="preserve">E' = </t>
  </si>
  <si>
    <t xml:space="preserve">Emin' = </t>
  </si>
  <si>
    <t xml:space="preserve">Ft </t>
  </si>
  <si>
    <t xml:space="preserve">Frt </t>
  </si>
  <si>
    <t xml:space="preserve">Fc </t>
  </si>
  <si>
    <t xml:space="preserve">E </t>
  </si>
  <si>
    <r>
      <t>Fc</t>
    </r>
    <r>
      <rPr>
        <sz val="11"/>
        <color theme="1"/>
        <rFont val="Calibri"/>
        <family val="2"/>
      </rPr>
      <t xml:space="preserve">Ʇ </t>
    </r>
  </si>
  <si>
    <t xml:space="preserve">Emin </t>
  </si>
  <si>
    <t xml:space="preserve">Fby' = </t>
  </si>
  <si>
    <t>Fbx</t>
  </si>
  <si>
    <t>Fby</t>
  </si>
  <si>
    <t xml:space="preserve">Fvy' = </t>
  </si>
  <si>
    <t>Fvy</t>
  </si>
  <si>
    <t xml:space="preserve">Fvx' = </t>
  </si>
  <si>
    <t>Fvx</t>
  </si>
  <si>
    <t>Load Duration Factor</t>
  </si>
  <si>
    <t>Wet Service Factor</t>
  </si>
  <si>
    <t>Tempurature Factor</t>
  </si>
  <si>
    <t>Beam Stability Factor</t>
  </si>
  <si>
    <t>Volume Factor</t>
  </si>
  <si>
    <t>Flat Use Factor</t>
  </si>
  <si>
    <t>Curvature Factor</t>
  </si>
  <si>
    <t>Stress Interaction Factor</t>
  </si>
  <si>
    <t>Shear Reduction Factor</t>
  </si>
  <si>
    <t>Column Stability Factor</t>
  </si>
  <si>
    <t>Bearing Area Factor</t>
  </si>
  <si>
    <t>X</t>
  </si>
  <si>
    <t>(psi)</t>
  </si>
  <si>
    <t>-</t>
  </si>
  <si>
    <r>
      <t>Load Duration Factor, C</t>
    </r>
    <r>
      <rPr>
        <b/>
        <vertAlign val="subscript"/>
        <sz val="11"/>
        <color theme="1"/>
        <rFont val="Calibri"/>
        <family val="2"/>
        <scheme val="minor"/>
      </rPr>
      <t>D</t>
    </r>
  </si>
  <si>
    <t>Load Duration</t>
  </si>
  <si>
    <t>=</t>
  </si>
  <si>
    <r>
      <t>C</t>
    </r>
    <r>
      <rPr>
        <vertAlign val="subscript"/>
        <sz val="11"/>
        <color theme="1"/>
        <rFont val="Calibri"/>
        <family val="2"/>
        <scheme val="minor"/>
      </rPr>
      <t>D</t>
    </r>
  </si>
  <si>
    <r>
      <t>Tempurature Factor, C</t>
    </r>
    <r>
      <rPr>
        <b/>
        <vertAlign val="subscript"/>
        <sz val="11"/>
        <color theme="1"/>
        <rFont val="Calibri"/>
        <family val="2"/>
        <scheme val="minor"/>
      </rPr>
      <t>t</t>
    </r>
  </si>
  <si>
    <t>In-Service Moisture Conditions</t>
  </si>
  <si>
    <t>Tempurature</t>
  </si>
  <si>
    <t>Ft, E, Emin</t>
  </si>
  <si>
    <t xml:space="preserve">Fb, Fv, Fc, FcꞱ </t>
  </si>
  <si>
    <r>
      <t>Wet Service Factor, C</t>
    </r>
    <r>
      <rPr>
        <b/>
        <vertAlign val="subscript"/>
        <sz val="11"/>
        <color theme="1"/>
        <rFont val="Calibri"/>
        <family val="2"/>
        <scheme val="minor"/>
      </rPr>
      <t>M</t>
    </r>
  </si>
  <si>
    <t>Design Values Table 5B</t>
  </si>
  <si>
    <t>NDS Table 2.3.2</t>
  </si>
  <si>
    <t>NDS Table 2.3.3</t>
  </si>
  <si>
    <r>
      <t>C</t>
    </r>
    <r>
      <rPr>
        <vertAlign val="subscript"/>
        <sz val="11"/>
        <color theme="1"/>
        <rFont val="Calibri"/>
        <family val="2"/>
        <scheme val="minor"/>
      </rPr>
      <t>M</t>
    </r>
  </si>
  <si>
    <r>
      <t>C</t>
    </r>
    <r>
      <rPr>
        <vertAlign val="subscript"/>
        <sz val="11"/>
        <color theme="1"/>
        <rFont val="Calibri"/>
        <family val="2"/>
        <scheme val="minor"/>
      </rPr>
      <t>t</t>
    </r>
  </si>
  <si>
    <t>Fb</t>
  </si>
  <si>
    <t>Ft</t>
  </si>
  <si>
    <t>Fv</t>
  </si>
  <si>
    <t>Fc</t>
  </si>
  <si>
    <t xml:space="preserve">FcꞱ </t>
  </si>
  <si>
    <t>E, Emin</t>
  </si>
  <si>
    <t>NDS Section 3.3.3</t>
  </si>
  <si>
    <r>
      <t>Beam Stability Factor, C</t>
    </r>
    <r>
      <rPr>
        <b/>
        <vertAlign val="subscript"/>
        <sz val="11"/>
        <color theme="1"/>
        <rFont val="Calibri"/>
        <family val="2"/>
        <scheme val="minor"/>
      </rPr>
      <t>L</t>
    </r>
  </si>
  <si>
    <r>
      <t>C</t>
    </r>
    <r>
      <rPr>
        <vertAlign val="subscript"/>
        <sz val="11"/>
        <color theme="1"/>
        <rFont val="Calibri"/>
        <family val="2"/>
        <scheme val="minor"/>
      </rPr>
      <t>L</t>
    </r>
  </si>
  <si>
    <t>NDS Section 5.3.6</t>
  </si>
  <si>
    <t>Wood Species</t>
  </si>
  <si>
    <t>x</t>
  </si>
  <si>
    <t>L</t>
  </si>
  <si>
    <t>d</t>
  </si>
  <si>
    <t>b</t>
  </si>
  <si>
    <t>ft</t>
  </si>
  <si>
    <t>in</t>
  </si>
  <si>
    <r>
      <t>C</t>
    </r>
    <r>
      <rPr>
        <vertAlign val="subscript"/>
        <sz val="11"/>
        <color theme="1"/>
        <rFont val="Calibri"/>
        <family val="2"/>
        <scheme val="minor"/>
      </rPr>
      <t>V</t>
    </r>
  </si>
  <si>
    <t>dy</t>
  </si>
  <si>
    <r>
      <t>C</t>
    </r>
    <r>
      <rPr>
        <vertAlign val="subscript"/>
        <sz val="11"/>
        <color theme="1"/>
        <rFont val="Calibri"/>
        <family val="2"/>
        <scheme val="minor"/>
      </rPr>
      <t>fu</t>
    </r>
  </si>
  <si>
    <t>Member dimension parallel to the wide face of the laminations</t>
  </si>
  <si>
    <t>NDS Section 5.3.7</t>
  </si>
  <si>
    <r>
      <t>Flat Use Factor, C</t>
    </r>
    <r>
      <rPr>
        <b/>
        <vertAlign val="subscript"/>
        <sz val="11"/>
        <color theme="1"/>
        <rFont val="Calibri"/>
        <family val="2"/>
        <scheme val="minor"/>
      </rPr>
      <t>fu</t>
    </r>
  </si>
  <si>
    <r>
      <t>Curvature Factor, C</t>
    </r>
    <r>
      <rPr>
        <b/>
        <vertAlign val="subscript"/>
        <sz val="11"/>
        <color theme="1"/>
        <rFont val="Calibri"/>
        <family val="2"/>
        <scheme val="minor"/>
      </rPr>
      <t>c</t>
    </r>
  </si>
  <si>
    <t>t</t>
  </si>
  <si>
    <t>R</t>
  </si>
  <si>
    <t>t/R</t>
  </si>
  <si>
    <t>Upper Limit</t>
  </si>
  <si>
    <r>
      <t>C</t>
    </r>
    <r>
      <rPr>
        <vertAlign val="subscript"/>
        <sz val="11"/>
        <color theme="1"/>
        <rFont val="Calibri"/>
        <family val="2"/>
        <scheme val="minor"/>
      </rPr>
      <t>I</t>
    </r>
  </si>
  <si>
    <t>NDS Section 5.3.8</t>
  </si>
  <si>
    <t>NDS Section 5.3.9</t>
  </si>
  <si>
    <r>
      <t>C</t>
    </r>
    <r>
      <rPr>
        <vertAlign val="subscript"/>
        <sz val="11"/>
        <color theme="1"/>
        <rFont val="Calibri"/>
        <family val="2"/>
        <scheme val="minor"/>
      </rPr>
      <t>c</t>
    </r>
  </si>
  <si>
    <t>If member is not curved, put 0</t>
  </si>
  <si>
    <r>
      <t>Shear Reduction Factor, C</t>
    </r>
    <r>
      <rPr>
        <b/>
        <vertAlign val="subscript"/>
        <sz val="11"/>
        <color theme="1"/>
        <rFont val="Calibri"/>
        <family val="2"/>
        <scheme val="minor"/>
      </rPr>
      <t>vr</t>
    </r>
  </si>
  <si>
    <t>NDS Section 5.3.10</t>
  </si>
  <si>
    <r>
      <t>C</t>
    </r>
    <r>
      <rPr>
        <vertAlign val="subscript"/>
        <sz val="11"/>
        <color theme="1"/>
        <rFont val="Calibri"/>
        <family val="2"/>
        <scheme val="minor"/>
      </rPr>
      <t>vr</t>
    </r>
  </si>
  <si>
    <r>
      <t>Stress Interaction Factor, C</t>
    </r>
    <r>
      <rPr>
        <b/>
        <vertAlign val="subscript"/>
        <sz val="11"/>
        <color theme="1"/>
        <rFont val="Calibri"/>
        <family val="2"/>
        <scheme val="minor"/>
      </rPr>
      <t>I</t>
    </r>
  </si>
  <si>
    <r>
      <t>Column Stability Factor, C</t>
    </r>
    <r>
      <rPr>
        <b/>
        <vertAlign val="subscript"/>
        <sz val="11"/>
        <color theme="1"/>
        <rFont val="Calibri"/>
        <family val="2"/>
        <scheme val="minor"/>
      </rPr>
      <t>p</t>
    </r>
  </si>
  <si>
    <t>Axis Orientation</t>
  </si>
  <si>
    <t>Number of Laminations</t>
  </si>
  <si>
    <t>101F-125F</t>
  </si>
  <si>
    <t>Width, b</t>
  </si>
  <si>
    <t>Depth, d</t>
  </si>
  <si>
    <t>Length, L</t>
  </si>
  <si>
    <t>Wood Material</t>
  </si>
  <si>
    <t>Combination Symbol</t>
  </si>
  <si>
    <t>Grade</t>
  </si>
  <si>
    <t>Radius, R</t>
  </si>
  <si>
    <t>Lamination Thickness</t>
  </si>
  <si>
    <t>if b &gt; 10.75", use 10.75"</t>
  </si>
  <si>
    <t>Effective Column Length X, lex</t>
  </si>
  <si>
    <t>Effective Column Length Y, ley</t>
  </si>
  <si>
    <t>lex/dx</t>
  </si>
  <si>
    <t>ley/dy</t>
  </si>
  <si>
    <t>le/d</t>
  </si>
  <si>
    <t>Fc*</t>
  </si>
  <si>
    <t>psi</t>
  </si>
  <si>
    <t>FcE</t>
  </si>
  <si>
    <t>c</t>
  </si>
  <si>
    <t>FcE/Fc*</t>
  </si>
  <si>
    <r>
      <t>C</t>
    </r>
    <r>
      <rPr>
        <vertAlign val="subscript"/>
        <sz val="11"/>
        <color theme="1"/>
        <rFont val="Calibri"/>
        <family val="2"/>
        <scheme val="minor"/>
      </rPr>
      <t>p</t>
    </r>
  </si>
  <si>
    <r>
      <t>Bearing Area Factor, C</t>
    </r>
    <r>
      <rPr>
        <b/>
        <vertAlign val="subscript"/>
        <sz val="11"/>
        <color theme="1"/>
        <rFont val="Calibri"/>
        <family val="2"/>
        <scheme val="minor"/>
      </rPr>
      <t>b</t>
    </r>
  </si>
  <si>
    <t>NDS Section 5.3.12, Section 3.10.4</t>
  </si>
  <si>
    <t>NDS Section 5.3.11, Section 3.7</t>
  </si>
  <si>
    <r>
      <t>C</t>
    </r>
    <r>
      <rPr>
        <vertAlign val="subscript"/>
        <sz val="11"/>
        <color theme="1"/>
        <rFont val="Calibri"/>
        <family val="2"/>
        <scheme val="minor"/>
      </rPr>
      <t>b</t>
    </r>
  </si>
  <si>
    <t>Adjusted Reference Design Values (NDS Table 5.3.1)</t>
  </si>
  <si>
    <t>KIP</t>
  </si>
  <si>
    <t>Axial Load</t>
  </si>
  <si>
    <t>Member Dimensions</t>
  </si>
  <si>
    <t>Area, A</t>
  </si>
  <si>
    <t>Ix</t>
  </si>
  <si>
    <t>Sx</t>
  </si>
  <si>
    <t>rx</t>
  </si>
  <si>
    <t>Iy</t>
  </si>
  <si>
    <t>Sy</t>
  </si>
  <si>
    <t>ry</t>
  </si>
  <si>
    <r>
      <t>in</t>
    </r>
    <r>
      <rPr>
        <vertAlign val="superscript"/>
        <sz val="11"/>
        <color theme="1"/>
        <rFont val="Calibri"/>
        <family val="2"/>
        <scheme val="minor"/>
      </rPr>
      <t>2</t>
    </r>
  </si>
  <si>
    <r>
      <t>in</t>
    </r>
    <r>
      <rPr>
        <vertAlign val="superscript"/>
        <sz val="11"/>
        <color theme="1"/>
        <rFont val="Calibri"/>
        <family val="2"/>
        <scheme val="minor"/>
      </rPr>
      <t>4</t>
    </r>
  </si>
  <si>
    <r>
      <t>in</t>
    </r>
    <r>
      <rPr>
        <vertAlign val="superscript"/>
        <sz val="11"/>
        <color theme="1"/>
        <rFont val="Calibri"/>
        <family val="2"/>
        <scheme val="minor"/>
      </rPr>
      <t>3</t>
    </r>
  </si>
  <si>
    <t>ASD DESIGN LOADS</t>
  </si>
  <si>
    <t>KIP-FT</t>
  </si>
  <si>
    <t>Ten Years</t>
  </si>
  <si>
    <r>
      <t>A</t>
    </r>
    <r>
      <rPr>
        <vertAlign val="subscript"/>
        <sz val="11"/>
        <color theme="1"/>
        <rFont val="Calibri"/>
        <family val="2"/>
        <scheme val="minor"/>
      </rPr>
      <t>net</t>
    </r>
    <r>
      <rPr>
        <sz val="11"/>
        <color theme="1"/>
        <rFont val="Calibri"/>
        <family val="2"/>
        <scheme val="minor"/>
      </rPr>
      <t xml:space="preserve">/A = </t>
    </r>
  </si>
  <si>
    <t>ft =</t>
  </si>
  <si>
    <r>
      <t>A</t>
    </r>
    <r>
      <rPr>
        <vertAlign val="subscript"/>
        <sz val="11"/>
        <color theme="1"/>
        <rFont val="Calibri"/>
        <family val="2"/>
        <scheme val="minor"/>
      </rPr>
      <t>net</t>
    </r>
    <r>
      <rPr>
        <sz val="11"/>
        <color theme="1"/>
        <rFont val="Calibri"/>
        <family val="2"/>
        <scheme val="minor"/>
      </rPr>
      <t xml:space="preserve"> =</t>
    </r>
  </si>
  <si>
    <t>fc =</t>
  </si>
  <si>
    <t>Fc' =</t>
  </si>
  <si>
    <t>Ft' =</t>
  </si>
  <si>
    <t>MEMBER CHECKS</t>
  </si>
  <si>
    <t>fv =</t>
  </si>
  <si>
    <t>Fv' =</t>
  </si>
  <si>
    <t>Tension Check (NDS Section 3.8)</t>
  </si>
  <si>
    <t>Bearing Check (NDS Section 3.10)</t>
  </si>
  <si>
    <t>Net Section Area (NDS Section 3.1.2)</t>
  </si>
  <si>
    <t>Bending + Axial Tension Check (NDS Section 3.9.1)</t>
  </si>
  <si>
    <t>(Need &lt; 50)</t>
  </si>
  <si>
    <t>Sectional Properties</t>
  </si>
  <si>
    <r>
      <t>C</t>
    </r>
    <r>
      <rPr>
        <vertAlign val="subscript"/>
        <sz val="11"/>
        <color theme="1"/>
        <rFont val="Calibri"/>
        <family val="2"/>
        <scheme val="minor"/>
      </rPr>
      <t>P</t>
    </r>
  </si>
  <si>
    <t>Dry conditions defined by moisture content &lt;16% [Section 5.1.4 (S5.1.5. 2005)]</t>
  </si>
  <si>
    <t>fbx =</t>
  </si>
  <si>
    <t>Fbx' =</t>
  </si>
  <si>
    <t>fby =</t>
  </si>
  <si>
    <t>Fby' =</t>
  </si>
  <si>
    <t>Shear Check - Parallel to Grain (NDS Section 3.4)</t>
  </si>
  <si>
    <t>(Bending) Loaded Perpendicular to Wide Faces of Lamination</t>
  </si>
  <si>
    <t>(Bending) Loaded Parallel to Wide Faces of Lamination</t>
  </si>
  <si>
    <t>Spreadsheet assumes members have more than 3 laminations (to use for 2 or 3 laminations, adjustment of reference shear design value required, see footnote 1 in table 5B)</t>
  </si>
  <si>
    <t>Long term deflection per 3.5 needs to be checked</t>
  </si>
  <si>
    <t>For compression members, current spreadsheet assumes reduced section (e.g. due to connections) occurs in the critical part of the column length that is most subject to potential buckling. If reduced section does not occur in the critical part of the column length that is most subject to potential buckling - calcualations of fc shall be based on gross section area (ref section 3.6.3)</t>
  </si>
  <si>
    <t>Tension Perpendicular to the grain not considered (ref 3.8.2)</t>
  </si>
  <si>
    <t>Compression Parallel to Grain (NDS Section 3.6)</t>
  </si>
  <si>
    <t>Bending + Axial Compression (NDS Section 3.9.2)</t>
  </si>
  <si>
    <t>Only concentric axial loading is considered, see NDS 2015 S15.4 for eccentric axial loading</t>
  </si>
  <si>
    <r>
      <t>Volume Factor, C</t>
    </r>
    <r>
      <rPr>
        <b/>
        <vertAlign val="subscript"/>
        <sz val="11"/>
        <color theme="1"/>
        <rFont val="Calibri"/>
        <family val="2"/>
        <scheme val="minor"/>
      </rPr>
      <t>V</t>
    </r>
  </si>
  <si>
    <t>length of bending member between points of zero moment</t>
  </si>
  <si>
    <t>Loaded perpendicular to wide faces of laminations</t>
  </si>
  <si>
    <t>Loaded parallel to wide faces of laminations</t>
  </si>
  <si>
    <t>To be included</t>
  </si>
  <si>
    <t>Need Frc as well for radial compression 5.2.9</t>
  </si>
  <si>
    <t>Spreadsheet can be updated to include Tapered column provision per S3.7.2</t>
  </si>
  <si>
    <t>Members are not tapered on either face</t>
  </si>
  <si>
    <t>1 if member is not tapered, otherwise calculate according to S5.3.9</t>
  </si>
  <si>
    <t>0.72 if designing ANY of the following: non-prismatic members, member subject to impact or repetitive cyclic loading, member at notches, members at connections. Else 1.</t>
  </si>
  <si>
    <t>NDS Figure 3F &amp; Appendix G</t>
  </si>
  <si>
    <t>glulam design value</t>
  </si>
  <si>
    <t>Bearing length parallel to grain, lb</t>
  </si>
  <si>
    <t>Bearing checks</t>
  </si>
  <si>
    <t>NDS2015 Glulam Member Design</t>
  </si>
  <si>
    <t>Permanent</t>
  </si>
  <si>
    <t xml:space="preserve">Actual Dim </t>
  </si>
  <si>
    <t>Actual Dim (Tbl 5.1.3)</t>
  </si>
  <si>
    <t>Radius of inside face, parallel to x-x, R</t>
  </si>
  <si>
    <t xml:space="preserve"> </t>
  </si>
  <si>
    <t>Flexure Check - X-X Axis (NDS Section 3.3)</t>
  </si>
  <si>
    <t>Flexure Check - Y-Y Axis (NDS Section 3.3)</t>
  </si>
  <si>
    <t>Fbx* =</t>
  </si>
  <si>
    <t>Fbx** =</t>
  </si>
  <si>
    <t>Fby* =</t>
  </si>
  <si>
    <t>SR =</t>
  </si>
  <si>
    <t>SR1 =</t>
  </si>
  <si>
    <t>SR2 =</t>
  </si>
  <si>
    <t>dx =</t>
  </si>
  <si>
    <t>dy =</t>
  </si>
  <si>
    <t>lex =</t>
  </si>
  <si>
    <t>ley =</t>
  </si>
  <si>
    <t>FcEx =</t>
  </si>
  <si>
    <t>FcEy =</t>
  </si>
  <si>
    <t>lex/dx =</t>
  </si>
  <si>
    <t>ley/dy =</t>
  </si>
  <si>
    <t>axis controls</t>
  </si>
  <si>
    <r>
      <t>R</t>
    </r>
    <r>
      <rPr>
        <vertAlign val="subscript"/>
        <sz val="11"/>
        <color theme="1"/>
        <rFont val="Calibri"/>
        <family val="2"/>
        <scheme val="minor"/>
      </rPr>
      <t>B,x</t>
    </r>
    <r>
      <rPr>
        <sz val="11"/>
        <color theme="1"/>
        <rFont val="Calibri"/>
        <family val="2"/>
        <scheme val="minor"/>
      </rPr>
      <t xml:space="preserve"> =</t>
    </r>
  </si>
  <si>
    <t>FbE,x =</t>
  </si>
  <si>
    <t>FbE,y =</t>
  </si>
  <si>
    <t>fbx/FbEx =</t>
  </si>
  <si>
    <t>fby/FbEy =</t>
  </si>
  <si>
    <t>Cmx</t>
  </si>
  <si>
    <t>1-fc/FcEx</t>
  </si>
  <si>
    <t>1-fc/FcEy-(fbx/FbEx)^2</t>
  </si>
  <si>
    <t>Fbx'=</t>
  </si>
  <si>
    <t>Fby'=</t>
  </si>
  <si>
    <t>Cmy</t>
  </si>
  <si>
    <t>Combined Axial Tension and Bending Tension</t>
  </si>
  <si>
    <t>Net Compressive Stress</t>
  </si>
  <si>
    <t>(3.9-2)</t>
  </si>
  <si>
    <t>(3.9-1)</t>
  </si>
  <si>
    <t>(3.9-3)</t>
  </si>
  <si>
    <t>(3.9-4)</t>
  </si>
  <si>
    <t>Load Combo</t>
  </si>
  <si>
    <t>D</t>
  </si>
  <si>
    <t>S</t>
  </si>
  <si>
    <t>E</t>
  </si>
  <si>
    <t>W</t>
  </si>
  <si>
    <t>CON</t>
  </si>
  <si>
    <t>Impact</t>
  </si>
  <si>
    <t>Two Months</t>
  </si>
  <si>
    <t>Ten Minutes</t>
  </si>
  <si>
    <t>Seven Days</t>
  </si>
  <si>
    <t>IM</t>
  </si>
  <si>
    <t>H</t>
  </si>
  <si>
    <t>Load Cases</t>
  </si>
  <si>
    <t>---</t>
  </si>
  <si>
    <t>Assumptions and User Notes</t>
  </si>
  <si>
    <t>The values indicate load scenarios to be considered for a specific duration. Please update Load Duration cell to include more load cases than shown. If a single letter is used for a load case, it cannot be used in another load case that will appear in the load combo. e.g. using DL for permanent while L for Ten years will return 'ten years' even if DL is the only case specified</t>
  </si>
  <si>
    <t>Load Duration factor takes into account load cases present in load combinations. See Design Values tab for explanation</t>
  </si>
  <si>
    <r>
      <rPr>
        <sz val="11"/>
        <color theme="1"/>
        <rFont val="Symbol"/>
        <family val="1"/>
        <charset val="2"/>
      </rPr>
      <t>b</t>
    </r>
    <r>
      <rPr>
        <sz val="11"/>
        <color theme="1"/>
        <rFont val="Calibri"/>
        <family val="2"/>
        <scheme val="minor"/>
      </rPr>
      <t>eff =</t>
    </r>
  </si>
  <si>
    <r>
      <rPr>
        <sz val="11"/>
        <color theme="1"/>
        <rFont val="Calibri"/>
        <family val="2"/>
        <scheme val="minor"/>
      </rPr>
      <t>char rate</t>
    </r>
    <r>
      <rPr>
        <sz val="11"/>
        <color theme="1"/>
        <rFont val="Symbol"/>
        <family val="1"/>
        <charset val="2"/>
      </rPr>
      <t xml:space="preserve"> b</t>
    </r>
    <r>
      <rPr>
        <sz val="11"/>
        <color theme="1"/>
        <rFont val="Calibri"/>
        <family val="2"/>
        <scheme val="minor"/>
      </rPr>
      <t>n =</t>
    </r>
  </si>
  <si>
    <t>in/hr</t>
  </si>
  <si>
    <t>hrs</t>
  </si>
  <si>
    <t># exposed sides, b =</t>
  </si>
  <si>
    <t># exposed sides, d =</t>
  </si>
  <si>
    <t>sides</t>
  </si>
  <si>
    <t>Adjusted Reference Design Values (NDS Table 16.2.2)</t>
  </si>
  <si>
    <t>Design Stress to Member Strength Factor</t>
  </si>
  <si>
    <t>FcEx</t>
  </si>
  <si>
    <t>FcEy</t>
  </si>
  <si>
    <t>FbEy</t>
  </si>
  <si>
    <t>FbEx</t>
  </si>
  <si>
    <r>
      <t>Volume Factor</t>
    </r>
    <r>
      <rPr>
        <vertAlign val="superscript"/>
        <sz val="11"/>
        <color theme="1"/>
        <rFont val="Calibri"/>
        <family val="2"/>
        <scheme val="minor"/>
      </rPr>
      <t>2</t>
    </r>
  </si>
  <si>
    <r>
      <t>Flat Use Factor</t>
    </r>
    <r>
      <rPr>
        <vertAlign val="superscript"/>
        <sz val="11"/>
        <color theme="1"/>
        <rFont val="Calibri"/>
        <family val="2"/>
        <scheme val="minor"/>
      </rPr>
      <t>2</t>
    </r>
  </si>
  <si>
    <r>
      <t>Beam Stability Factor</t>
    </r>
    <r>
      <rPr>
        <vertAlign val="superscript"/>
        <sz val="11"/>
        <color theme="1"/>
        <rFont val="Calibri"/>
        <family val="2"/>
        <scheme val="minor"/>
      </rPr>
      <t>3</t>
    </r>
  </si>
  <si>
    <r>
      <t>Column Stability Factor</t>
    </r>
    <r>
      <rPr>
        <vertAlign val="superscript"/>
        <sz val="11"/>
        <color theme="1"/>
        <rFont val="Calibri"/>
        <family val="2"/>
        <scheme val="minor"/>
      </rPr>
      <t>3</t>
    </r>
  </si>
  <si>
    <t>Factor based on initial cross-section dimensions</t>
  </si>
  <si>
    <t>Factor based on reduced cross-section dimensions</t>
  </si>
  <si>
    <r>
      <t>Fire Beam Stability, C</t>
    </r>
    <r>
      <rPr>
        <b/>
        <vertAlign val="subscript"/>
        <sz val="11"/>
        <color theme="1"/>
        <rFont val="Calibri"/>
        <family val="2"/>
        <scheme val="minor"/>
      </rPr>
      <t>L</t>
    </r>
  </si>
  <si>
    <r>
      <t>b</t>
    </r>
    <r>
      <rPr>
        <vertAlign val="subscript"/>
        <sz val="11"/>
        <color theme="1"/>
        <rFont val="Calibri"/>
        <family val="2"/>
        <scheme val="minor"/>
      </rPr>
      <t>fire</t>
    </r>
    <r>
      <rPr>
        <sz val="11"/>
        <color theme="1"/>
        <rFont val="Calibri"/>
        <family val="2"/>
        <scheme val="minor"/>
      </rPr>
      <t xml:space="preserve"> =</t>
    </r>
  </si>
  <si>
    <r>
      <t>d</t>
    </r>
    <r>
      <rPr>
        <vertAlign val="subscript"/>
        <sz val="11"/>
        <color theme="1"/>
        <rFont val="Calibri"/>
        <family val="2"/>
        <scheme val="minor"/>
      </rPr>
      <t>fire</t>
    </r>
    <r>
      <rPr>
        <sz val="11"/>
        <color theme="1"/>
        <rFont val="Calibri"/>
        <family val="2"/>
        <scheme val="minor"/>
      </rPr>
      <t xml:space="preserve"> =</t>
    </r>
  </si>
  <si>
    <t>FcE_fire</t>
  </si>
  <si>
    <t>FcE_fire/Fc</t>
  </si>
  <si>
    <r>
      <t>C</t>
    </r>
    <r>
      <rPr>
        <vertAlign val="subscript"/>
        <sz val="11"/>
        <color theme="1"/>
        <rFont val="Calibri"/>
        <family val="2"/>
        <scheme val="minor"/>
      </rPr>
      <t>p</t>
    </r>
    <r>
      <rPr>
        <sz val="11"/>
        <color theme="1"/>
        <rFont val="Calibri"/>
        <family val="2"/>
        <scheme val="minor"/>
      </rPr>
      <t>, fire</t>
    </r>
  </si>
  <si>
    <t>Fire Resistance Checks</t>
  </si>
  <si>
    <t>Reduced Member Dimensions</t>
  </si>
  <si>
    <r>
      <t>Fire Column Stability, C</t>
    </r>
    <r>
      <rPr>
        <b/>
        <vertAlign val="subscript"/>
        <sz val="11"/>
        <color theme="1"/>
        <rFont val="Calibri"/>
        <family val="2"/>
        <scheme val="minor"/>
      </rPr>
      <t>p</t>
    </r>
  </si>
  <si>
    <t xml:space="preserve">Fbxf = </t>
  </si>
  <si>
    <t xml:space="preserve">Fbyf = </t>
  </si>
  <si>
    <t>FbExf =</t>
  </si>
  <si>
    <t>FbEyf =</t>
  </si>
  <si>
    <t xml:space="preserve">Ftf = </t>
  </si>
  <si>
    <t xml:space="preserve">Frtf = </t>
  </si>
  <si>
    <t xml:space="preserve">Fcf = </t>
  </si>
  <si>
    <r>
      <t>Fc</t>
    </r>
    <r>
      <rPr>
        <sz val="11"/>
        <color theme="1"/>
        <rFont val="Calibri"/>
        <family val="2"/>
      </rPr>
      <t xml:space="preserve">Ʇf = </t>
    </r>
  </si>
  <si>
    <t>FcExf =</t>
  </si>
  <si>
    <t>FcEyf =</t>
  </si>
  <si>
    <t>dred,x =</t>
  </si>
  <si>
    <t>dred,y =</t>
  </si>
  <si>
    <t>lex/dredx =</t>
  </si>
  <si>
    <t>ley/dredy =</t>
  </si>
  <si>
    <t>For member orientation, to be consistent with NDS, I would call the axis x-x and y-y.</t>
  </si>
  <si>
    <t>Subject</t>
  </si>
  <si>
    <t>Comment</t>
  </si>
  <si>
    <t>Adjusted Reference Design Values</t>
  </si>
  <si>
    <t>Excel Tab</t>
  </si>
  <si>
    <t>Member Checks</t>
  </si>
  <si>
    <t>Design Values</t>
  </si>
  <si>
    <t>Temperature Factor</t>
  </si>
  <si>
    <t>Beam stability factor should not be applied simultaneously with the volume factor for glue-laminated timber memers in bending (see 5.3.4) - use less value.</t>
  </si>
  <si>
    <t>I agree with the use of the 100°F &lt; T ≤ 125°F temperature range. Unless, others have other thoughts.</t>
  </si>
  <si>
    <t>I would recommend calculating the beam stability factor per equation 3.3-6.</t>
  </si>
  <si>
    <t>Beam Stability Factor (Fire)</t>
  </si>
  <si>
    <t>I would recommend calculating the beam stability factor per equation 3.3-6 with the reduced cross-section.</t>
  </si>
  <si>
    <t>Add equations from NDS Section 5.3.9 if you decide on tapered members.</t>
  </si>
  <si>
    <t>I think you could arge that the loading on a pedestrian walkway is considered cyclic. Although, maybe the magnitude of the loads would not suggest the need for reducing the shear stress. Are there vehicles considered in the design?</t>
  </si>
  <si>
    <t>Net Section Area</t>
  </si>
  <si>
    <r>
      <rPr>
        <sz val="8"/>
        <color theme="4"/>
        <rFont val="Arial"/>
        <family val="2"/>
      </rPr>
      <t>Cell C37</t>
    </r>
    <r>
      <rPr>
        <sz val="8"/>
        <color theme="1"/>
        <rFont val="Arial"/>
        <family val="2"/>
      </rPr>
      <t xml:space="preserve"> - Use gross cross-sectional area instead of net section area.</t>
    </r>
  </si>
  <si>
    <t>Update compression and tension member checks to use gross cross-sectional area.</t>
  </si>
  <si>
    <t>Char Rate</t>
  </si>
  <si>
    <t>Char Depth</t>
  </si>
  <si>
    <t>Effective Char Depth</t>
  </si>
  <si>
    <t>Reduced Nominal Dimensions (Fire)</t>
  </si>
  <si>
    <t>No.</t>
  </si>
  <si>
    <t>X-X axis Loading</t>
  </si>
  <si>
    <t>no action required</t>
  </si>
  <si>
    <t>done</t>
  </si>
  <si>
    <t>add to CL check - RBx and Rby</t>
  </si>
  <si>
    <t>to be done</t>
  </si>
  <si>
    <t>talk to luca</t>
  </si>
  <si>
    <t>only use net section for connection check, use gross area for normal checks - similar to steel</t>
  </si>
  <si>
    <t>EL notes</t>
  </si>
  <si>
    <t>Shear Parallel to Grain (V2)</t>
  </si>
  <si>
    <t>Bending (M2)</t>
  </si>
  <si>
    <t>Shear Parallel to Grain (V3)</t>
  </si>
  <si>
    <t>(See Figure 5A)</t>
  </si>
  <si>
    <t>x-x</t>
  </si>
  <si>
    <t>Resolved?</t>
  </si>
  <si>
    <t>yes</t>
  </si>
  <si>
    <t>achar =</t>
  </si>
  <si>
    <t>Req Fire Rating, t =</t>
  </si>
  <si>
    <t>NDS2018 different than 2015, but results in same aeff</t>
  </si>
  <si>
    <t>Cell F68 - check formula. Is it calculating properly?</t>
  </si>
  <si>
    <r>
      <t>β</t>
    </r>
    <r>
      <rPr>
        <vertAlign val="subscript"/>
        <sz val="8"/>
        <color theme="0" tint="-0.249977111117893"/>
        <rFont val="Arial"/>
        <family val="2"/>
      </rPr>
      <t>t</t>
    </r>
    <r>
      <rPr>
        <sz val="8"/>
        <color theme="0" tint="-0.249977111117893"/>
        <rFont val="Arial"/>
        <family val="2"/>
      </rPr>
      <t xml:space="preserve"> = β</t>
    </r>
    <r>
      <rPr>
        <vertAlign val="subscript"/>
        <sz val="8"/>
        <color theme="0" tint="-0.249977111117893"/>
        <rFont val="Arial"/>
        <family val="2"/>
      </rPr>
      <t>n</t>
    </r>
    <r>
      <rPr>
        <sz val="8"/>
        <color theme="0" tint="-0.249977111117893"/>
        <rFont val="Arial"/>
        <family val="2"/>
      </rPr>
      <t xml:space="preserve"> = 1.5 in/hr is commonly assumed for glued laminated timber.</t>
    </r>
  </si>
  <si>
    <r>
      <t>a</t>
    </r>
    <r>
      <rPr>
        <vertAlign val="subscript"/>
        <sz val="8"/>
        <color theme="0" tint="-0.249977111117893"/>
        <rFont val="Arial"/>
        <family val="2"/>
      </rPr>
      <t>char</t>
    </r>
    <r>
      <rPr>
        <sz val="8"/>
        <color theme="0" tint="-0.249977111117893"/>
        <rFont val="Arial"/>
        <family val="2"/>
      </rPr>
      <t xml:space="preserve"> = β</t>
    </r>
    <r>
      <rPr>
        <vertAlign val="subscript"/>
        <sz val="8"/>
        <color theme="0" tint="-0.249977111117893"/>
        <rFont val="Arial"/>
        <family val="2"/>
      </rPr>
      <t>t</t>
    </r>
    <r>
      <rPr>
        <sz val="8"/>
        <color theme="0" tint="-0.249977111117893"/>
        <rFont val="Arial"/>
        <family val="2"/>
      </rPr>
      <t>t</t>
    </r>
    <r>
      <rPr>
        <vertAlign val="superscript"/>
        <sz val="8"/>
        <color theme="0" tint="-0.249977111117893"/>
        <rFont val="Arial"/>
        <family val="2"/>
      </rPr>
      <t>0.813</t>
    </r>
    <r>
      <rPr>
        <sz val="8"/>
        <color theme="0" tint="-0.249977111117893"/>
        <rFont val="Arial"/>
        <family val="2"/>
      </rPr>
      <t xml:space="preserve"> ; a</t>
    </r>
    <r>
      <rPr>
        <vertAlign val="subscript"/>
        <sz val="8"/>
        <color theme="0" tint="-0.249977111117893"/>
        <rFont val="Arial"/>
        <family val="2"/>
      </rPr>
      <t>char</t>
    </r>
    <r>
      <rPr>
        <sz val="8"/>
        <color theme="0" tint="-0.249977111117893"/>
        <rFont val="Arial"/>
        <family val="2"/>
      </rPr>
      <t xml:space="preserve"> for 1-hour = 1.5 in, 1.5-hour = 2.1 in, 2-hour =  2.6 in</t>
    </r>
  </si>
  <si>
    <r>
      <t>a</t>
    </r>
    <r>
      <rPr>
        <vertAlign val="subscript"/>
        <sz val="8"/>
        <color theme="0" tint="-0.249977111117893"/>
        <rFont val="Arial"/>
        <family val="2"/>
      </rPr>
      <t>eff</t>
    </r>
    <r>
      <rPr>
        <sz val="8"/>
        <color theme="0" tint="-0.249977111117893"/>
        <rFont val="Arial"/>
        <family val="2"/>
      </rPr>
      <t xml:space="preserve"> = 1.2a</t>
    </r>
    <r>
      <rPr>
        <vertAlign val="subscript"/>
        <sz val="8"/>
        <color theme="0" tint="-0.249977111117893"/>
        <rFont val="Arial"/>
        <family val="2"/>
      </rPr>
      <t>char</t>
    </r>
    <r>
      <rPr>
        <sz val="8"/>
        <color theme="0" tint="-0.249977111117893"/>
        <rFont val="Arial"/>
        <family val="2"/>
      </rPr>
      <t xml:space="preserve"> ; aeff for 1-hour = 1.8 in, 1.5-hour = 2.5 in, 2-hour = 3.2 in - see Table 16.2.1A</t>
    </r>
  </si>
  <si>
    <r>
      <t>b</t>
    </r>
    <r>
      <rPr>
        <vertAlign val="subscript"/>
        <sz val="8"/>
        <color theme="0" tint="-0.249977111117893"/>
        <rFont val="Arial"/>
        <family val="2"/>
      </rPr>
      <t>fire</t>
    </r>
    <r>
      <rPr>
        <sz val="8"/>
        <color theme="0" tint="-0.249977111117893"/>
        <rFont val="Arial"/>
        <family val="2"/>
      </rPr>
      <t xml:space="preserve"> = b x (# of exposed sides)(a</t>
    </r>
    <r>
      <rPr>
        <vertAlign val="subscript"/>
        <sz val="8"/>
        <color theme="0" tint="-0.249977111117893"/>
        <rFont val="Arial"/>
        <family val="2"/>
      </rPr>
      <t>eff</t>
    </r>
    <r>
      <rPr>
        <sz val="8"/>
        <color theme="0" tint="-0.249977111117893"/>
        <rFont val="Arial"/>
        <family val="2"/>
      </rPr>
      <t>) ; d</t>
    </r>
    <r>
      <rPr>
        <vertAlign val="subscript"/>
        <sz val="8"/>
        <color theme="0" tint="-0.249977111117893"/>
        <rFont val="Arial"/>
        <family val="2"/>
      </rPr>
      <t>fire</t>
    </r>
    <r>
      <rPr>
        <sz val="8"/>
        <color theme="0" tint="-0.249977111117893"/>
        <rFont val="Arial"/>
        <family val="2"/>
      </rPr>
      <t xml:space="preserve"> = b x (# of exposed sides)(a</t>
    </r>
    <r>
      <rPr>
        <vertAlign val="subscript"/>
        <sz val="8"/>
        <color theme="0" tint="-0.249977111117893"/>
        <rFont val="Arial"/>
        <family val="2"/>
      </rPr>
      <t>eff</t>
    </r>
    <r>
      <rPr>
        <sz val="8"/>
        <color theme="0" tint="-0.249977111117893"/>
        <rFont val="Arial"/>
        <family val="2"/>
      </rPr>
      <t>)</t>
    </r>
  </si>
  <si>
    <r>
      <t>R</t>
    </r>
    <r>
      <rPr>
        <vertAlign val="subscript"/>
        <sz val="11"/>
        <color theme="1"/>
        <rFont val="Calibri"/>
        <family val="2"/>
        <scheme val="minor"/>
      </rPr>
      <t>B,y</t>
    </r>
    <r>
      <rPr>
        <sz val="11"/>
        <color theme="1"/>
        <rFont val="Calibri"/>
        <family val="2"/>
        <scheme val="minor"/>
      </rPr>
      <t xml:space="preserve"> =</t>
    </r>
  </si>
  <si>
    <r>
      <t>We should calculate the slenderness ratio, R</t>
    </r>
    <r>
      <rPr>
        <vertAlign val="subscript"/>
        <sz val="8"/>
        <color theme="0" tint="-0.249977111117893"/>
        <rFont val="Arial"/>
        <family val="2"/>
      </rPr>
      <t>B</t>
    </r>
    <r>
      <rPr>
        <sz val="8"/>
        <color theme="0" tint="-0.249977111117893"/>
        <rFont val="Arial"/>
        <family val="2"/>
      </rPr>
      <t>, per section 3.3.3.6 to confirm it does not exceed 50.</t>
    </r>
  </si>
  <si>
    <t>Bending + Axial Compression or Biaxial Bending (NDS Section 3.9.2)</t>
  </si>
  <si>
    <t>Member Length, L</t>
  </si>
  <si>
    <t>Reduced Member Dimensions for Fire Resistance</t>
  </si>
  <si>
    <t>Bending effective length, lex</t>
  </si>
  <si>
    <t>Bending effective length, ley</t>
  </si>
  <si>
    <t>Length between zero moments, Lx</t>
  </si>
  <si>
    <t>Bending Unbraced Length Y, luy</t>
  </si>
  <si>
    <t>coefficient</t>
  </si>
  <si>
    <t>(table 3.3.3)</t>
  </si>
  <si>
    <t>*lux+d*</t>
  </si>
  <si>
    <t>*luy+d*</t>
  </si>
  <si>
    <r>
      <t>Slenderness Ratio R</t>
    </r>
    <r>
      <rPr>
        <vertAlign val="subscript"/>
        <sz val="11"/>
        <color theme="1"/>
        <rFont val="Calibri"/>
        <family val="2"/>
        <scheme val="minor"/>
      </rPr>
      <t>B,x</t>
    </r>
  </si>
  <si>
    <r>
      <t>Slenderness Ratio R</t>
    </r>
    <r>
      <rPr>
        <vertAlign val="subscript"/>
        <sz val="11"/>
        <color theme="1"/>
        <rFont val="Calibri"/>
        <family val="2"/>
        <scheme val="minor"/>
      </rPr>
      <t>B,y</t>
    </r>
  </si>
  <si>
    <t>FbE,x</t>
  </si>
  <si>
    <t>FbE,y</t>
  </si>
  <si>
    <r>
      <t>C</t>
    </r>
    <r>
      <rPr>
        <vertAlign val="subscript"/>
        <sz val="11"/>
        <color theme="1"/>
        <rFont val="Calibri"/>
        <family val="2"/>
        <scheme val="minor"/>
      </rPr>
      <t>L</t>
    </r>
    <r>
      <rPr>
        <sz val="11"/>
        <color theme="1"/>
        <rFont val="Calibri"/>
        <family val="2"/>
        <scheme val="minor"/>
      </rPr>
      <t>,x</t>
    </r>
  </si>
  <si>
    <r>
      <t>C</t>
    </r>
    <r>
      <rPr>
        <vertAlign val="subscript"/>
        <sz val="11"/>
        <color theme="1"/>
        <rFont val="Calibri"/>
        <family val="2"/>
        <scheme val="minor"/>
      </rPr>
      <t>L</t>
    </r>
    <r>
      <rPr>
        <sz val="11"/>
        <color theme="1"/>
        <rFont val="Calibri"/>
        <family val="2"/>
        <scheme val="minor"/>
      </rPr>
      <t>,y</t>
    </r>
  </si>
  <si>
    <t>Fbx***</t>
  </si>
  <si>
    <t>Fby***</t>
  </si>
  <si>
    <t>FbE,x/Fbx***</t>
  </si>
  <si>
    <t>FbE,y/Fby***</t>
  </si>
  <si>
    <r>
      <t>Fire C</t>
    </r>
    <r>
      <rPr>
        <vertAlign val="subscript"/>
        <sz val="11"/>
        <color theme="1"/>
        <rFont val="Calibri"/>
        <family val="2"/>
        <scheme val="minor"/>
      </rPr>
      <t>L</t>
    </r>
    <r>
      <rPr>
        <sz val="11"/>
        <color theme="1"/>
        <rFont val="Calibri"/>
        <family val="2"/>
        <scheme val="minor"/>
      </rPr>
      <t>,x</t>
    </r>
  </si>
  <si>
    <r>
      <t>Fire C</t>
    </r>
    <r>
      <rPr>
        <vertAlign val="subscript"/>
        <sz val="11"/>
        <color theme="1"/>
        <rFont val="Calibri"/>
        <family val="2"/>
        <scheme val="minor"/>
      </rPr>
      <t>L</t>
    </r>
    <r>
      <rPr>
        <sz val="11"/>
        <color theme="1"/>
        <rFont val="Calibri"/>
        <family val="2"/>
        <scheme val="minor"/>
      </rPr>
      <t>,y</t>
    </r>
  </si>
  <si>
    <t>YES</t>
  </si>
  <si>
    <t>Design for Glulam primarly in axial tension and compression (Table 5B) - for input notes purposes</t>
  </si>
  <si>
    <t>keep</t>
  </si>
  <si>
    <t>see section 3.8, perhaps ok for compression, but not for tension</t>
  </si>
  <si>
    <t>+ tension, 
- compression (P)</t>
  </si>
  <si>
    <t>Macro User Notes</t>
  </si>
  <si>
    <t>Fill out all required inputs in Design Values tab</t>
  </si>
  <si>
    <t>Connection - Net Section</t>
  </si>
  <si>
    <t>fc/FcEx =</t>
  </si>
  <si>
    <t>fc/FcEy =</t>
  </si>
  <si>
    <t>Design for Balanced beams only. Note that equations take the absolute value of moment and shear inputs</t>
  </si>
  <si>
    <t>Description</t>
  </si>
  <si>
    <t>Fvyf =</t>
  </si>
  <si>
    <t>Fvxf =</t>
  </si>
  <si>
    <t>Dry</t>
  </si>
  <si>
    <t xml:space="preserve">Fbx'(+) = </t>
  </si>
  <si>
    <t>Fbx+</t>
  </si>
  <si>
    <t>Positive Bending (M3)</t>
  </si>
  <si>
    <t>Positive Flexure Check - X-X Axis (NDS Section 3.3)</t>
  </si>
  <si>
    <t>Bending Unbraced Length x, lux</t>
  </si>
  <si>
    <t>Φ</t>
  </si>
  <si>
    <t>contl. le/d</t>
  </si>
  <si>
    <t>Effective Length X, lex</t>
  </si>
  <si>
    <t>Effective  Length Y, ley</t>
  </si>
  <si>
    <t>Code Checks</t>
  </si>
  <si>
    <t>Southern Pine</t>
  </si>
  <si>
    <t>Section 16.2.1.1</t>
  </si>
  <si>
    <t>(Eq 16.2-1)</t>
  </si>
  <si>
    <t>Table 16.2.1A</t>
  </si>
  <si>
    <t>24F-1.7E (24F-V1) Table 5A</t>
  </si>
  <si>
    <t>Purlin</t>
  </si>
  <si>
    <t>Bearing stress =</t>
  </si>
  <si>
    <t>Capacity =</t>
  </si>
  <si>
    <t>DCR =</t>
  </si>
  <si>
    <t>Section name</t>
  </si>
  <si>
    <t>Width</t>
  </si>
  <si>
    <t>Depth</t>
  </si>
  <si>
    <t>Length</t>
  </si>
  <si>
    <t>Effective column lengths wrt x-x</t>
  </si>
  <si>
    <t>Effective column lengths wrt y-y</t>
  </si>
  <si>
    <t>Length between zero moments</t>
  </si>
  <si>
    <t>Bending unbraced length, x-x</t>
  </si>
  <si>
    <t>Bending unbraced length, y-y</t>
  </si>
  <si>
    <t>Bearing length parallel to grain </t>
  </si>
  <si>
    <t>Axis orientation</t>
  </si>
  <si>
    <t>Table 3.3.3 lu coefficient</t>
  </si>
  <si>
    <t>Table 3.3.3 depth coefficient</t>
  </si>
  <si>
    <t>Curvature</t>
  </si>
  <si>
    <t>Lamination thickness</t>
  </si>
  <si>
    <t>Wood specie</t>
  </si>
  <si>
    <t>Positive bending</t>
  </si>
  <si>
    <t>Bending about y-y</t>
  </si>
  <si>
    <t>Tension design value parallel to grain (psi)</t>
  </si>
  <si>
    <t>Shear design value with bending about x-x</t>
  </si>
  <si>
    <t>Shear design value with bending about y-y</t>
  </si>
  <si>
    <t>Compression design value parallel to grain</t>
  </si>
  <si>
    <t>Compression design value perpendicular to grain</t>
  </si>
  <si>
    <t>Elastic modulus</t>
  </si>
  <si>
    <t>Elastic modulus for beam/column stability</t>
  </si>
  <si>
    <t>Section</t>
  </si>
  <si>
    <t>shape</t>
  </si>
  <si>
    <t>lex</t>
  </si>
  <si>
    <t>ley</t>
  </si>
  <si>
    <t>Lx</t>
  </si>
  <si>
    <t>lux</t>
  </si>
  <si>
    <t>luy</t>
  </si>
  <si>
    <t>lb</t>
  </si>
  <si>
    <t>axis_orientation</t>
  </si>
  <si>
    <t>coeff_lu</t>
  </si>
  <si>
    <t>coeff_d</t>
  </si>
  <si>
    <t>t_lam</t>
  </si>
  <si>
    <t>Specie</t>
  </si>
  <si>
    <t>Fbx_pos</t>
  </si>
  <si>
    <t>Fc_perp</t>
  </si>
  <si>
    <t>E_min</t>
  </si>
  <si>
    <t>Name</t>
  </si>
  <si>
    <t>x-x or y-y</t>
  </si>
  <si>
    <t>Glulam- 8.875x24</t>
  </si>
  <si>
    <t>Rectangular</t>
  </si>
  <si>
    <t>Adj</t>
  </si>
  <si>
    <t>Ref</t>
  </si>
  <si>
    <t>Index</t>
  </si>
  <si>
    <t>CC</t>
  </si>
  <si>
    <t>Frt</t>
  </si>
  <si>
    <t>Fbyf</t>
  </si>
  <si>
    <t>Ftf</t>
  </si>
  <si>
    <t>Fvyf</t>
  </si>
  <si>
    <t>Fvxf</t>
  </si>
  <si>
    <t>Frtf</t>
  </si>
  <si>
    <t>Fcf</t>
  </si>
  <si>
    <t>CV</t>
  </si>
  <si>
    <t>Cfu</t>
  </si>
  <si>
    <t>CL_fire</t>
  </si>
  <si>
    <t>CP_fire</t>
  </si>
  <si>
    <t>Fbx_posf</t>
  </si>
  <si>
    <t>Fc_perpf</t>
  </si>
  <si>
    <t>C_fire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</si>
</sst>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 ???/???"/>
    <numFmt numFmtId="167" formatCode="0.0000000"/>
    <numFmt numFmtId="168" formatCode="0.0E+00"/>
  </numFmts>
  <fonts count="26">
    <font>
      <sz val="11"/>
      <color theme="1"/>
      <name val="Calibri"/>
      <family val="2"/>
      <scheme val="minor"/>
    </font>
    <font>
      <sz val="8"/>
      <color theme="1"/>
      <name val="Arial"/>
      <family val="2"/>
    </font>
    <font>
      <sz val="11"/>
      <color theme="1"/>
      <name val="Calibri"/>
      <family val="2"/>
    </font>
    <font>
      <b/>
      <sz val="11"/>
      <color theme="1"/>
      <name val="Calibri"/>
      <family val="2"/>
      <scheme val="minor"/>
    </font>
    <font>
      <sz val="11"/>
      <color rgb="FF0000FF"/>
      <name val="Calibri"/>
      <family val="2"/>
      <scheme val="minor"/>
    </font>
    <font>
      <vertAlign val="subscript"/>
      <sz val="11"/>
      <color theme="1"/>
      <name val="Calibri"/>
      <family val="2"/>
      <scheme val="minor"/>
    </font>
    <font>
      <b/>
      <vertAlign val="subscript"/>
      <sz val="11"/>
      <color theme="1"/>
      <name val="Calibri"/>
      <family val="2"/>
      <scheme val="minor"/>
    </font>
    <font>
      <sz val="11"/>
      <name val="Calibri"/>
      <family val="2"/>
      <scheme val="minor"/>
    </font>
    <font>
      <b/>
      <sz val="11"/>
      <color rgb="FF0000FF"/>
      <name val="Calibri"/>
      <family val="2"/>
      <scheme val="minor"/>
    </font>
    <font>
      <b/>
      <sz val="11"/>
      <name val="Calibri"/>
      <family val="2"/>
      <scheme val="minor"/>
    </font>
    <font>
      <vertAlign val="superscript"/>
      <sz val="11"/>
      <color theme="1"/>
      <name val="Calibri"/>
      <family val="2"/>
      <scheme val="minor"/>
    </font>
    <font>
      <u/>
      <sz val="11"/>
      <color theme="1"/>
      <name val="Calibri"/>
      <family val="2"/>
      <scheme val="minor"/>
    </font>
    <font>
      <sz val="9"/>
      <color indexed="81"/>
      <name val="Tahoma"/>
      <family val="2"/>
    </font>
    <font>
      <b/>
      <sz val="9"/>
      <color indexed="81"/>
      <name val="Tahoma"/>
      <family val="2"/>
    </font>
    <font>
      <sz val="11"/>
      <color theme="1"/>
      <name val="Symbol"/>
      <family val="1"/>
      <charset val="2"/>
    </font>
    <font>
      <sz val="11"/>
      <color theme="1"/>
      <name val="Calibri"/>
      <family val="1"/>
      <charset val="2"/>
      <scheme val="minor"/>
    </font>
    <font>
      <sz val="11"/>
      <color theme="1"/>
      <name val="Calibri"/>
      <family val="2"/>
      <charset val="2"/>
      <scheme val="minor"/>
    </font>
    <font>
      <sz val="9"/>
      <color theme="1"/>
      <name val="Arial"/>
      <family val="2"/>
    </font>
    <font>
      <sz val="8"/>
      <color theme="4"/>
      <name val="Arial"/>
      <family val="2"/>
    </font>
    <font>
      <sz val="8"/>
      <color theme="0" tint="-0.249977111117893"/>
      <name val="Arial"/>
      <family val="2"/>
    </font>
    <font>
      <strike/>
      <sz val="8"/>
      <color theme="0" tint="-0.249977111117893"/>
      <name val="Arial"/>
      <family val="2"/>
    </font>
    <font>
      <vertAlign val="subscript"/>
      <sz val="8"/>
      <color theme="0" tint="-0.249977111117893"/>
      <name val="Arial"/>
      <family val="2"/>
    </font>
    <font>
      <vertAlign val="superscript"/>
      <sz val="8"/>
      <color theme="0" tint="-0.249977111117893"/>
      <name val="Arial"/>
      <family val="2"/>
    </font>
    <font>
      <sz val="11"/>
      <color theme="7" tint="-0.249977111117893"/>
      <name val="Calibri"/>
      <family val="2"/>
      <scheme val="minor"/>
    </font>
    <font>
      <b/>
      <sz val="8"/>
      <color rgb="FF212121"/>
      <name val="Roboto"/>
    </font>
    <font>
      <sz val="11"/>
      <color rgb="FF21212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1">
    <border>
      <left/>
      <right/>
      <top/>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4">
    <xf numFmtId="0" fontId="0" fillId="0" borderId="0" xfId="0"/>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0" fontId="0" fillId="0" borderId="1" xfId="0" applyBorder="1" applyAlignment="1">
      <alignment horizontal="right"/>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3" fillId="0" borderId="0" xfId="0" applyFont="1"/>
    <xf numFmtId="0" fontId="4" fillId="0" borderId="0" xfId="0" applyFont="1"/>
    <xf numFmtId="2" fontId="0" fillId="0" borderId="0" xfId="0" applyNumberFormat="1" applyAlignment="1">
      <alignment horizontal="center"/>
    </xf>
    <xf numFmtId="2" fontId="0" fillId="0" borderId="1" xfId="0" applyNumberFormat="1" applyBorder="1" applyAlignment="1">
      <alignment horizontal="center"/>
    </xf>
    <xf numFmtId="0" fontId="3" fillId="0" borderId="0" xfId="0" applyFont="1" applyAlignment="1">
      <alignment horizontal="left"/>
    </xf>
    <xf numFmtId="164" fontId="0" fillId="0" borderId="0" xfId="0" applyNumberFormat="1" applyAlignment="1">
      <alignment horizontal="center"/>
    </xf>
    <xf numFmtId="164" fontId="0" fillId="0" borderId="1" xfId="0" applyNumberForma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2" fontId="0" fillId="0" borderId="4" xfId="0" applyNumberFormat="1" applyBorder="1" applyAlignment="1">
      <alignment horizontal="center"/>
    </xf>
    <xf numFmtId="2" fontId="0" fillId="0" borderId="5" xfId="0" applyNumberFormat="1" applyBorder="1" applyAlignment="1">
      <alignment horizontal="center"/>
    </xf>
    <xf numFmtId="0" fontId="7" fillId="0" borderId="0" xfId="0" applyFont="1"/>
    <xf numFmtId="2" fontId="7" fillId="0" borderId="0" xfId="0" applyNumberFormat="1" applyFont="1"/>
    <xf numFmtId="0" fontId="4" fillId="0" borderId="0" xfId="0" applyFont="1" applyAlignment="1">
      <alignment horizontal="left"/>
    </xf>
    <xf numFmtId="0" fontId="7" fillId="0" borderId="0" xfId="0" applyFont="1" applyAlignment="1">
      <alignment horizontal="left"/>
    </xf>
    <xf numFmtId="1" fontId="0" fillId="0" borderId="0" xfId="0" applyNumberFormat="1"/>
    <xf numFmtId="165" fontId="0" fillId="0" borderId="0" xfId="0" applyNumberFormat="1"/>
    <xf numFmtId="164" fontId="0" fillId="0" borderId="0" xfId="0" applyNumberFormat="1"/>
    <xf numFmtId="2" fontId="0" fillId="0" borderId="0" xfId="0" applyNumberFormat="1"/>
    <xf numFmtId="1" fontId="3" fillId="0" borderId="0" xfId="0" applyNumberFormat="1" applyFont="1" applyAlignment="1">
      <alignment horizontal="center"/>
    </xf>
    <xf numFmtId="0" fontId="3" fillId="0" borderId="0" xfId="0" applyFont="1" applyAlignment="1">
      <alignment horizontal="right"/>
    </xf>
    <xf numFmtId="0" fontId="3" fillId="0" borderId="0" xfId="0" applyFont="1" applyAlignment="1">
      <alignment horizontal="center"/>
    </xf>
    <xf numFmtId="0" fontId="8" fillId="0" borderId="0" xfId="0" applyFont="1" applyAlignment="1">
      <alignment horizontal="left"/>
    </xf>
    <xf numFmtId="0" fontId="3" fillId="0" borderId="8" xfId="0" applyFont="1" applyBorder="1" applyAlignment="1">
      <alignment horizontal="center"/>
    </xf>
    <xf numFmtId="0" fontId="3" fillId="0" borderId="9" xfId="0" applyFont="1" applyBorder="1" applyAlignment="1">
      <alignment horizontal="center"/>
    </xf>
    <xf numFmtId="0" fontId="0" fillId="0" borderId="3" xfId="0" applyBorder="1" applyAlignment="1">
      <alignment horizontal="center" textRotation="90"/>
    </xf>
    <xf numFmtId="0" fontId="0" fillId="0" borderId="2" xfId="0" applyBorder="1"/>
    <xf numFmtId="0" fontId="0" fillId="0" borderId="19" xfId="0" applyBorder="1" applyAlignment="1">
      <alignment horizontal="center" textRotation="90"/>
    </xf>
    <xf numFmtId="0" fontId="0" fillId="0" borderId="2" xfId="0" applyBorder="1" applyAlignment="1">
      <alignment horizontal="center" textRotation="90"/>
    </xf>
    <xf numFmtId="0" fontId="0" fillId="0" borderId="19" xfId="0" applyBorder="1" applyAlignment="1">
      <alignment horizontal="center"/>
    </xf>
    <xf numFmtId="0" fontId="0" fillId="0" borderId="20" xfId="0" applyBorder="1" applyAlignment="1">
      <alignment horizontal="center"/>
    </xf>
    <xf numFmtId="0" fontId="4" fillId="3" borderId="0" xfId="0" applyFont="1" applyFill="1"/>
    <xf numFmtId="0" fontId="4" fillId="3" borderId="0" xfId="0" applyFont="1" applyFill="1" applyAlignment="1">
      <alignment horizontal="center"/>
    </xf>
    <xf numFmtId="11" fontId="4" fillId="3" borderId="0" xfId="0" applyNumberFormat="1" applyFont="1" applyFill="1" applyAlignment="1">
      <alignment horizontal="center"/>
    </xf>
    <xf numFmtId="11" fontId="4" fillId="3" borderId="1" xfId="0" applyNumberFormat="1" applyFont="1" applyFill="1" applyBorder="1" applyAlignment="1">
      <alignment horizontal="center"/>
    </xf>
    <xf numFmtId="0" fontId="3" fillId="0" borderId="6" xfId="0" applyFont="1" applyBorder="1" applyAlignment="1">
      <alignment horizontal="center" wrapText="1"/>
    </xf>
    <xf numFmtId="0" fontId="0" fillId="0" borderId="0" xfId="0" applyAlignment="1">
      <alignment horizontal="left" wrapText="1"/>
    </xf>
    <xf numFmtId="2" fontId="0" fillId="0" borderId="23" xfId="0" applyNumberFormat="1" applyBorder="1" applyAlignment="1">
      <alignment horizontal="center"/>
    </xf>
    <xf numFmtId="1" fontId="3" fillId="0" borderId="19" xfId="0" applyNumberFormat="1" applyFont="1" applyBorder="1" applyAlignment="1">
      <alignment horizontal="center"/>
    </xf>
    <xf numFmtId="0" fontId="4" fillId="3" borderId="0" xfId="0" applyFont="1" applyFill="1" applyAlignment="1">
      <alignment horizontal="right"/>
    </xf>
    <xf numFmtId="0" fontId="4" fillId="3" borderId="0" xfId="0" quotePrefix="1" applyFont="1" applyFill="1" applyAlignment="1">
      <alignment horizontal="right"/>
    </xf>
    <xf numFmtId="0" fontId="0" fillId="0" borderId="19" xfId="0" applyBorder="1" applyAlignment="1">
      <alignment horizontal="center" textRotation="90" wrapText="1"/>
    </xf>
    <xf numFmtId="164" fontId="0" fillId="0" borderId="4" xfId="0" applyNumberFormat="1" applyBorder="1" applyAlignment="1">
      <alignment horizontal="center"/>
    </xf>
    <xf numFmtId="0" fontId="15" fillId="0" borderId="0" xfId="0" applyFont="1" applyAlignment="1">
      <alignment horizontal="right"/>
    </xf>
    <xf numFmtId="0" fontId="10" fillId="0" borderId="0" xfId="0" applyFont="1" applyAlignment="1">
      <alignment horizontal="center"/>
    </xf>
    <xf numFmtId="1" fontId="3" fillId="0" borderId="20" xfId="0" applyNumberFormat="1" applyFont="1" applyBorder="1" applyAlignment="1">
      <alignment horizontal="center"/>
    </xf>
    <xf numFmtId="165" fontId="4" fillId="0" borderId="0" xfId="0" applyNumberFormat="1" applyFont="1"/>
    <xf numFmtId="0" fontId="1" fillId="4" borderId="6" xfId="0" applyFont="1" applyFill="1" applyBorder="1" applyAlignment="1">
      <alignment horizontal="center"/>
    </xf>
    <xf numFmtId="0" fontId="1" fillId="4" borderId="0" xfId="0" applyFont="1" applyFill="1"/>
    <xf numFmtId="0" fontId="17" fillId="4" borderId="0" xfId="0" applyFont="1" applyFill="1"/>
    <xf numFmtId="0" fontId="1" fillId="5" borderId="6" xfId="0" applyFont="1" applyFill="1" applyBorder="1" applyAlignment="1">
      <alignment horizontal="center"/>
    </xf>
    <xf numFmtId="0" fontId="1" fillId="4" borderId="6" xfId="0" applyFont="1" applyFill="1" applyBorder="1" applyAlignment="1">
      <alignment horizontal="left"/>
    </xf>
    <xf numFmtId="0" fontId="3" fillId="0" borderId="7" xfId="0" applyFont="1" applyBorder="1" applyAlignment="1">
      <alignment horizontal="center" vertical="center"/>
    </xf>
    <xf numFmtId="0" fontId="16" fillId="0" borderId="0" xfId="0" applyFont="1" applyAlignment="1">
      <alignment horizontal="right"/>
    </xf>
    <xf numFmtId="0" fontId="3" fillId="0" borderId="6" xfId="0" quotePrefix="1" applyFont="1" applyBorder="1" applyAlignment="1">
      <alignment horizontal="center" wrapText="1"/>
    </xf>
    <xf numFmtId="0" fontId="3" fillId="0" borderId="25" xfId="0" applyFont="1" applyBorder="1" applyAlignment="1">
      <alignment horizontal="center" wrapText="1"/>
    </xf>
    <xf numFmtId="0" fontId="19" fillId="4" borderId="6" xfId="0" applyFont="1" applyFill="1" applyBorder="1" applyAlignment="1">
      <alignment horizontal="center"/>
    </xf>
    <xf numFmtId="0" fontId="19" fillId="4" borderId="6" xfId="0" applyFont="1" applyFill="1" applyBorder="1" applyAlignment="1">
      <alignment horizontal="left"/>
    </xf>
    <xf numFmtId="0" fontId="19" fillId="4" borderId="0" xfId="0" applyFont="1" applyFill="1"/>
    <xf numFmtId="0" fontId="20" fillId="4" borderId="6" xfId="0" applyFont="1" applyFill="1" applyBorder="1" applyAlignment="1">
      <alignment horizontal="center"/>
    </xf>
    <xf numFmtId="0" fontId="20" fillId="4" borderId="6" xfId="0" applyFont="1" applyFill="1" applyBorder="1" applyAlignment="1">
      <alignment horizontal="left"/>
    </xf>
    <xf numFmtId="0" fontId="0" fillId="0" borderId="0" xfId="0" quotePrefix="1"/>
    <xf numFmtId="164" fontId="7" fillId="0" borderId="0" xfId="0" applyNumberFormat="1" applyFont="1"/>
    <xf numFmtId="0" fontId="23" fillId="0" borderId="0" xfId="0" applyFont="1"/>
    <xf numFmtId="1" fontId="0" fillId="0" borderId="1" xfId="0" applyNumberFormat="1" applyBorder="1" applyAlignment="1">
      <alignment horizontal="center"/>
    </xf>
    <xf numFmtId="168" fontId="3" fillId="0" borderId="0" xfId="0" applyNumberFormat="1" applyFont="1" applyAlignment="1">
      <alignment horizontal="center"/>
    </xf>
    <xf numFmtId="168" fontId="3" fillId="0" borderId="1" xfId="0" applyNumberFormat="1" applyFont="1" applyBorder="1" applyAlignment="1">
      <alignment horizontal="center"/>
    </xf>
    <xf numFmtId="0" fontId="2" fillId="0" borderId="0" xfId="0" applyFont="1"/>
    <xf numFmtId="0" fontId="0" fillId="0" borderId="0" xfId="0" applyAlignment="1">
      <alignment horizontal="left" vertical="top" wrapText="1"/>
    </xf>
    <xf numFmtId="0" fontId="0" fillId="0" borderId="0" xfId="0" applyAlignment="1">
      <alignment horizontal="right" vertical="top"/>
    </xf>
    <xf numFmtId="0" fontId="4" fillId="3" borderId="0" xfId="0" applyFont="1" applyFill="1" applyAlignment="1">
      <alignment horizontal="center" vertical="center"/>
    </xf>
    <xf numFmtId="0" fontId="3" fillId="0" borderId="23" xfId="0" applyFont="1" applyBorder="1"/>
    <xf numFmtId="0" fontId="0" fillId="0" borderId="23" xfId="0" applyBorder="1"/>
    <xf numFmtId="0" fontId="0" fillId="0" borderId="23" xfId="0" applyBorder="1" applyAlignment="1">
      <alignment horizontal="right"/>
    </xf>
    <xf numFmtId="0" fontId="11" fillId="0" borderId="23" xfId="0" applyFont="1" applyBorder="1"/>
    <xf numFmtId="0" fontId="11" fillId="0" borderId="23" xfId="0" applyFont="1" applyBorder="1" applyAlignment="1">
      <alignment horizontal="left"/>
    </xf>
    <xf numFmtId="0" fontId="0" fillId="0" borderId="23" xfId="0" applyBorder="1" applyAlignment="1">
      <alignment horizontal="left"/>
    </xf>
    <xf numFmtId="0" fontId="0" fillId="0" borderId="27" xfId="0" applyBorder="1"/>
    <xf numFmtId="0" fontId="0" fillId="0" borderId="24" xfId="0" applyBorder="1"/>
    <xf numFmtId="0" fontId="3" fillId="0" borderId="28" xfId="0" applyFont="1" applyBorder="1"/>
    <xf numFmtId="0" fontId="0" fillId="0" borderId="28" xfId="0" applyBorder="1"/>
    <xf numFmtId="0" fontId="9" fillId="0" borderId="0" xfId="0" applyFont="1"/>
    <xf numFmtId="0" fontId="9" fillId="0" borderId="0" xfId="0" applyFont="1" applyAlignment="1">
      <alignment horizontal="center"/>
    </xf>
    <xf numFmtId="0" fontId="9" fillId="0" borderId="0" xfId="0" applyFont="1" applyAlignment="1">
      <alignment horizontal="left"/>
    </xf>
    <xf numFmtId="164" fontId="0" fillId="0" borderId="0" xfId="0" applyNumberFormat="1" applyAlignment="1">
      <alignment horizontal="right"/>
    </xf>
    <xf numFmtId="2" fontId="9" fillId="0" borderId="0" xfId="0" applyNumberFormat="1" applyFont="1" applyAlignment="1">
      <alignment horizontal="left"/>
    </xf>
    <xf numFmtId="1" fontId="9" fillId="0" borderId="0" xfId="0" applyNumberFormat="1" applyFont="1" applyAlignment="1">
      <alignment horizontal="left"/>
    </xf>
    <xf numFmtId="165" fontId="9" fillId="0" borderId="0" xfId="0" applyNumberFormat="1" applyFont="1" applyAlignment="1">
      <alignment horizontal="left"/>
    </xf>
    <xf numFmtId="164" fontId="9" fillId="0" borderId="0" xfId="0" applyNumberFormat="1" applyFont="1" applyAlignment="1">
      <alignment horizontal="left"/>
    </xf>
    <xf numFmtId="0" fontId="11" fillId="0" borderId="28" xfId="0" applyFont="1" applyBorder="1"/>
    <xf numFmtId="0" fontId="11" fillId="0" borderId="0" xfId="0" applyFont="1"/>
    <xf numFmtId="0" fontId="0" fillId="0" borderId="28" xfId="0" applyBorder="1" applyAlignment="1">
      <alignment horizontal="right"/>
    </xf>
    <xf numFmtId="0" fontId="11" fillId="0" borderId="0" xfId="0" applyFont="1" applyAlignment="1">
      <alignment horizontal="left"/>
    </xf>
    <xf numFmtId="1" fontId="0" fillId="0" borderId="0" xfId="0" applyNumberFormat="1" applyAlignment="1">
      <alignment horizontal="right"/>
    </xf>
    <xf numFmtId="0" fontId="11" fillId="0" borderId="28" xfId="0" applyFont="1" applyBorder="1" applyAlignment="1">
      <alignment horizontal="left"/>
    </xf>
    <xf numFmtId="0" fontId="0" fillId="0" borderId="28" xfId="0" applyBorder="1" applyAlignment="1">
      <alignment horizontal="left"/>
    </xf>
    <xf numFmtId="0" fontId="0" fillId="0" borderId="29" xfId="0" applyBorder="1"/>
    <xf numFmtId="165" fontId="0" fillId="0" borderId="1" xfId="0" applyNumberFormat="1" applyBorder="1"/>
    <xf numFmtId="0" fontId="0" fillId="0" borderId="30" xfId="0" applyBorder="1"/>
    <xf numFmtId="0" fontId="4" fillId="3" borderId="16" xfId="0" applyFont="1" applyFill="1" applyBorder="1" applyAlignment="1">
      <alignment horizontal="center"/>
    </xf>
    <xf numFmtId="0" fontId="0" fillId="0" borderId="17" xfId="0" applyBorder="1"/>
    <xf numFmtId="2" fontId="7" fillId="0" borderId="17" xfId="0" applyNumberFormat="1" applyFont="1" applyBorder="1"/>
    <xf numFmtId="0" fontId="4" fillId="3" borderId="17" xfId="0" applyFont="1" applyFill="1" applyBorder="1" applyAlignment="1">
      <alignment horizontal="center"/>
    </xf>
    <xf numFmtId="0" fontId="4" fillId="3" borderId="18" xfId="0" applyFont="1" applyFill="1" applyBorder="1" applyAlignment="1">
      <alignment horizontal="center"/>
    </xf>
    <xf numFmtId="0" fontId="0" fillId="2" borderId="0" xfId="0" applyFill="1" applyAlignment="1">
      <alignment horizontal="right"/>
    </xf>
    <xf numFmtId="0" fontId="4" fillId="3" borderId="0" xfId="0" applyFont="1" applyFill="1" applyAlignment="1">
      <alignment horizontal="left" vertical="center"/>
    </xf>
    <xf numFmtId="1" fontId="3" fillId="2" borderId="19" xfId="0" applyNumberFormat="1" applyFont="1" applyFill="1" applyBorder="1" applyAlignment="1">
      <alignment horizontal="center"/>
    </xf>
    <xf numFmtId="1" fontId="3" fillId="2" borderId="0" xfId="0" applyNumberFormat="1" applyFont="1" applyFill="1" applyAlignment="1">
      <alignment horizontal="center"/>
    </xf>
    <xf numFmtId="0" fontId="0" fillId="2" borderId="23" xfId="0" applyFill="1" applyBorder="1" applyAlignment="1">
      <alignment horizontal="right"/>
    </xf>
    <xf numFmtId="0" fontId="0" fillId="0" borderId="0" xfId="0" applyAlignment="1">
      <alignment horizontal="center" vertical="center"/>
    </xf>
    <xf numFmtId="0" fontId="11" fillId="6" borderId="28" xfId="0" applyFont="1" applyFill="1" applyBorder="1" applyAlignment="1">
      <alignment horizontal="left"/>
    </xf>
    <xf numFmtId="0" fontId="0" fillId="6" borderId="0" xfId="0" applyFill="1"/>
    <xf numFmtId="0" fontId="11" fillId="6" borderId="23" xfId="0" applyFont="1" applyFill="1" applyBorder="1" applyAlignment="1">
      <alignment horizontal="left"/>
    </xf>
    <xf numFmtId="2" fontId="0" fillId="0" borderId="0" xfId="0" applyNumberFormat="1" applyAlignment="1">
      <alignment horizontal="center" vertical="center"/>
    </xf>
    <xf numFmtId="0" fontId="24" fillId="0" borderId="0" xfId="0" applyFont="1" applyAlignment="1">
      <alignment horizontal="center" vertical="center" textRotation="90"/>
    </xf>
    <xf numFmtId="0" fontId="24" fillId="0" borderId="0" xfId="0" applyFont="1" applyAlignment="1">
      <alignment horizontal="center" vertical="center" textRotation="90" wrapText="1"/>
    </xf>
    <xf numFmtId="0" fontId="3" fillId="7" borderId="0" xfId="0" applyFont="1" applyFill="1"/>
    <xf numFmtId="0" fontId="3" fillId="8" borderId="0" xfId="0" applyFont="1" applyFill="1"/>
    <xf numFmtId="0" fontId="3" fillId="9" borderId="0" xfId="0" applyFont="1" applyFill="1"/>
    <xf numFmtId="0" fontId="0" fillId="10" borderId="0" xfId="0" applyFill="1"/>
    <xf numFmtId="0" fontId="0" fillId="11" borderId="0" xfId="0" applyFill="1"/>
    <xf numFmtId="0" fontId="0" fillId="12" borderId="0" xfId="0" applyFill="1"/>
    <xf numFmtId="0" fontId="25" fillId="0" borderId="0" xfId="0" quotePrefix="1" applyFont="1" applyAlignment="1">
      <alignment vertical="center"/>
    </xf>
    <xf numFmtId="49" fontId="0" fillId="0" borderId="0" xfId="0" applyNumberFormat="1"/>
    <xf numFmtId="166" fontId="0" fillId="0" borderId="0" xfId="0" applyNumberFormat="1" applyAlignment="1">
      <alignment horizontal="left"/>
    </xf>
    <xf numFmtId="167" fontId="0" fillId="0" borderId="0" xfId="0" applyNumberFormat="1" applyAlignment="1">
      <alignment horizontal="left"/>
    </xf>
    <xf numFmtId="0" fontId="0" fillId="0" borderId="0" xfId="0" applyAlignment="1">
      <alignment horizontal="left" wrapText="1"/>
    </xf>
    <xf numFmtId="0" fontId="4" fillId="3" borderId="0" xfId="0" applyFont="1" applyFill="1" applyAlignment="1">
      <alignment horizontal="left"/>
    </xf>
    <xf numFmtId="0" fontId="0" fillId="0" borderId="0" xfId="0" applyAlignment="1">
      <alignment horizontal="center" wrapText="1"/>
    </xf>
    <xf numFmtId="0" fontId="3" fillId="0" borderId="29" xfId="0" applyFont="1" applyBorder="1" applyAlignment="1">
      <alignment horizontal="center"/>
    </xf>
    <xf numFmtId="0" fontId="3" fillId="0" borderId="1" xfId="0" applyFont="1" applyBorder="1" applyAlignment="1">
      <alignment horizontal="center"/>
    </xf>
    <xf numFmtId="0" fontId="3" fillId="0" borderId="30" xfId="0" applyFont="1" applyBorder="1" applyAlignment="1">
      <alignment horizontal="center"/>
    </xf>
    <xf numFmtId="0" fontId="3" fillId="0" borderId="16"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0" fontId="0" fillId="0" borderId="0" xfId="0" applyAlignment="1">
      <alignment horizont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0" fontId="3" fillId="0" borderId="21" xfId="0" applyFont="1" applyBorder="1" applyAlignment="1">
      <alignment horizontal="center" wrapText="1"/>
    </xf>
    <xf numFmtId="0" fontId="3" fillId="0" borderId="26" xfId="0" applyFont="1" applyBorder="1" applyAlignment="1">
      <alignment horizontal="center" wrapText="1"/>
    </xf>
    <xf numFmtId="0" fontId="3" fillId="0" borderId="22" xfId="0" applyFont="1" applyBorder="1" applyAlignment="1">
      <alignment horizont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1" xfId="0" applyFont="1" applyBorder="1" applyAlignment="1">
      <alignment horizontal="center" vertical="center" wrapText="1"/>
    </xf>
  </cellXfs>
  <cellStyles count="1">
    <cellStyle name="Normal" xfId="0" builtinId="0"/>
  </cellStyles>
  <dxfs count="48">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bgColor rgb="FFFFC7CE"/>
        </patternFill>
      </fill>
    </dxf>
    <dxf>
      <font>
        <color rgb="FFC00000"/>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FFEB9C"/>
      <color rgb="FF9C0006"/>
      <color rgb="FFFFC7CE"/>
      <color rgb="FF9C5700"/>
      <color rgb="FFFF8B8B"/>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89648</xdr:colOff>
      <xdr:row>0</xdr:row>
      <xdr:rowOff>134334</xdr:rowOff>
    </xdr:from>
    <xdr:to>
      <xdr:col>22</xdr:col>
      <xdr:colOff>246532</xdr:colOff>
      <xdr:row>8</xdr:row>
      <xdr:rowOff>8380</xdr:rowOff>
    </xdr:to>
    <xdr:pic>
      <xdr:nvPicPr>
        <xdr:cNvPr id="2" name="Picture 1">
          <a:extLst>
            <a:ext uri="{FF2B5EF4-FFF2-40B4-BE49-F238E27FC236}">
              <a16:creationId xmlns:a16="http://schemas.microsoft.com/office/drawing/2014/main" id="{DC443445-FA97-455D-BB4A-F130E9BEF67C}"/>
            </a:ext>
          </a:extLst>
        </xdr:cNvPr>
        <xdr:cNvPicPr>
          <a:picLocks noChangeAspect="1"/>
        </xdr:cNvPicPr>
      </xdr:nvPicPr>
      <xdr:blipFill>
        <a:blip xmlns:r="http://schemas.openxmlformats.org/officeDocument/2006/relationships" r:embed="rId1"/>
        <a:stretch>
          <a:fillRect/>
        </a:stretch>
      </xdr:blipFill>
      <xdr:spPr>
        <a:xfrm>
          <a:off x="9020736" y="134334"/>
          <a:ext cx="1972236" cy="1394871"/>
        </a:xfrm>
        <a:prstGeom prst="rect">
          <a:avLst/>
        </a:prstGeom>
      </xdr:spPr>
    </xdr:pic>
    <xdr:clientData/>
  </xdr:twoCellAnchor>
  <xdr:twoCellAnchor editAs="oneCell">
    <xdr:from>
      <xdr:col>16</xdr:col>
      <xdr:colOff>452437</xdr:colOff>
      <xdr:row>25</xdr:row>
      <xdr:rowOff>156881</xdr:rowOff>
    </xdr:from>
    <xdr:to>
      <xdr:col>30</xdr:col>
      <xdr:colOff>403147</xdr:colOff>
      <xdr:row>31</xdr:row>
      <xdr:rowOff>35718</xdr:rowOff>
    </xdr:to>
    <xdr:pic>
      <xdr:nvPicPr>
        <xdr:cNvPr id="4" name="Picture 3">
          <a:extLst>
            <a:ext uri="{FF2B5EF4-FFF2-40B4-BE49-F238E27FC236}">
              <a16:creationId xmlns:a16="http://schemas.microsoft.com/office/drawing/2014/main" id="{43CE0F42-6D32-43AB-AF8A-610C587EC2AE}"/>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1392" b="25292"/>
        <a:stretch/>
      </xdr:blipFill>
      <xdr:spPr>
        <a:xfrm>
          <a:off x="7870031" y="4836037"/>
          <a:ext cx="8380335" cy="2510119"/>
        </a:xfrm>
        <a:prstGeom prst="rect">
          <a:avLst/>
        </a:prstGeom>
      </xdr:spPr>
    </xdr:pic>
    <xdr:clientData/>
  </xdr:twoCellAnchor>
  <xdr:twoCellAnchor editAs="oneCell">
    <xdr:from>
      <xdr:col>22</xdr:col>
      <xdr:colOff>320089</xdr:colOff>
      <xdr:row>1</xdr:row>
      <xdr:rowOff>154669</xdr:rowOff>
    </xdr:from>
    <xdr:to>
      <xdr:col>29</xdr:col>
      <xdr:colOff>406585</xdr:colOff>
      <xdr:row>19</xdr:row>
      <xdr:rowOff>161983</xdr:rowOff>
    </xdr:to>
    <xdr:pic>
      <xdr:nvPicPr>
        <xdr:cNvPr id="5" name="Picture 4">
          <a:extLst>
            <a:ext uri="{FF2B5EF4-FFF2-40B4-BE49-F238E27FC236}">
              <a16:creationId xmlns:a16="http://schemas.microsoft.com/office/drawing/2014/main" id="{A16806D6-82CB-43A4-8821-33C9590D4B1E}"/>
            </a:ext>
          </a:extLst>
        </xdr:cNvPr>
        <xdr:cNvPicPr>
          <a:picLocks noChangeAspect="1"/>
        </xdr:cNvPicPr>
      </xdr:nvPicPr>
      <xdr:blipFill>
        <a:blip xmlns:r="http://schemas.openxmlformats.org/officeDocument/2006/relationships" r:embed="rId3"/>
        <a:stretch>
          <a:fillRect/>
        </a:stretch>
      </xdr:blipFill>
      <xdr:spPr>
        <a:xfrm>
          <a:off x="11268236" y="345169"/>
          <a:ext cx="4319145" cy="3466757"/>
        </a:xfrm>
        <a:prstGeom prst="rect">
          <a:avLst/>
        </a:prstGeom>
      </xdr:spPr>
    </xdr:pic>
    <xdr:clientData/>
  </xdr:twoCellAnchor>
  <xdr:twoCellAnchor editAs="oneCell">
    <xdr:from>
      <xdr:col>19</xdr:col>
      <xdr:colOff>71801</xdr:colOff>
      <xdr:row>9</xdr:row>
      <xdr:rowOff>44824</xdr:rowOff>
    </xdr:from>
    <xdr:to>
      <xdr:col>22</xdr:col>
      <xdr:colOff>164914</xdr:colOff>
      <xdr:row>20</xdr:row>
      <xdr:rowOff>45353</xdr:rowOff>
    </xdr:to>
    <xdr:pic>
      <xdr:nvPicPr>
        <xdr:cNvPr id="6" name="Picture 5">
          <a:extLst>
            <a:ext uri="{FF2B5EF4-FFF2-40B4-BE49-F238E27FC236}">
              <a16:creationId xmlns:a16="http://schemas.microsoft.com/office/drawing/2014/main" id="{717757FA-048D-4CB4-AC6C-C90891F628A0}"/>
            </a:ext>
          </a:extLst>
        </xdr:cNvPr>
        <xdr:cNvPicPr>
          <a:picLocks noChangeAspect="1"/>
        </xdr:cNvPicPr>
      </xdr:nvPicPr>
      <xdr:blipFill>
        <a:blip xmlns:r="http://schemas.openxmlformats.org/officeDocument/2006/relationships" r:embed="rId4"/>
        <a:stretch>
          <a:fillRect/>
        </a:stretch>
      </xdr:blipFill>
      <xdr:spPr>
        <a:xfrm>
          <a:off x="9204595" y="1759324"/>
          <a:ext cx="1911640" cy="2132822"/>
        </a:xfrm>
        <a:prstGeom prst="rect">
          <a:avLst/>
        </a:prstGeom>
      </xdr:spPr>
    </xdr:pic>
    <xdr:clientData/>
  </xdr:twoCellAnchor>
  <xdr:twoCellAnchor editAs="oneCell">
    <xdr:from>
      <xdr:col>29</xdr:col>
      <xdr:colOff>464344</xdr:colOff>
      <xdr:row>21</xdr:row>
      <xdr:rowOff>173880</xdr:rowOff>
    </xdr:from>
    <xdr:to>
      <xdr:col>38</xdr:col>
      <xdr:colOff>181871</xdr:colOff>
      <xdr:row>36</xdr:row>
      <xdr:rowOff>50798</xdr:rowOff>
    </xdr:to>
    <xdr:pic>
      <xdr:nvPicPr>
        <xdr:cNvPr id="3" name="Picture 2">
          <a:extLst>
            <a:ext uri="{FF2B5EF4-FFF2-40B4-BE49-F238E27FC236}">
              <a16:creationId xmlns:a16="http://schemas.microsoft.com/office/drawing/2014/main" id="{7920D2D1-9DC3-4C5E-8595-0EECD808F9D0}"/>
            </a:ext>
          </a:extLst>
        </xdr:cNvPr>
        <xdr:cNvPicPr>
          <a:picLocks noChangeAspect="1"/>
        </xdr:cNvPicPr>
      </xdr:nvPicPr>
      <xdr:blipFill>
        <a:blip xmlns:r="http://schemas.openxmlformats.org/officeDocument/2006/relationships" r:embed="rId5"/>
        <a:stretch>
          <a:fillRect/>
        </a:stretch>
      </xdr:blipFill>
      <xdr:spPr>
        <a:xfrm>
          <a:off x="15704344" y="4245818"/>
          <a:ext cx="5185670" cy="4255243"/>
        </a:xfrm>
        <a:prstGeom prst="rect">
          <a:avLst/>
        </a:prstGeom>
      </xdr:spPr>
    </xdr:pic>
    <xdr:clientData/>
  </xdr:twoCellAnchor>
  <xdr:twoCellAnchor editAs="oneCell">
    <xdr:from>
      <xdr:col>29</xdr:col>
      <xdr:colOff>464343</xdr:colOff>
      <xdr:row>0</xdr:row>
      <xdr:rowOff>47626</xdr:rowOff>
    </xdr:from>
    <xdr:to>
      <xdr:col>38</xdr:col>
      <xdr:colOff>202487</xdr:colOff>
      <xdr:row>15</xdr:row>
      <xdr:rowOff>1</xdr:rowOff>
    </xdr:to>
    <xdr:pic>
      <xdr:nvPicPr>
        <xdr:cNvPr id="7" name="Picture 6">
          <a:extLst>
            <a:ext uri="{FF2B5EF4-FFF2-40B4-BE49-F238E27FC236}">
              <a16:creationId xmlns:a16="http://schemas.microsoft.com/office/drawing/2014/main" id="{BA1BCC44-5F1C-43F4-A88F-EBBE2561E667}"/>
            </a:ext>
          </a:extLst>
        </xdr:cNvPr>
        <xdr:cNvPicPr>
          <a:picLocks noChangeAspect="1"/>
        </xdr:cNvPicPr>
      </xdr:nvPicPr>
      <xdr:blipFill>
        <a:blip xmlns:r="http://schemas.openxmlformats.org/officeDocument/2006/relationships" r:embed="rId6"/>
        <a:stretch>
          <a:fillRect/>
        </a:stretch>
      </xdr:blipFill>
      <xdr:spPr>
        <a:xfrm>
          <a:off x="15704343" y="47626"/>
          <a:ext cx="5206287" cy="28455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139098</xdr:colOff>
      <xdr:row>0</xdr:row>
      <xdr:rowOff>0</xdr:rowOff>
    </xdr:from>
    <xdr:to>
      <xdr:col>11</xdr:col>
      <xdr:colOff>1000499</xdr:colOff>
      <xdr:row>4</xdr:row>
      <xdr:rowOff>183606</xdr:rowOff>
    </xdr:to>
    <xdr:pic>
      <xdr:nvPicPr>
        <xdr:cNvPr id="3" name="Picture 2">
          <a:extLst>
            <a:ext uri="{FF2B5EF4-FFF2-40B4-BE49-F238E27FC236}">
              <a16:creationId xmlns:a16="http://schemas.microsoft.com/office/drawing/2014/main" id="{C4ADCF0D-92D5-4D6E-8C23-D1619C9075B0}"/>
            </a:ext>
          </a:extLst>
        </xdr:cNvPr>
        <xdr:cNvPicPr>
          <a:picLocks noChangeAspect="1"/>
        </xdr:cNvPicPr>
      </xdr:nvPicPr>
      <xdr:blipFill>
        <a:blip xmlns:r="http://schemas.openxmlformats.org/officeDocument/2006/relationships" r:embed="rId1"/>
        <a:stretch>
          <a:fillRect/>
        </a:stretch>
      </xdr:blipFill>
      <xdr:spPr>
        <a:xfrm>
          <a:off x="7557392" y="0"/>
          <a:ext cx="2191726" cy="1542693"/>
        </a:xfrm>
        <a:prstGeom prst="rect">
          <a:avLst/>
        </a:prstGeom>
      </xdr:spPr>
    </xdr:pic>
    <xdr:clientData/>
  </xdr:twoCellAnchor>
  <xdr:twoCellAnchor editAs="oneCell">
    <xdr:from>
      <xdr:col>4</xdr:col>
      <xdr:colOff>127000</xdr:colOff>
      <xdr:row>75</xdr:row>
      <xdr:rowOff>52294</xdr:rowOff>
    </xdr:from>
    <xdr:to>
      <xdr:col>7</xdr:col>
      <xdr:colOff>686422</xdr:colOff>
      <xdr:row>84</xdr:row>
      <xdr:rowOff>2399</xdr:rowOff>
    </xdr:to>
    <xdr:pic>
      <xdr:nvPicPr>
        <xdr:cNvPr id="4" name="Picture 3">
          <a:extLst>
            <a:ext uri="{FF2B5EF4-FFF2-40B4-BE49-F238E27FC236}">
              <a16:creationId xmlns:a16="http://schemas.microsoft.com/office/drawing/2014/main" id="{0A3168AC-E637-481F-B263-86E1CBA792B9}"/>
            </a:ext>
          </a:extLst>
        </xdr:cNvPr>
        <xdr:cNvPicPr>
          <a:picLocks noChangeAspect="1"/>
        </xdr:cNvPicPr>
      </xdr:nvPicPr>
      <xdr:blipFill>
        <a:blip xmlns:r="http://schemas.openxmlformats.org/officeDocument/2006/relationships" r:embed="rId2"/>
        <a:stretch>
          <a:fillRect/>
        </a:stretch>
      </xdr:blipFill>
      <xdr:spPr>
        <a:xfrm>
          <a:off x="3436471" y="13910235"/>
          <a:ext cx="3226422" cy="162669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unice Leung" id="{91BAF3B2-05BD-4DE6-BB63-48C7E631EDDB}" userId="S::eunice.leung@som.com::460f5f44-72f7-4208-ad7e-819469e396e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2" dT="2021-04-21T09:58:43.23" personId="{91BAF3B2-05BD-4DE6-BB63-48C7E631EDDB}" id="{5EAE223E-C9EB-4544-8B37-08A9F32A9188}">
    <text>review with luca</text>
  </threadedComment>
  <threadedComment ref="M27" dT="2021-04-20T15:42:12.16" personId="{91BAF3B2-05BD-4DE6-BB63-48C7E631EDDB}" id="{88E42EF2-642D-4F48-90BB-E7C95FDF91AB}">
    <text>not in NDS 2005, only required for tapered members</text>
  </threadedComment>
  <threadedComment ref="M27" dT="2021-04-21T19:44:38.09" personId="{91BAF3B2-05BD-4DE6-BB63-48C7E631EDDB}" id="{5BA4D3FF-B782-454B-A17A-63CBB7B3CDCA}" parentId="{88E42EF2-642D-4F48-90BB-E7C95FDF91AB}">
    <text>shall not apply simulatneosu with volume factor Cv for taper on compression face; shall not apply simultaneously with beam stability factor for taper on tension face</text>
  </threadedComment>
  <threadedComment ref="N27" dT="2021-04-20T15:42:32.49" personId="{91BAF3B2-05BD-4DE6-BB63-48C7E631EDDB}" id="{18858759-A12C-4F86-A473-50C943576EC2}">
    <text>Not in NDS 2005</text>
  </threadedComment>
  <threadedComment ref="D29" dT="2021-04-21T23:31:16.91" personId="{91BAF3B2-05BD-4DE6-BB63-48C7E631EDDB}" id="{6EA91F58-4BD1-432B-A9BE-E16FA5A0DAFA}">
    <text>for members &gt;15 in deep in the x-x axis, mutliply reference bending design value by 0.88</text>
  </threadedComment>
  <threadedComment ref="B34" dT="2021-04-21T15:32:49.58" personId="{91BAF3B2-05BD-4DE6-BB63-48C7E631EDDB}" id="{3166CCE5-6FEF-4828-83CC-97ECDBD8B11E}">
    <text>need Frc as well for radial compression 5.2.9</text>
  </threadedComment>
  <threadedComment ref="B50" dT="2021-04-21T15:32:49.58" personId="{91BAF3B2-05BD-4DE6-BB63-48C7E631EDDB}" id="{03C9EA0D-A1EC-438D-9C8A-FD4ACB3ADDC9}">
    <text>need Frc as well for radial compression 5.2.9</text>
  </threadedComment>
  <threadedComment ref="F115" dT="2021-04-21T19:46:56.56" personId="{91BAF3B2-05BD-4DE6-BB63-48C7E631EDDB}" id="{088B1702-01E1-4C92-8051-CC323D72C8BF}">
    <text>review with luca</text>
  </threadedComment>
</ThreadedComments>
</file>

<file path=xl/threadedComments/threadedComment2.xml><?xml version="1.0" encoding="utf-8"?>
<ThreadedComments xmlns="http://schemas.microsoft.com/office/spreadsheetml/2018/threadedcomments" xmlns:x="http://schemas.openxmlformats.org/spreadsheetml/2006/main">
  <threadedComment ref="E2" dT="2021-05-05T19:05:51.04" personId="{91BAF3B2-05BD-4DE6-BB63-48C7E631EDDB}" id="{2AF94507-5B42-48B6-8269-87FF475479F1}">
    <text>For tension checks, Both max tension and minimum tension required to be considered for the net compressive stress check</text>
  </threadedComment>
  <threadedComment ref="C5" dT="2021-04-29T18:31:22.99" personId="{91BAF3B2-05BD-4DE6-BB63-48C7E631EDDB}" id="{D0304DAA-8F49-4F12-9A5F-8331CA2F040D}">
    <text>Search must be done from shortest duration to longest duration. Updates required for load cases not considered</text>
  </threadedComment>
  <threadedComment ref="J32" dT="2021-04-30T19:21:08.98" personId="{91BAF3B2-05BD-4DE6-BB63-48C7E631EDDB}" id="{AE373605-EDFB-4396-9C12-9B8A005309F1}">
    <text>do we need to do this check again?</text>
  </threadedComment>
  <threadedComment ref="J32" dT="2021-05-03T19:53:26.56" personId="{91BAF3B2-05BD-4DE6-BB63-48C7E631EDDB}" id="{5167A318-F6F8-4C10-A278-13F1EB10CA07}" parentId="{AE373605-EDFB-4396-9C12-9B8A005309F1}">
    <text>technically no, but connection design should take fire char into account</text>
  </threadedComment>
  <threadedComment ref="F42" dT="2021-04-20T20:40:21.78" personId="{91BAF3B2-05BD-4DE6-BB63-48C7E631EDDB}" id="{F0E94580-18AB-49F7-B7CD-A5511A620A94}">
    <text>review with luca</text>
  </threadedComment>
  <threadedComment ref="F42" dT="2021-04-21T11:15:25.23" personId="{91BAF3B2-05BD-4DE6-BB63-48C7E631EDDB}" id="{0D1CA1BC-1DD3-45DF-992D-834CA95B2921}" parentId="{F0E94580-18AB-49F7-B7CD-A5511A620A94}">
    <text>shear check parallel to grain is not axis dependent</text>
  </threadedComment>
  <threadedComment ref="N42" dT="2021-04-20T20:40:21.78" personId="{91BAF3B2-05BD-4DE6-BB63-48C7E631EDDB}" id="{B39B75F6-4682-4E7B-83C4-338AA0131E42}">
    <text>review with luca</text>
  </threadedComment>
  <threadedComment ref="N42" dT="2021-04-21T11:15:25.23" personId="{91BAF3B2-05BD-4DE6-BB63-48C7E631EDDB}" id="{DF439F6D-0AE7-4825-9814-0D7ED3ACC394}" parentId="{B39B75F6-4682-4E7B-83C4-338AA0131E42}">
    <text>shear check parallel to grain is not axis dependent</text>
  </threadedComment>
  <threadedComment ref="N44" dT="2021-04-30T20:30:33.02" personId="{91BAF3B2-05BD-4DE6-BB63-48C7E631EDDB}" id="{DF9B1990-6A49-44A3-B3DE-767D54512A83}">
    <text>No fire adjustment factor, check required?</text>
  </threadedComment>
  <threadedComment ref="F52" dT="2021-04-29T18:47:55.74" personId="{91BAF3B2-05BD-4DE6-BB63-48C7E631EDDB}" id="{81A4E741-1AF8-442B-8511-03580AF84201}">
    <text>If value is negative, indicates member does not experience compressive stress</text>
  </threadedComment>
  <threadedComment ref="N52" dT="2021-04-29T18:47:55.74" personId="{91BAF3B2-05BD-4DE6-BB63-48C7E631EDDB}" id="{9DE8C935-AC7C-414F-8B24-54F17F332754}">
    <text>If value is negative, indicates member does not experience compressive stress</text>
  </threadedComment>
  <threadedComment ref="B70" dT="2021-04-28T22:42:31.10" personId="{91BAF3B2-05BD-4DE6-BB63-48C7E631EDDB}" id="{B71D5135-F202-4AC8-9967-65C7EA218394}">
    <text>note that the result is the same whether subscript 1 is the x axis or the y axis.</text>
  </threadedComment>
  <threadedComment ref="J70" dT="2021-04-28T22:42:31.10" personId="{91BAF3B2-05BD-4DE6-BB63-48C7E631EDDB}" id="{1BEE41FC-4B39-4ED3-9F7D-3B41340BCC04}">
    <text>note that the result is the same whether subscript 1 is the x axis or the y axis.</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4"/>
  <sheetViews>
    <sheetView workbookViewId="0">
      <selection activeCell="E19" sqref="E19"/>
    </sheetView>
  </sheetViews>
  <sheetFormatPr defaultRowHeight="14.5"/>
  <cols>
    <col min="1" max="1" width="9.1796875" style="78"/>
    <col min="2" max="2" width="86.7265625" style="77" customWidth="1"/>
  </cols>
  <sheetData>
    <row r="1" spans="1:2">
      <c r="B1" s="77" t="s">
        <v>175</v>
      </c>
    </row>
    <row r="3" spans="1:2">
      <c r="B3" s="77" t="s">
        <v>229</v>
      </c>
    </row>
    <row r="4" spans="1:2">
      <c r="A4" s="78">
        <v>1</v>
      </c>
      <c r="B4" s="77" t="s">
        <v>346</v>
      </c>
    </row>
    <row r="5" spans="1:2" ht="29">
      <c r="A5" s="78">
        <v>2</v>
      </c>
      <c r="B5" s="77" t="s">
        <v>154</v>
      </c>
    </row>
    <row r="6" spans="1:2" ht="58">
      <c r="A6" s="78">
        <v>3</v>
      </c>
      <c r="B6" s="77" t="s">
        <v>156</v>
      </c>
    </row>
    <row r="7" spans="1:2">
      <c r="A7" s="78">
        <v>4</v>
      </c>
      <c r="B7" s="77" t="s">
        <v>157</v>
      </c>
    </row>
    <row r="8" spans="1:2">
      <c r="A8" s="78">
        <v>5</v>
      </c>
      <c r="B8" s="77" t="s">
        <v>160</v>
      </c>
    </row>
    <row r="9" spans="1:2">
      <c r="A9" s="78">
        <v>6</v>
      </c>
      <c r="B9" s="77" t="s">
        <v>168</v>
      </c>
    </row>
    <row r="10" spans="1:2" ht="29">
      <c r="A10" s="78">
        <v>7</v>
      </c>
      <c r="B10" s="77" t="s">
        <v>231</v>
      </c>
    </row>
    <row r="11" spans="1:2" ht="29">
      <c r="A11" s="78">
        <v>8</v>
      </c>
      <c r="B11" s="77" t="s">
        <v>355</v>
      </c>
    </row>
    <row r="13" spans="1:2">
      <c r="B13" s="77" t="s">
        <v>180</v>
      </c>
    </row>
    <row r="15" spans="1:2">
      <c r="B15" s="77" t="s">
        <v>165</v>
      </c>
    </row>
    <row r="16" spans="1:2">
      <c r="A16" s="78">
        <v>1</v>
      </c>
      <c r="B16" s="77" t="s">
        <v>155</v>
      </c>
    </row>
    <row r="17" spans="1:2">
      <c r="A17" s="78">
        <v>2</v>
      </c>
      <c r="B17" s="77" t="s">
        <v>166</v>
      </c>
    </row>
    <row r="18" spans="1:2">
      <c r="A18" s="78">
        <v>3</v>
      </c>
      <c r="B18" s="77" t="s">
        <v>174</v>
      </c>
    </row>
    <row r="19" spans="1:2">
      <c r="A19" s="78">
        <v>4</v>
      </c>
      <c r="B19" s="77" t="s">
        <v>167</v>
      </c>
    </row>
    <row r="23" spans="1:2">
      <c r="B23" s="77" t="s">
        <v>350</v>
      </c>
    </row>
    <row r="24" spans="1:2">
      <c r="B24" s="77" t="s">
        <v>351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G128"/>
  <sheetViews>
    <sheetView zoomScale="80" zoomScaleNormal="80" workbookViewId="0">
      <selection activeCell="K48" sqref="K48"/>
    </sheetView>
  </sheetViews>
  <sheetFormatPr defaultRowHeight="14.5"/>
  <cols>
    <col min="4" max="4" width="10.1796875" customWidth="1"/>
    <col min="5" max="5" width="4.1796875" style="3" customWidth="1"/>
    <col min="6" max="6" width="10.453125" customWidth="1"/>
    <col min="7" max="9" width="5.7265625" customWidth="1"/>
    <col min="10" max="10" width="7.81640625" customWidth="1"/>
    <col min="11" max="11" width="9" customWidth="1"/>
    <col min="12" max="15" width="5.7265625" customWidth="1"/>
    <col min="16" max="16" width="7.54296875" customWidth="1"/>
    <col min="17" max="17" width="9.54296875" customWidth="1"/>
    <col min="18" max="18" width="7.54296875" customWidth="1"/>
  </cols>
  <sheetData>
    <row r="1" spans="2:19">
      <c r="D1" s="1" t="s">
        <v>356</v>
      </c>
      <c r="F1" s="40" t="s">
        <v>375</v>
      </c>
    </row>
    <row r="2" spans="2:19">
      <c r="B2" s="8" t="s">
        <v>92</v>
      </c>
    </row>
    <row r="3" spans="2:19">
      <c r="D3" s="1" t="s">
        <v>58</v>
      </c>
      <c r="E3" s="3" t="s">
        <v>35</v>
      </c>
      <c r="F3" s="40" t="s">
        <v>370</v>
      </c>
      <c r="G3" s="9"/>
      <c r="H3" s="9"/>
    </row>
    <row r="4" spans="2:19">
      <c r="D4" s="1" t="s">
        <v>93</v>
      </c>
      <c r="E4" s="3" t="s">
        <v>35</v>
      </c>
      <c r="F4" s="114" t="s">
        <v>374</v>
      </c>
      <c r="H4" s="22"/>
    </row>
    <row r="5" spans="2:19">
      <c r="D5" s="1" t="s">
        <v>94</v>
      </c>
      <c r="E5" s="3" t="s">
        <v>35</v>
      </c>
      <c r="F5" s="79"/>
      <c r="G5" s="22"/>
      <c r="H5" s="22"/>
    </row>
    <row r="6" spans="2:19">
      <c r="D6" s="1"/>
      <c r="F6" s="22"/>
      <c r="G6" s="22"/>
      <c r="H6" s="22"/>
    </row>
    <row r="7" spans="2:19">
      <c r="B7" s="8" t="s">
        <v>116</v>
      </c>
      <c r="D7" s="1"/>
      <c r="F7" s="22"/>
      <c r="G7" s="22"/>
      <c r="H7" s="22"/>
    </row>
    <row r="8" spans="2:19">
      <c r="D8" s="1" t="s">
        <v>89</v>
      </c>
      <c r="E8" s="3" t="s">
        <v>35</v>
      </c>
      <c r="F8" s="40">
        <v>8.5</v>
      </c>
      <c r="G8" s="23" t="s">
        <v>64</v>
      </c>
      <c r="H8" s="23" t="s">
        <v>178</v>
      </c>
    </row>
    <row r="9" spans="2:19">
      <c r="D9" s="1" t="s">
        <v>90</v>
      </c>
      <c r="E9" s="3" t="s">
        <v>35</v>
      </c>
      <c r="F9" s="40">
        <v>24</v>
      </c>
      <c r="G9" s="23" t="s">
        <v>64</v>
      </c>
      <c r="H9" s="23" t="s">
        <v>177</v>
      </c>
      <c r="J9" t="str">
        <f>IF($F$9&gt;15,"Note: Multiply Fbx input reference value by 0.88 if axially loaded","")</f>
        <v>Note: Multiply Fbx input reference value by 0.88 if axially loaded</v>
      </c>
    </row>
    <row r="10" spans="2:19">
      <c r="D10" s="1" t="s">
        <v>323</v>
      </c>
      <c r="E10" s="3" t="s">
        <v>35</v>
      </c>
      <c r="F10" s="40">
        <v>40.75</v>
      </c>
      <c r="G10" s="23" t="s">
        <v>63</v>
      </c>
      <c r="H10" s="22"/>
    </row>
    <row r="11" spans="2:19">
      <c r="D11" s="1" t="s">
        <v>98</v>
      </c>
      <c r="E11" s="3" t="s">
        <v>35</v>
      </c>
      <c r="F11" s="40">
        <v>40.75</v>
      </c>
      <c r="G11" s="23" t="s">
        <v>63</v>
      </c>
      <c r="H11" s="23" t="s">
        <v>171</v>
      </c>
      <c r="N11" s="8" t="s">
        <v>352</v>
      </c>
    </row>
    <row r="12" spans="2:19" ht="16.5">
      <c r="D12" s="1" t="s">
        <v>99</v>
      </c>
      <c r="E12" s="3" t="s">
        <v>35</v>
      </c>
      <c r="F12" s="40">
        <v>0.1</v>
      </c>
      <c r="G12" s="23" t="s">
        <v>63</v>
      </c>
      <c r="H12" s="23" t="s">
        <v>171</v>
      </c>
      <c r="P12" s="1" t="s">
        <v>130</v>
      </c>
      <c r="Q12" s="40">
        <v>1</v>
      </c>
    </row>
    <row r="13" spans="2:19">
      <c r="D13" s="1" t="s">
        <v>327</v>
      </c>
      <c r="E13" s="3" t="s">
        <v>35</v>
      </c>
      <c r="F13" s="40">
        <v>40.75</v>
      </c>
      <c r="G13" s="23" t="s">
        <v>63</v>
      </c>
      <c r="H13" s="23"/>
    </row>
    <row r="14" spans="2:19">
      <c r="D14" s="1" t="s">
        <v>364</v>
      </c>
      <c r="E14" s="3" t="s">
        <v>35</v>
      </c>
      <c r="F14" s="40">
        <v>0.1</v>
      </c>
      <c r="G14" s="23" t="s">
        <v>63</v>
      </c>
      <c r="H14" s="23"/>
      <c r="N14" s="8" t="s">
        <v>324</v>
      </c>
    </row>
    <row r="15" spans="2:19">
      <c r="D15" s="1" t="s">
        <v>328</v>
      </c>
      <c r="E15" s="3" t="s">
        <v>35</v>
      </c>
      <c r="F15" s="40">
        <v>40.75</v>
      </c>
      <c r="G15" s="23" t="s">
        <v>63</v>
      </c>
      <c r="H15" t="s">
        <v>329</v>
      </c>
      <c r="J15" t="s">
        <v>330</v>
      </c>
      <c r="P15" s="62" t="s">
        <v>233</v>
      </c>
      <c r="Q15">
        <v>1.5</v>
      </c>
      <c r="R15" t="s">
        <v>234</v>
      </c>
      <c r="S15" t="s">
        <v>371</v>
      </c>
    </row>
    <row r="16" spans="2:19">
      <c r="D16" s="1" t="s">
        <v>325</v>
      </c>
      <c r="E16" s="3" t="s">
        <v>35</v>
      </c>
      <c r="F16" s="20">
        <f>I16*$F14+K16*$F$9/12</f>
        <v>6.1630000000000003</v>
      </c>
      <c r="G16" t="s">
        <v>63</v>
      </c>
      <c r="H16" s="70" t="s">
        <v>35</v>
      </c>
      <c r="I16" s="48">
        <v>1.63</v>
      </c>
      <c r="J16" t="s">
        <v>331</v>
      </c>
      <c r="K16" s="48">
        <v>3</v>
      </c>
      <c r="P16" s="1" t="s">
        <v>313</v>
      </c>
      <c r="Q16" s="40">
        <v>1</v>
      </c>
      <c r="R16" t="s">
        <v>235</v>
      </c>
    </row>
    <row r="17" spans="2:33">
      <c r="D17" s="1" t="s">
        <v>326</v>
      </c>
      <c r="E17" s="3" t="s">
        <v>35</v>
      </c>
      <c r="F17" s="20">
        <f>I17*$F15+K17*$F$9/12</f>
        <v>72.422499999999999</v>
      </c>
      <c r="G17" t="s">
        <v>63</v>
      </c>
      <c r="H17" t="s">
        <v>35</v>
      </c>
      <c r="I17" s="48">
        <v>1.63</v>
      </c>
      <c r="J17" t="s">
        <v>332</v>
      </c>
      <c r="K17" s="48">
        <v>3</v>
      </c>
      <c r="P17" s="52" t="s">
        <v>232</v>
      </c>
      <c r="Q17" s="27">
        <f>1.2*$Q$15/($Q$16^0.187)</f>
        <v>1.7999999999999998</v>
      </c>
      <c r="R17" t="s">
        <v>234</v>
      </c>
      <c r="S17" t="s">
        <v>372</v>
      </c>
    </row>
    <row r="18" spans="2:33">
      <c r="D18" s="1" t="s">
        <v>179</v>
      </c>
      <c r="E18" s="3" t="s">
        <v>35</v>
      </c>
      <c r="F18" s="20">
        <v>0</v>
      </c>
      <c r="G18" s="23" t="s">
        <v>64</v>
      </c>
      <c r="H18" s="23"/>
      <c r="P18" s="113" t="s">
        <v>312</v>
      </c>
      <c r="Q18" s="40">
        <v>1.8</v>
      </c>
      <c r="R18" t="s">
        <v>64</v>
      </c>
      <c r="S18" t="s">
        <v>373</v>
      </c>
    </row>
    <row r="19" spans="2:33">
      <c r="D19" s="1" t="s">
        <v>173</v>
      </c>
      <c r="E19" s="3" t="s">
        <v>35</v>
      </c>
      <c r="F19" s="40">
        <v>8</v>
      </c>
      <c r="G19" s="23" t="s">
        <v>64</v>
      </c>
      <c r="H19" s="23"/>
      <c r="P19" s="1" t="s">
        <v>236</v>
      </c>
      <c r="Q19" s="40">
        <v>2</v>
      </c>
      <c r="R19" t="s">
        <v>238</v>
      </c>
    </row>
    <row r="20" spans="2:33">
      <c r="D20" s="1" t="s">
        <v>86</v>
      </c>
      <c r="E20" s="3" t="s">
        <v>35</v>
      </c>
      <c r="F20" s="48" t="s">
        <v>309</v>
      </c>
      <c r="G20" s="9"/>
      <c r="H20" s="23" t="s">
        <v>308</v>
      </c>
      <c r="P20" s="1" t="s">
        <v>237</v>
      </c>
      <c r="Q20" s="40">
        <v>2</v>
      </c>
      <c r="R20" t="s">
        <v>238</v>
      </c>
    </row>
    <row r="21" spans="2:33" ht="16.5">
      <c r="D21" s="1" t="s">
        <v>87</v>
      </c>
      <c r="E21" s="3" t="s">
        <v>35</v>
      </c>
      <c r="F21" s="40">
        <f>F9/F22</f>
        <v>16</v>
      </c>
      <c r="G21" s="9"/>
      <c r="H21" s="9"/>
      <c r="P21" s="1" t="s">
        <v>252</v>
      </c>
      <c r="Q21" s="27">
        <f>'Design Values'!F8-Q18*Q19</f>
        <v>4.9000000000000004</v>
      </c>
      <c r="R21" t="s">
        <v>64</v>
      </c>
    </row>
    <row r="22" spans="2:33" ht="16.5">
      <c r="D22" s="1" t="s">
        <v>96</v>
      </c>
      <c r="E22" s="3" t="s">
        <v>35</v>
      </c>
      <c r="F22" s="40">
        <v>1.5</v>
      </c>
      <c r="G22" s="20" t="s">
        <v>64</v>
      </c>
      <c r="H22" s="72" t="str">
        <f>IF(F22*F21=F9,"","Laminations x Thickness does not match beam depth")</f>
        <v/>
      </c>
      <c r="P22" s="1" t="s">
        <v>253</v>
      </c>
      <c r="Q22" s="27">
        <f>'Design Values'!F9-Q18*Q20</f>
        <v>20.399999999999999</v>
      </c>
      <c r="R22" t="s">
        <v>64</v>
      </c>
    </row>
    <row r="23" spans="2:33">
      <c r="D23" s="1"/>
      <c r="F23" s="22"/>
      <c r="G23" s="20"/>
      <c r="H23" s="9"/>
    </row>
    <row r="24" spans="2:33">
      <c r="D24" s="1"/>
      <c r="F24" s="22"/>
      <c r="G24" s="20"/>
      <c r="H24" s="9"/>
    </row>
    <row r="25" spans="2:33">
      <c r="B25" s="8" t="s">
        <v>113</v>
      </c>
      <c r="C25" s="8"/>
      <c r="D25" s="29"/>
      <c r="E25" s="30"/>
      <c r="F25" s="31"/>
      <c r="G25" s="20"/>
      <c r="H25" s="9"/>
    </row>
    <row r="26" spans="2:33" ht="15" thickBot="1">
      <c r="B26" s="6"/>
      <c r="C26" s="6"/>
      <c r="D26" s="6"/>
      <c r="E26" s="5"/>
      <c r="F26" s="6"/>
      <c r="G26" s="6"/>
      <c r="H26" s="6"/>
      <c r="I26" s="6"/>
      <c r="J26" s="6"/>
      <c r="K26" s="6"/>
      <c r="L26" s="6"/>
      <c r="M26" s="6"/>
      <c r="N26" s="6"/>
      <c r="O26" s="6"/>
      <c r="P26" s="6"/>
      <c r="Q26" s="6"/>
    </row>
    <row r="27" spans="2:33" ht="129.75" customHeight="1">
      <c r="B27" s="35"/>
      <c r="C27" s="35"/>
      <c r="D27" s="7"/>
      <c r="E27" s="15"/>
      <c r="F27" s="36" t="s">
        <v>19</v>
      </c>
      <c r="G27" s="37" t="s">
        <v>20</v>
      </c>
      <c r="H27" s="37" t="s">
        <v>21</v>
      </c>
      <c r="I27" s="37" t="s">
        <v>22</v>
      </c>
      <c r="J27" s="37" t="s">
        <v>23</v>
      </c>
      <c r="K27" s="37" t="s">
        <v>24</v>
      </c>
      <c r="L27" s="37" t="s">
        <v>25</v>
      </c>
      <c r="M27" s="37" t="s">
        <v>26</v>
      </c>
      <c r="N27" s="37" t="s">
        <v>27</v>
      </c>
      <c r="O27" s="37" t="s">
        <v>28</v>
      </c>
      <c r="P27" s="34" t="s">
        <v>29</v>
      </c>
      <c r="Q27" s="38"/>
      <c r="AG27" s="76" t="s">
        <v>365</v>
      </c>
    </row>
    <row r="28" spans="2:33" ht="17.25" customHeight="1" thickBot="1">
      <c r="B28" s="6"/>
      <c r="C28" s="6"/>
      <c r="D28" s="5" t="s">
        <v>31</v>
      </c>
      <c r="E28" s="17"/>
      <c r="F28" s="5" t="s">
        <v>36</v>
      </c>
      <c r="G28" s="5" t="s">
        <v>46</v>
      </c>
      <c r="H28" s="5" t="s">
        <v>47</v>
      </c>
      <c r="I28" s="5" t="s">
        <v>56</v>
      </c>
      <c r="J28" s="5" t="s">
        <v>65</v>
      </c>
      <c r="K28" s="5" t="s">
        <v>67</v>
      </c>
      <c r="L28" s="5" t="s">
        <v>79</v>
      </c>
      <c r="M28" s="5" t="s">
        <v>76</v>
      </c>
      <c r="N28" s="5" t="s">
        <v>83</v>
      </c>
      <c r="O28" s="5" t="s">
        <v>145</v>
      </c>
      <c r="P28" s="17" t="s">
        <v>112</v>
      </c>
      <c r="Q28" s="39" t="s">
        <v>31</v>
      </c>
    </row>
    <row r="29" spans="2:33">
      <c r="B29" s="1" t="s">
        <v>360</v>
      </c>
      <c r="C29" s="3" t="s">
        <v>361</v>
      </c>
      <c r="D29" s="41">
        <v>1750</v>
      </c>
      <c r="E29" s="16" t="s">
        <v>30</v>
      </c>
      <c r="F29" s="10">
        <f>'Member Checks'!$D$5</f>
        <v>0.9</v>
      </c>
      <c r="G29" s="13">
        <f>$F$70</f>
        <v>1</v>
      </c>
      <c r="H29" s="10">
        <f>$F$80</f>
        <v>0.8</v>
      </c>
      <c r="I29" s="13">
        <f>$F$91</f>
        <v>0.99836081429977952</v>
      </c>
      <c r="J29" s="13">
        <f>$F$99</f>
        <v>0.91110164655285553</v>
      </c>
      <c r="K29" s="13" t="s">
        <v>32</v>
      </c>
      <c r="L29" s="13">
        <f>$F$109</f>
        <v>1</v>
      </c>
      <c r="M29" s="10">
        <f>$F$112</f>
        <v>1</v>
      </c>
      <c r="N29" s="10" t="s">
        <v>32</v>
      </c>
      <c r="O29" s="10" t="s">
        <v>32</v>
      </c>
      <c r="P29" s="18" t="s">
        <v>32</v>
      </c>
      <c r="Q29" s="115">
        <f>$D29*$F29*$G29*$H29*MIN($I29,$J29)*$M29*$L29</f>
        <v>1147.988074656598</v>
      </c>
    </row>
    <row r="30" spans="2:33">
      <c r="B30" s="1" t="s">
        <v>12</v>
      </c>
      <c r="C30" s="3" t="s">
        <v>14</v>
      </c>
      <c r="D30" s="41">
        <v>1450</v>
      </c>
      <c r="E30" s="16" t="s">
        <v>30</v>
      </c>
      <c r="F30" s="46">
        <f>'Member Checks'!$D$5</f>
        <v>0.9</v>
      </c>
      <c r="G30" s="13">
        <f>$F$70</f>
        <v>1</v>
      </c>
      <c r="H30" s="10">
        <f>$F$80</f>
        <v>0.8</v>
      </c>
      <c r="I30" s="10">
        <f>$F$92</f>
        <v>0.99930262051471175</v>
      </c>
      <c r="J30" s="10" t="s">
        <v>32</v>
      </c>
      <c r="K30" s="13">
        <f>$F$103</f>
        <v>1.0390591181540647</v>
      </c>
      <c r="L30" s="10" t="s">
        <v>32</v>
      </c>
      <c r="M30" s="10">
        <f>$F$112</f>
        <v>1</v>
      </c>
      <c r="N30" s="10" t="s">
        <v>32</v>
      </c>
      <c r="O30" s="10" t="s">
        <v>32</v>
      </c>
      <c r="P30" s="18" t="s">
        <v>32</v>
      </c>
      <c r="Q30" s="116">
        <f>$D30*$F30*$G30*$H30*MIN($I30,$J30)*$M30*$K30</f>
        <v>1084.0212176252689</v>
      </c>
    </row>
    <row r="31" spans="2:33">
      <c r="B31" s="1" t="s">
        <v>0</v>
      </c>
      <c r="C31" s="3" t="s">
        <v>6</v>
      </c>
      <c r="D31" s="41">
        <v>1100</v>
      </c>
      <c r="E31" s="16" t="s">
        <v>30</v>
      </c>
      <c r="F31" s="10">
        <f>'Member Checks'!$D$5</f>
        <v>0.9</v>
      </c>
      <c r="G31" s="13">
        <f>$F$71</f>
        <v>1</v>
      </c>
      <c r="H31" s="10">
        <f>$F$79</f>
        <v>0.9</v>
      </c>
      <c r="I31" s="10" t="s">
        <v>32</v>
      </c>
      <c r="J31" s="10" t="s">
        <v>32</v>
      </c>
      <c r="K31" s="10" t="s">
        <v>32</v>
      </c>
      <c r="L31" s="10" t="s">
        <v>32</v>
      </c>
      <c r="M31" s="10" t="s">
        <v>32</v>
      </c>
      <c r="N31" s="10" t="s">
        <v>32</v>
      </c>
      <c r="O31" s="10" t="s">
        <v>32</v>
      </c>
      <c r="P31" s="18" t="s">
        <v>32</v>
      </c>
      <c r="Q31" s="28">
        <f>$D31*$F31*$G31*$H31</f>
        <v>891</v>
      </c>
    </row>
    <row r="32" spans="2:33">
      <c r="B32" s="1" t="s">
        <v>15</v>
      </c>
      <c r="C32" s="3" t="s">
        <v>16</v>
      </c>
      <c r="D32" s="41">
        <v>260</v>
      </c>
      <c r="E32" s="16" t="s">
        <v>30</v>
      </c>
      <c r="F32" s="10">
        <f>'Member Checks'!$D$5</f>
        <v>0.9</v>
      </c>
      <c r="G32" s="13">
        <f>$F$72</f>
        <v>1</v>
      </c>
      <c r="H32" s="10">
        <f>$F$80</f>
        <v>0.8</v>
      </c>
      <c r="I32" s="10" t="s">
        <v>32</v>
      </c>
      <c r="J32" s="10" t="s">
        <v>32</v>
      </c>
      <c r="K32" s="10" t="s">
        <v>32</v>
      </c>
      <c r="L32" s="10" t="s">
        <v>32</v>
      </c>
      <c r="M32" s="10" t="s">
        <v>32</v>
      </c>
      <c r="N32" s="10">
        <f>$F$115</f>
        <v>1</v>
      </c>
      <c r="O32" s="10" t="s">
        <v>32</v>
      </c>
      <c r="P32" s="18" t="s">
        <v>32</v>
      </c>
      <c r="Q32" s="28">
        <f>$D32*$F32*$G32*$H32*$N32</f>
        <v>187.20000000000002</v>
      </c>
    </row>
    <row r="33" spans="2:26">
      <c r="B33" s="1" t="s">
        <v>17</v>
      </c>
      <c r="C33" s="3" t="s">
        <v>18</v>
      </c>
      <c r="D33" s="41">
        <v>300</v>
      </c>
      <c r="E33" s="16" t="s">
        <v>30</v>
      </c>
      <c r="F33" s="10">
        <f>'Member Checks'!$D$5</f>
        <v>0.9</v>
      </c>
      <c r="G33" s="13">
        <f>$F$72</f>
        <v>1</v>
      </c>
      <c r="H33" s="10">
        <f>$F$80</f>
        <v>0.8</v>
      </c>
      <c r="I33" s="10" t="s">
        <v>32</v>
      </c>
      <c r="J33" s="10" t="s">
        <v>32</v>
      </c>
      <c r="K33" s="10" t="s">
        <v>32</v>
      </c>
      <c r="L33" s="10" t="s">
        <v>32</v>
      </c>
      <c r="M33" s="10" t="s">
        <v>32</v>
      </c>
      <c r="N33" s="10">
        <f>$F$115</f>
        <v>1</v>
      </c>
      <c r="O33" s="10" t="s">
        <v>32</v>
      </c>
      <c r="P33" s="18" t="s">
        <v>32</v>
      </c>
      <c r="Q33" s="28">
        <f>$D33*$F33*$G33*$H33*$N33</f>
        <v>216</v>
      </c>
    </row>
    <row r="34" spans="2:26" ht="15" customHeight="1">
      <c r="B34" s="1" t="s">
        <v>1</v>
      </c>
      <c r="C34" s="3" t="s">
        <v>7</v>
      </c>
      <c r="D34" s="3">
        <f>IF($F$3="Southern Pine", 1/3*D33*N33, IF('Member Checks'!C35="Ten minutes",  1/3*D33*N33, 15))</f>
        <v>100</v>
      </c>
      <c r="E34" s="16" t="s">
        <v>30</v>
      </c>
      <c r="F34" s="10">
        <f>'Member Checks'!$D$5</f>
        <v>0.9</v>
      </c>
      <c r="G34" s="13">
        <f>$F$71</f>
        <v>1</v>
      </c>
      <c r="H34" s="10">
        <f>$F$79</f>
        <v>0.9</v>
      </c>
      <c r="I34" s="10" t="s">
        <v>32</v>
      </c>
      <c r="J34" s="10" t="s">
        <v>32</v>
      </c>
      <c r="K34" s="10" t="s">
        <v>32</v>
      </c>
      <c r="L34" s="10" t="s">
        <v>32</v>
      </c>
      <c r="M34" s="10" t="s">
        <v>32</v>
      </c>
      <c r="N34" s="10" t="s">
        <v>32</v>
      </c>
      <c r="O34" s="10" t="s">
        <v>32</v>
      </c>
      <c r="P34" s="18" t="s">
        <v>32</v>
      </c>
      <c r="Q34" s="28">
        <f>$D34*$F34*$G34*$H34</f>
        <v>81</v>
      </c>
      <c r="T34" s="137" t="s">
        <v>163</v>
      </c>
      <c r="U34" s="137"/>
      <c r="V34" s="137"/>
      <c r="X34" s="137" t="s">
        <v>164</v>
      </c>
      <c r="Y34" s="137"/>
      <c r="Z34" s="137"/>
    </row>
    <row r="35" spans="2:26">
      <c r="B35" s="1" t="s">
        <v>2</v>
      </c>
      <c r="C35" s="3" t="s">
        <v>8</v>
      </c>
      <c r="D35" s="41">
        <v>1500</v>
      </c>
      <c r="E35" s="16" t="s">
        <v>30</v>
      </c>
      <c r="F35" s="10">
        <f>'Member Checks'!$D$5</f>
        <v>0.9</v>
      </c>
      <c r="G35" s="13">
        <f>$F$74</f>
        <v>1</v>
      </c>
      <c r="H35" s="10">
        <f>$F$80</f>
        <v>0.8</v>
      </c>
      <c r="I35" s="10" t="s">
        <v>32</v>
      </c>
      <c r="J35" s="10" t="s">
        <v>32</v>
      </c>
      <c r="K35" s="10" t="s">
        <v>32</v>
      </c>
      <c r="L35" s="10" t="s">
        <v>32</v>
      </c>
      <c r="M35" s="10" t="s">
        <v>32</v>
      </c>
      <c r="N35" s="10" t="s">
        <v>32</v>
      </c>
      <c r="O35" s="13">
        <f>$F$125</f>
        <v>0.87466207179850508</v>
      </c>
      <c r="P35" s="18" t="s">
        <v>32</v>
      </c>
      <c r="Q35" s="28">
        <f>$D35*$F35*$G35*$H35*$O35</f>
        <v>944.63503754238548</v>
      </c>
      <c r="T35" s="137"/>
      <c r="U35" s="137"/>
      <c r="V35" s="137"/>
      <c r="X35" s="137"/>
      <c r="Y35" s="137"/>
      <c r="Z35" s="137"/>
    </row>
    <row r="36" spans="2:26">
      <c r="B36" s="1" t="s">
        <v>3</v>
      </c>
      <c r="C36" s="3" t="s">
        <v>10</v>
      </c>
      <c r="D36" s="41">
        <v>650</v>
      </c>
      <c r="E36" s="16" t="s">
        <v>30</v>
      </c>
      <c r="F36" s="10" t="s">
        <v>32</v>
      </c>
      <c r="G36" s="13">
        <f>$F$73</f>
        <v>1</v>
      </c>
      <c r="H36" s="10">
        <f>$F$80</f>
        <v>0.8</v>
      </c>
      <c r="I36" s="10" t="s">
        <v>32</v>
      </c>
      <c r="J36" s="10" t="s">
        <v>32</v>
      </c>
      <c r="K36" s="10" t="s">
        <v>32</v>
      </c>
      <c r="L36" s="10" t="s">
        <v>32</v>
      </c>
      <c r="M36" s="10" t="s">
        <v>32</v>
      </c>
      <c r="N36" s="10" t="s">
        <v>32</v>
      </c>
      <c r="O36" s="10" t="s">
        <v>32</v>
      </c>
      <c r="P36" s="18">
        <f>$F$128</f>
        <v>1.046875</v>
      </c>
      <c r="Q36" s="28">
        <f>$D36*$G36*$H36*$P36</f>
        <v>544.375</v>
      </c>
    </row>
    <row r="37" spans="2:26">
      <c r="B37" s="1" t="s">
        <v>4</v>
      </c>
      <c r="C37" s="3" t="s">
        <v>9</v>
      </c>
      <c r="D37" s="42">
        <v>1700000</v>
      </c>
      <c r="E37" s="16" t="s">
        <v>30</v>
      </c>
      <c r="F37" s="10" t="s">
        <v>32</v>
      </c>
      <c r="G37" s="13">
        <f>$F$75</f>
        <v>1</v>
      </c>
      <c r="H37" s="10">
        <f>$F$79</f>
        <v>0.9</v>
      </c>
      <c r="I37" s="10" t="s">
        <v>32</v>
      </c>
      <c r="J37" s="10" t="s">
        <v>32</v>
      </c>
      <c r="K37" s="10" t="s">
        <v>32</v>
      </c>
      <c r="L37" s="10" t="s">
        <v>32</v>
      </c>
      <c r="M37" s="10" t="s">
        <v>32</v>
      </c>
      <c r="N37" s="10" t="s">
        <v>32</v>
      </c>
      <c r="O37" s="10" t="s">
        <v>32</v>
      </c>
      <c r="P37" s="18" t="s">
        <v>32</v>
      </c>
      <c r="Q37" s="74">
        <f>$D37*$G37*$H37</f>
        <v>1530000</v>
      </c>
    </row>
    <row r="38" spans="2:26" ht="15" thickBot="1">
      <c r="B38" s="4" t="s">
        <v>5</v>
      </c>
      <c r="C38" s="5" t="s">
        <v>11</v>
      </c>
      <c r="D38" s="43">
        <v>900000</v>
      </c>
      <c r="E38" s="17" t="s">
        <v>30</v>
      </c>
      <c r="F38" s="11" t="s">
        <v>32</v>
      </c>
      <c r="G38" s="14">
        <f>$F$75</f>
        <v>1</v>
      </c>
      <c r="H38" s="11">
        <f>$F$79</f>
        <v>0.9</v>
      </c>
      <c r="I38" s="11" t="s">
        <v>32</v>
      </c>
      <c r="J38" s="11" t="s">
        <v>32</v>
      </c>
      <c r="K38" s="11" t="s">
        <v>32</v>
      </c>
      <c r="L38" s="11" t="s">
        <v>32</v>
      </c>
      <c r="M38" s="11" t="s">
        <v>32</v>
      </c>
      <c r="N38" s="11" t="s">
        <v>32</v>
      </c>
      <c r="O38" s="11" t="s">
        <v>32</v>
      </c>
      <c r="P38" s="19" t="s">
        <v>32</v>
      </c>
      <c r="Q38" s="75">
        <f>$D38*$G38*$H38</f>
        <v>810000</v>
      </c>
    </row>
    <row r="39" spans="2:26">
      <c r="B39" s="35"/>
      <c r="C39" s="35"/>
      <c r="D39" s="35"/>
      <c r="E39" s="7"/>
      <c r="F39" s="35"/>
      <c r="G39" s="35"/>
      <c r="H39" s="35"/>
      <c r="I39" s="35"/>
      <c r="J39" s="35"/>
      <c r="K39" s="35"/>
      <c r="L39" s="35"/>
      <c r="M39" s="35"/>
      <c r="N39" s="35"/>
      <c r="O39" s="35"/>
      <c r="P39" s="35"/>
      <c r="Q39" s="35"/>
    </row>
    <row r="40" spans="2:26" ht="15" thickBot="1">
      <c r="B40" s="8" t="s">
        <v>239</v>
      </c>
    </row>
    <row r="41" spans="2:26" ht="116.25" customHeight="1">
      <c r="B41" s="35"/>
      <c r="C41" s="35"/>
      <c r="D41" s="7"/>
      <c r="E41" s="15"/>
      <c r="F41" s="50" t="s">
        <v>240</v>
      </c>
      <c r="G41" s="37" t="s">
        <v>245</v>
      </c>
      <c r="H41" s="37" t="s">
        <v>246</v>
      </c>
      <c r="I41" s="37" t="s">
        <v>247</v>
      </c>
      <c r="J41" s="37" t="s">
        <v>248</v>
      </c>
      <c r="K41" s="38"/>
    </row>
    <row r="42" spans="2:26" ht="17" thickBot="1">
      <c r="B42" s="6"/>
      <c r="C42" s="6"/>
      <c r="D42" s="5" t="s">
        <v>31</v>
      </c>
      <c r="E42" s="17"/>
      <c r="F42" s="5"/>
      <c r="G42" s="5" t="s">
        <v>65</v>
      </c>
      <c r="H42" s="5" t="s">
        <v>67</v>
      </c>
      <c r="I42" s="5" t="s">
        <v>56</v>
      </c>
      <c r="J42" s="5" t="s">
        <v>145</v>
      </c>
      <c r="K42" s="39" t="s">
        <v>31</v>
      </c>
    </row>
    <row r="43" spans="2:26">
      <c r="B43" s="1" t="s">
        <v>260</v>
      </c>
      <c r="C43" s="3" t="s">
        <v>13</v>
      </c>
      <c r="D43" s="3">
        <f>$D$29</f>
        <v>1750</v>
      </c>
      <c r="E43" s="16" t="s">
        <v>30</v>
      </c>
      <c r="F43" s="10">
        <v>2.85</v>
      </c>
      <c r="G43" s="13">
        <f>$F$99</f>
        <v>0.91110164655285553</v>
      </c>
      <c r="H43" s="13" t="s">
        <v>32</v>
      </c>
      <c r="I43" s="13">
        <f>$P$91</f>
        <v>0.97750655522750263</v>
      </c>
      <c r="J43" s="10" t="s">
        <v>32</v>
      </c>
      <c r="K43" s="47">
        <f>$D43*$F43*MIN($G43, $I43)</f>
        <v>4544.119462182367</v>
      </c>
    </row>
    <row r="44" spans="2:26">
      <c r="B44" s="1" t="s">
        <v>261</v>
      </c>
      <c r="C44" s="3" t="s">
        <v>14</v>
      </c>
      <c r="D44" s="3">
        <f>$D$30</f>
        <v>1450</v>
      </c>
      <c r="E44" s="16" t="s">
        <v>30</v>
      </c>
      <c r="F44" s="46">
        <v>2.85</v>
      </c>
      <c r="G44" s="10" t="s">
        <v>32</v>
      </c>
      <c r="H44" s="13">
        <f>$F$103</f>
        <v>1.0390591181540647</v>
      </c>
      <c r="I44" s="13">
        <f>$P$92</f>
        <v>0.99773634010879775</v>
      </c>
      <c r="J44" s="18" t="s">
        <v>32</v>
      </c>
      <c r="K44" s="28">
        <f>$D44*$F44*$H44*$I44</f>
        <v>4284.1918498405876</v>
      </c>
    </row>
    <row r="45" spans="2:26">
      <c r="B45" s="1" t="s">
        <v>262</v>
      </c>
      <c r="C45" s="3" t="s">
        <v>244</v>
      </c>
      <c r="D45" s="3">
        <f>1.2*Eminp/'Member Checks'!$K$63^2</f>
        <v>15468.736577869837</v>
      </c>
      <c r="E45" s="16" t="s">
        <v>30</v>
      </c>
      <c r="F45" s="10">
        <v>2.0299999999999998</v>
      </c>
      <c r="G45" s="10" t="s">
        <v>32</v>
      </c>
      <c r="H45" s="10" t="s">
        <v>32</v>
      </c>
      <c r="I45" s="10"/>
      <c r="J45" s="51"/>
      <c r="K45" s="28">
        <f t="shared" ref="K45:K50" si="0">$D45*$F45</f>
        <v>31401.535253075766</v>
      </c>
    </row>
    <row r="46" spans="2:26">
      <c r="B46" s="1" t="s">
        <v>263</v>
      </c>
      <c r="C46" s="3" t="s">
        <v>243</v>
      </c>
      <c r="D46" s="3">
        <f>1.2*Eminp/'Member Checks'!$O$63^2</f>
        <v>94989.534907476744</v>
      </c>
      <c r="E46" s="16" t="s">
        <v>30</v>
      </c>
      <c r="F46" s="10">
        <v>2.0299999999999998</v>
      </c>
      <c r="G46" s="10" t="s">
        <v>32</v>
      </c>
      <c r="H46" s="10" t="s">
        <v>32</v>
      </c>
      <c r="I46" s="10"/>
      <c r="J46" s="18"/>
      <c r="K46" s="28">
        <f t="shared" si="0"/>
        <v>192828.75586217776</v>
      </c>
    </row>
    <row r="47" spans="2:26">
      <c r="B47" s="1" t="s">
        <v>264</v>
      </c>
      <c r="C47" s="3" t="s">
        <v>6</v>
      </c>
      <c r="D47" s="3">
        <f>$D$31</f>
        <v>1100</v>
      </c>
      <c r="E47" s="16" t="s">
        <v>30</v>
      </c>
      <c r="F47" s="10">
        <v>2.85</v>
      </c>
      <c r="G47" s="10" t="s">
        <v>32</v>
      </c>
      <c r="H47" s="10" t="s">
        <v>32</v>
      </c>
      <c r="I47" s="10" t="s">
        <v>32</v>
      </c>
      <c r="J47" s="18" t="s">
        <v>32</v>
      </c>
      <c r="K47" s="28">
        <f t="shared" si="0"/>
        <v>3135</v>
      </c>
    </row>
    <row r="48" spans="2:26">
      <c r="B48" s="1" t="s">
        <v>357</v>
      </c>
      <c r="C48" s="3" t="s">
        <v>16</v>
      </c>
      <c r="D48" s="3">
        <f>$D$32</f>
        <v>260</v>
      </c>
      <c r="E48" s="16" t="s">
        <v>30</v>
      </c>
      <c r="F48" s="10">
        <v>2.75</v>
      </c>
      <c r="G48" s="10" t="s">
        <v>32</v>
      </c>
      <c r="H48" s="10" t="s">
        <v>32</v>
      </c>
      <c r="I48" s="10" t="s">
        <v>32</v>
      </c>
      <c r="J48" s="18" t="s">
        <v>32</v>
      </c>
      <c r="K48" s="28">
        <f t="shared" si="0"/>
        <v>715</v>
      </c>
    </row>
    <row r="49" spans="2:18">
      <c r="B49" s="1" t="s">
        <v>358</v>
      </c>
      <c r="C49" s="3" t="s">
        <v>18</v>
      </c>
      <c r="D49" s="3">
        <f>$D$33</f>
        <v>300</v>
      </c>
      <c r="E49" s="16" t="s">
        <v>30</v>
      </c>
      <c r="F49" s="10">
        <v>2.75</v>
      </c>
      <c r="G49" s="10" t="s">
        <v>32</v>
      </c>
      <c r="H49" s="10" t="s">
        <v>32</v>
      </c>
      <c r="I49" s="10" t="s">
        <v>32</v>
      </c>
      <c r="J49" s="18" t="s">
        <v>32</v>
      </c>
      <c r="K49" s="28">
        <f t="shared" si="0"/>
        <v>825</v>
      </c>
    </row>
    <row r="50" spans="2:18">
      <c r="B50" s="1" t="s">
        <v>265</v>
      </c>
      <c r="C50" s="3" t="s">
        <v>7</v>
      </c>
      <c r="D50" s="3">
        <f>$D$34</f>
        <v>100</v>
      </c>
      <c r="E50" s="16" t="s">
        <v>30</v>
      </c>
      <c r="F50" s="10">
        <v>2.85</v>
      </c>
      <c r="G50" s="10" t="s">
        <v>32</v>
      </c>
      <c r="H50" s="10" t="s">
        <v>32</v>
      </c>
      <c r="I50" s="10" t="s">
        <v>32</v>
      </c>
      <c r="J50" s="18" t="s">
        <v>32</v>
      </c>
      <c r="K50" s="28">
        <f t="shared" si="0"/>
        <v>285</v>
      </c>
    </row>
    <row r="51" spans="2:18">
      <c r="B51" s="1" t="s">
        <v>266</v>
      </c>
      <c r="C51" s="3" t="s">
        <v>8</v>
      </c>
      <c r="D51" s="3">
        <f>D35</f>
        <v>1500</v>
      </c>
      <c r="E51" s="16" t="s">
        <v>30</v>
      </c>
      <c r="F51" s="10">
        <v>2.58</v>
      </c>
      <c r="G51" s="10" t="s">
        <v>32</v>
      </c>
      <c r="H51" s="10" t="s">
        <v>32</v>
      </c>
      <c r="I51" s="10" t="s">
        <v>32</v>
      </c>
      <c r="J51" s="51">
        <f>$P$125</f>
        <v>0.5432283962107034</v>
      </c>
      <c r="K51" s="28">
        <f>$D51*$F51*$J51</f>
        <v>2102.2938933354221</v>
      </c>
    </row>
    <row r="52" spans="2:18">
      <c r="B52" s="1" t="s">
        <v>267</v>
      </c>
      <c r="C52" s="3" t="s">
        <v>10</v>
      </c>
      <c r="D52" s="3">
        <f>D36</f>
        <v>650</v>
      </c>
      <c r="E52" s="16" t="s">
        <v>30</v>
      </c>
      <c r="F52" s="10">
        <v>2.58</v>
      </c>
      <c r="G52" s="10" t="s">
        <v>32</v>
      </c>
      <c r="H52" s="10" t="s">
        <v>32</v>
      </c>
      <c r="I52" s="10" t="s">
        <v>32</v>
      </c>
      <c r="J52" s="18" t="s">
        <v>32</v>
      </c>
      <c r="K52" s="28">
        <f>$D52*$F52</f>
        <v>1677</v>
      </c>
    </row>
    <row r="53" spans="2:18">
      <c r="B53" s="1" t="s">
        <v>268</v>
      </c>
      <c r="C53" s="3" t="s">
        <v>241</v>
      </c>
      <c r="D53" s="3">
        <f>0.822*Eminp/($P$118)^2</f>
        <v>1158.7758967217433</v>
      </c>
      <c r="E53" s="16" t="s">
        <v>30</v>
      </c>
      <c r="F53" s="10">
        <v>2.0299999999999998</v>
      </c>
      <c r="G53" s="10" t="s">
        <v>32</v>
      </c>
      <c r="H53" s="10" t="s">
        <v>32</v>
      </c>
      <c r="I53" s="10" t="s">
        <v>32</v>
      </c>
      <c r="J53" s="18" t="s">
        <v>32</v>
      </c>
      <c r="K53" s="28">
        <f>$D53*$F53</f>
        <v>2352.3150703451388</v>
      </c>
    </row>
    <row r="54" spans="2:18" ht="15" thickBot="1">
      <c r="B54" s="4" t="s">
        <v>269</v>
      </c>
      <c r="C54" s="5" t="s">
        <v>242</v>
      </c>
      <c r="D54" s="73">
        <f>0.822*Eminp/($P$119)^2</f>
        <v>11101623.749999998</v>
      </c>
      <c r="E54" s="17" t="s">
        <v>30</v>
      </c>
      <c r="F54" s="11">
        <v>2.0299999999999998</v>
      </c>
      <c r="G54" s="11" t="s">
        <v>32</v>
      </c>
      <c r="H54" s="11" t="s">
        <v>32</v>
      </c>
      <c r="I54" s="11" t="s">
        <v>32</v>
      </c>
      <c r="J54" s="19" t="s">
        <v>32</v>
      </c>
      <c r="K54" s="54">
        <f>$D54*$F54</f>
        <v>22536296.212499995</v>
      </c>
    </row>
    <row r="55" spans="2:18" ht="16.5">
      <c r="E55" s="53">
        <v>2</v>
      </c>
      <c r="F55" t="s">
        <v>249</v>
      </c>
    </row>
    <row r="56" spans="2:18" ht="16.5">
      <c r="E56" s="53">
        <v>3</v>
      </c>
      <c r="F56" t="s">
        <v>250</v>
      </c>
    </row>
    <row r="59" spans="2:18" ht="16.5">
      <c r="B59" s="8" t="s">
        <v>33</v>
      </c>
      <c r="F59" t="s">
        <v>227</v>
      </c>
      <c r="I59" t="s">
        <v>44</v>
      </c>
    </row>
    <row r="60" spans="2:18" ht="15" customHeight="1">
      <c r="D60" s="1" t="s">
        <v>176</v>
      </c>
      <c r="F60" s="48" t="s">
        <v>216</v>
      </c>
      <c r="G60" s="48" t="s">
        <v>226</v>
      </c>
      <c r="I60" s="135" t="s">
        <v>230</v>
      </c>
      <c r="J60" s="135"/>
      <c r="K60" s="135"/>
      <c r="L60" s="135"/>
      <c r="M60" s="135"/>
      <c r="N60" s="135"/>
      <c r="O60" s="135"/>
      <c r="P60" s="135"/>
      <c r="Q60" s="135"/>
      <c r="R60" s="135"/>
    </row>
    <row r="61" spans="2:18" ht="15" customHeight="1">
      <c r="D61" s="1" t="s">
        <v>129</v>
      </c>
      <c r="F61" s="48" t="s">
        <v>60</v>
      </c>
      <c r="G61" s="49" t="s">
        <v>228</v>
      </c>
      <c r="I61" s="135"/>
      <c r="J61" s="135"/>
      <c r="K61" s="135"/>
      <c r="L61" s="135"/>
      <c r="M61" s="135"/>
      <c r="N61" s="135"/>
      <c r="O61" s="135"/>
      <c r="P61" s="135"/>
      <c r="Q61" s="135"/>
      <c r="R61" s="135"/>
    </row>
    <row r="62" spans="2:18">
      <c r="D62" s="1" t="s">
        <v>222</v>
      </c>
      <c r="F62" s="48" t="s">
        <v>217</v>
      </c>
      <c r="G62" s="49" t="s">
        <v>228</v>
      </c>
      <c r="I62" s="135"/>
      <c r="J62" s="135"/>
      <c r="K62" s="135"/>
      <c r="L62" s="135"/>
      <c r="M62" s="135"/>
      <c r="N62" s="135"/>
      <c r="O62" s="135"/>
      <c r="P62" s="135"/>
      <c r="Q62" s="135"/>
      <c r="R62" s="135"/>
    </row>
    <row r="63" spans="2:18">
      <c r="D63" s="1" t="s">
        <v>224</v>
      </c>
      <c r="F63" s="48" t="s">
        <v>220</v>
      </c>
      <c r="G63" s="49" t="s">
        <v>228</v>
      </c>
      <c r="I63" s="135"/>
      <c r="J63" s="135"/>
      <c r="K63" s="135"/>
      <c r="L63" s="135"/>
      <c r="M63" s="135"/>
      <c r="N63" s="135"/>
      <c r="O63" s="135"/>
      <c r="P63" s="135"/>
      <c r="Q63" s="135"/>
      <c r="R63" s="135"/>
    </row>
    <row r="64" spans="2:18">
      <c r="D64" s="1" t="s">
        <v>223</v>
      </c>
      <c r="F64" s="48" t="s">
        <v>218</v>
      </c>
      <c r="G64" s="48" t="s">
        <v>219</v>
      </c>
      <c r="I64" s="135"/>
      <c r="J64" s="135"/>
      <c r="K64" s="135"/>
      <c r="L64" s="135"/>
      <c r="M64" s="135"/>
      <c r="N64" s="135"/>
      <c r="O64" s="135"/>
      <c r="P64" s="135"/>
      <c r="Q64" s="135"/>
      <c r="R64" s="135"/>
    </row>
    <row r="65" spans="2:18">
      <c r="D65" s="1" t="s">
        <v>221</v>
      </c>
      <c r="F65" s="48" t="s">
        <v>225</v>
      </c>
      <c r="G65" s="49" t="s">
        <v>228</v>
      </c>
      <c r="I65" s="135"/>
      <c r="J65" s="135"/>
      <c r="K65" s="135"/>
      <c r="L65" s="135"/>
      <c r="M65" s="135"/>
      <c r="N65" s="135"/>
      <c r="O65" s="135"/>
      <c r="P65" s="135"/>
      <c r="Q65" s="135"/>
      <c r="R65" s="135"/>
    </row>
    <row r="66" spans="2:18">
      <c r="L66" s="1"/>
    </row>
    <row r="67" spans="2:18">
      <c r="D67" s="1"/>
    </row>
    <row r="68" spans="2:18" ht="16.5">
      <c r="B68" s="12" t="s">
        <v>42</v>
      </c>
      <c r="F68" t="s">
        <v>43</v>
      </c>
    </row>
    <row r="69" spans="2:18">
      <c r="D69" s="1" t="s">
        <v>38</v>
      </c>
      <c r="E69" s="3" t="s">
        <v>35</v>
      </c>
      <c r="F69" s="40" t="s">
        <v>359</v>
      </c>
      <c r="H69" t="s">
        <v>146</v>
      </c>
    </row>
    <row r="70" spans="2:18" ht="16.5">
      <c r="D70" s="1" t="s">
        <v>46</v>
      </c>
      <c r="E70" s="3" t="s">
        <v>35</v>
      </c>
      <c r="F70" s="20">
        <f>IF(F69="Wet",0.8,1)</f>
        <v>1</v>
      </c>
      <c r="H70" t="s">
        <v>48</v>
      </c>
    </row>
    <row r="71" spans="2:18" ht="16.5">
      <c r="D71" s="1" t="s">
        <v>46</v>
      </c>
      <c r="E71" s="3" t="s">
        <v>35</v>
      </c>
      <c r="F71" s="20">
        <f>IF(F69="Wet",0.8,1)</f>
        <v>1</v>
      </c>
      <c r="H71" t="s">
        <v>49</v>
      </c>
    </row>
    <row r="72" spans="2:18" ht="16.5">
      <c r="D72" s="1" t="s">
        <v>46</v>
      </c>
      <c r="E72" s="3" t="s">
        <v>35</v>
      </c>
      <c r="F72" s="20">
        <f>IF(F69="Wet",0.875,1)</f>
        <v>1</v>
      </c>
      <c r="H72" t="s">
        <v>50</v>
      </c>
    </row>
    <row r="73" spans="2:18" ht="16.5">
      <c r="D73" s="1" t="s">
        <v>46</v>
      </c>
      <c r="E73" s="3" t="s">
        <v>35</v>
      </c>
      <c r="F73" s="20">
        <f>IF(F69="Wet",0.53,1)</f>
        <v>1</v>
      </c>
      <c r="H73" t="s">
        <v>52</v>
      </c>
    </row>
    <row r="74" spans="2:18" ht="16.5">
      <c r="D74" s="1" t="s">
        <v>46</v>
      </c>
      <c r="E74" s="3" t="s">
        <v>35</v>
      </c>
      <c r="F74" s="20">
        <f>IF(F69="Wet",0.73,1)</f>
        <v>1</v>
      </c>
      <c r="H74" t="s">
        <v>51</v>
      </c>
    </row>
    <row r="75" spans="2:18" ht="16.5">
      <c r="D75" s="1" t="s">
        <v>46</v>
      </c>
      <c r="E75" s="3" t="s">
        <v>35</v>
      </c>
      <c r="F75" s="20">
        <f>IF(F69="Wet",0.833,1)</f>
        <v>1</v>
      </c>
      <c r="H75" t="s">
        <v>53</v>
      </c>
    </row>
    <row r="76" spans="2:18">
      <c r="B76" s="2"/>
    </row>
    <row r="77" spans="2:18" ht="16.5">
      <c r="B77" s="8" t="s">
        <v>37</v>
      </c>
      <c r="F77" t="s">
        <v>45</v>
      </c>
      <c r="M77" s="1"/>
      <c r="N77" s="3"/>
      <c r="O77" s="55"/>
    </row>
    <row r="78" spans="2:18">
      <c r="D78" s="1" t="s">
        <v>39</v>
      </c>
      <c r="E78" s="3" t="s">
        <v>35</v>
      </c>
      <c r="F78" s="136" t="s">
        <v>88</v>
      </c>
      <c r="G78" s="136"/>
      <c r="M78" s="1"/>
      <c r="N78" s="3"/>
      <c r="O78" s="55"/>
    </row>
    <row r="79" spans="2:18" ht="16.5">
      <c r="D79" s="1" t="s">
        <v>47</v>
      </c>
      <c r="E79" s="3" t="s">
        <v>35</v>
      </c>
      <c r="F79" s="20" cm="1">
        <f t="array" ref="F79">_xlfn.SWITCH(F78,"100F", 1, "101F-125F",0.9,"126F-150F", 0.9)</f>
        <v>0.9</v>
      </c>
      <c r="H79" t="s">
        <v>40</v>
      </c>
    </row>
    <row r="80" spans="2:18" ht="16.5">
      <c r="D80" s="1" t="s">
        <v>47</v>
      </c>
      <c r="E80" s="3" t="s">
        <v>35</v>
      </c>
      <c r="F80" s="20" cm="1">
        <f t="array" ref="F80">IF(F69="Dry", _xlfn.SWITCH(F78, "100F", 1, "101F-125F", 0.8, "126F-150F", 0.7),_xlfn.SWITCH(F78, "100F", 1, "101F-125F", 0.7, "126F-150F", 0.5))</f>
        <v>0.8</v>
      </c>
      <c r="H80" t="s">
        <v>41</v>
      </c>
    </row>
    <row r="82" spans="1:19" ht="16.5">
      <c r="A82" s="29"/>
      <c r="B82" s="8" t="s">
        <v>55</v>
      </c>
      <c r="F82" t="s">
        <v>54</v>
      </c>
      <c r="K82" s="8"/>
      <c r="L82" s="8" t="s">
        <v>251</v>
      </c>
      <c r="O82" s="3"/>
      <c r="P82" t="s">
        <v>54</v>
      </c>
    </row>
    <row r="83" spans="1:19">
      <c r="D83" s="1" t="s">
        <v>339</v>
      </c>
      <c r="E83" s="3" t="s">
        <v>35</v>
      </c>
      <c r="F83">
        <f>$D$29*$F$29*$G$29*$H$29*$L$29*$M$29</f>
        <v>1260</v>
      </c>
      <c r="G83" t="s">
        <v>104</v>
      </c>
      <c r="N83" s="1" t="s">
        <v>339</v>
      </c>
      <c r="O83" s="3" t="s">
        <v>35</v>
      </c>
      <c r="P83">
        <f>$D$43*$F$43</f>
        <v>4987.5</v>
      </c>
      <c r="Q83" t="s">
        <v>104</v>
      </c>
    </row>
    <row r="84" spans="1:19">
      <c r="D84" s="1" t="s">
        <v>340</v>
      </c>
      <c r="F84">
        <f>$D$30*$F$30*$G$30*$H$30*$M$30</f>
        <v>1044</v>
      </c>
      <c r="G84" t="s">
        <v>104</v>
      </c>
      <c r="N84" s="1" t="s">
        <v>340</v>
      </c>
      <c r="O84" s="3" t="s">
        <v>35</v>
      </c>
      <c r="P84">
        <f>$D$44*$F$44</f>
        <v>4132.5</v>
      </c>
      <c r="Q84" t="s">
        <v>104</v>
      </c>
    </row>
    <row r="85" spans="1:19" ht="16.5">
      <c r="D85" s="1" t="s">
        <v>333</v>
      </c>
      <c r="E85" s="3" t="s">
        <v>35</v>
      </c>
      <c r="F85" s="26">
        <f>IF($F$20="x-x",SQRT($F$16*12*$F$9/$F$8^2), SQRT($F$16*12*$F$8/$F$9^2))</f>
        <v>4.9564805015189677</v>
      </c>
      <c r="G85" t="s">
        <v>143</v>
      </c>
      <c r="I85" t="str">
        <f>IF(F85&lt;=50,"OK","NG")</f>
        <v>OK</v>
      </c>
      <c r="N85" s="1" t="s">
        <v>333</v>
      </c>
      <c r="O85" s="3" t="s">
        <v>35</v>
      </c>
      <c r="P85" s="26">
        <f>IF($F$20="x-x",SQRT($F$16*12*$Q$22/$Q$21^2), SQRT($F$16*12*$Q$21/$Q$22^2))</f>
        <v>7.9269425479878652</v>
      </c>
      <c r="Q85" t="s">
        <v>143</v>
      </c>
      <c r="S85" t="str">
        <f>IF(P85&lt;=50,"OK","NG")</f>
        <v>OK</v>
      </c>
    </row>
    <row r="86" spans="1:19" ht="16.5">
      <c r="D86" s="1" t="s">
        <v>334</v>
      </c>
      <c r="E86" s="3" t="s">
        <v>35</v>
      </c>
      <c r="F86" s="26">
        <f>IF($F$20="y-y",SQRT($F$17*12*$F$9/$F$8^2), SQRT($F$17*12*$F$8/$F$9^2))</f>
        <v>3.5811754646112122</v>
      </c>
      <c r="G86" t="s">
        <v>143</v>
      </c>
      <c r="I86" t="str">
        <f>IF(F86&lt;=50,"OK","NG")</f>
        <v>OK</v>
      </c>
      <c r="N86" s="1" t="s">
        <v>334</v>
      </c>
      <c r="O86" s="3" t="s">
        <v>35</v>
      </c>
      <c r="P86" s="26">
        <f>IF($F$20="y-y",SQRT($F$17*12*$Q$22/$Q$21^2), SQRT($F$17*12*$Q$21/$Q$22^2))</f>
        <v>3.1988601361584372</v>
      </c>
      <c r="Q86" t="s">
        <v>143</v>
      </c>
      <c r="S86" t="str">
        <f>IF(P86&lt;=50,"OK","NG")</f>
        <v>OK</v>
      </c>
    </row>
    <row r="87" spans="1:19">
      <c r="D87" s="1" t="s">
        <v>335</v>
      </c>
      <c r="E87" s="1" t="s">
        <v>35</v>
      </c>
      <c r="F87" s="24">
        <f>1.2*Eminp/F85^2</f>
        <v>39565.755313970469</v>
      </c>
      <c r="G87" t="s">
        <v>104</v>
      </c>
      <c r="N87" s="1" t="s">
        <v>335</v>
      </c>
      <c r="O87" s="3" t="s">
        <v>35</v>
      </c>
      <c r="P87" s="24">
        <f>1.2*Eminp/P85^2</f>
        <v>15468.736577869837</v>
      </c>
      <c r="Q87" t="s">
        <v>104</v>
      </c>
    </row>
    <row r="88" spans="1:19">
      <c r="D88" s="1" t="s">
        <v>336</v>
      </c>
      <c r="E88" s="1" t="s">
        <v>35</v>
      </c>
      <c r="F88" s="24">
        <f>1.2*Eminp/F86^2</f>
        <v>75790.550954062477</v>
      </c>
      <c r="G88" t="s">
        <v>104</v>
      </c>
      <c r="N88" s="1" t="s">
        <v>336</v>
      </c>
      <c r="O88" s="3" t="s">
        <v>35</v>
      </c>
      <c r="P88" s="24">
        <f>1.2*Eminp/P86^2</f>
        <v>94989.534907476744</v>
      </c>
      <c r="Q88" t="s">
        <v>104</v>
      </c>
    </row>
    <row r="89" spans="1:19">
      <c r="D89" s="1" t="s">
        <v>341</v>
      </c>
      <c r="E89" s="1" t="s">
        <v>35</v>
      </c>
      <c r="F89" s="26">
        <f>F87/F83</f>
        <v>31.40139310632577</v>
      </c>
      <c r="N89" s="1" t="s">
        <v>341</v>
      </c>
      <c r="O89" s="3" t="s">
        <v>35</v>
      </c>
      <c r="P89" s="26">
        <f>P87/P83</f>
        <v>3.1015010682445787</v>
      </c>
    </row>
    <row r="90" spans="1:19">
      <c r="D90" s="1" t="s">
        <v>342</v>
      </c>
      <c r="E90" s="1" t="s">
        <v>35</v>
      </c>
      <c r="F90" s="26">
        <f>F88/F84</f>
        <v>72.596313174389351</v>
      </c>
      <c r="N90" s="1" t="s">
        <v>342</v>
      </c>
      <c r="O90" s="3" t="s">
        <v>35</v>
      </c>
      <c r="P90" s="26">
        <f>P88/P84</f>
        <v>22.985973359341013</v>
      </c>
    </row>
    <row r="91" spans="1:19" ht="16.5">
      <c r="D91" s="1" t="s">
        <v>337</v>
      </c>
      <c r="E91" s="3" t="s">
        <v>35</v>
      </c>
      <c r="F91" s="71">
        <f>(1+F89)/1.9-SQRT(((1+F89)/1.9)^2-F89/0.95)</f>
        <v>0.99836081429977952</v>
      </c>
      <c r="N91" s="1" t="s">
        <v>343</v>
      </c>
      <c r="O91" s="3" t="s">
        <v>35</v>
      </c>
      <c r="P91" s="71">
        <f>(1+P89)/1.9-SQRT(((1+P89)/1.9)^2-P89/0.95)</f>
        <v>0.97750655522750263</v>
      </c>
    </row>
    <row r="92" spans="1:19" ht="16.5">
      <c r="D92" s="1" t="s">
        <v>338</v>
      </c>
      <c r="E92" s="3" t="s">
        <v>35</v>
      </c>
      <c r="F92" s="71">
        <f>(1+F90)/1.9-SQRT(((1+F90)/1.9)^2-F90/0.95)</f>
        <v>0.99930262051471175</v>
      </c>
      <c r="N92" s="1" t="s">
        <v>344</v>
      </c>
      <c r="O92" s="3" t="s">
        <v>35</v>
      </c>
      <c r="P92" s="71">
        <f>(1+P90)/1.9-SQRT(((1+P90)/1.9)^2-P90/0.95)</f>
        <v>0.99773634010879775</v>
      </c>
    </row>
    <row r="93" spans="1:19">
      <c r="D93" s="1"/>
      <c r="F93" s="55"/>
    </row>
    <row r="94" spans="1:19" ht="16.5">
      <c r="B94" s="8" t="s">
        <v>161</v>
      </c>
      <c r="F94" t="s">
        <v>57</v>
      </c>
    </row>
    <row r="95" spans="1:19">
      <c r="D95" s="1" t="s">
        <v>59</v>
      </c>
      <c r="E95" s="3" t="s">
        <v>35</v>
      </c>
      <c r="F95">
        <f xml:space="preserve"> IF($F$3="Southern Pine", 20, 10)</f>
        <v>20</v>
      </c>
    </row>
    <row r="96" spans="1:19">
      <c r="D96" s="1" t="s">
        <v>60</v>
      </c>
      <c r="E96" s="3" t="s">
        <v>35</v>
      </c>
      <c r="F96">
        <f>F13</f>
        <v>40.75</v>
      </c>
      <c r="G96" t="s">
        <v>63</v>
      </c>
      <c r="I96" t="s">
        <v>162</v>
      </c>
    </row>
    <row r="97" spans="1:11">
      <c r="D97" s="1" t="s">
        <v>61</v>
      </c>
      <c r="E97" s="3" t="s">
        <v>35</v>
      </c>
      <c r="F97" s="20">
        <f>$F$9</f>
        <v>24</v>
      </c>
      <c r="G97" t="s">
        <v>64</v>
      </c>
    </row>
    <row r="98" spans="1:11">
      <c r="D98" s="1" t="s">
        <v>62</v>
      </c>
      <c r="E98" s="3" t="s">
        <v>35</v>
      </c>
      <c r="F98" s="21">
        <f>IF(F8&gt;10.75, 10.75,F8)</f>
        <v>8.5</v>
      </c>
      <c r="G98" t="s">
        <v>64</v>
      </c>
      <c r="H98" t="s">
        <v>97</v>
      </c>
    </row>
    <row r="99" spans="1:11" ht="16.5">
      <c r="D99" s="113" t="s">
        <v>65</v>
      </c>
      <c r="E99" s="3" t="s">
        <v>35</v>
      </c>
      <c r="F99" s="26">
        <f>MIN((21/F96)^(1/F95)*(12/F97)^(1/F95)*(5.125/F98)^(1/F95),1)</f>
        <v>0.91110164655285553</v>
      </c>
    </row>
    <row r="101" spans="1:11" ht="16.5">
      <c r="B101" s="8" t="s">
        <v>70</v>
      </c>
      <c r="F101" t="s">
        <v>69</v>
      </c>
    </row>
    <row r="102" spans="1:11">
      <c r="D102" s="1" t="s">
        <v>66</v>
      </c>
      <c r="E102" s="3" t="s">
        <v>35</v>
      </c>
      <c r="F102" s="40" cm="1">
        <f t="array" ref="F102">_xlfn.IFS(AND($F$20="x-x", $F$8&lt;12),$F$8,AND($F$20="y-y", $F$9&lt;12),$F$9,TRUE,"N/A")</f>
        <v>8.5</v>
      </c>
      <c r="G102" t="s">
        <v>64</v>
      </c>
      <c r="H102" t="s">
        <v>68</v>
      </c>
    </row>
    <row r="103" spans="1:11" ht="16.5">
      <c r="D103" s="1" t="s">
        <v>67</v>
      </c>
      <c r="E103" s="3" t="s">
        <v>35</v>
      </c>
      <c r="F103">
        <f>IF($F$102="N/A", 1, (12/$F$102)^(1/9))</f>
        <v>1.0390591181540647</v>
      </c>
    </row>
    <row r="105" spans="1:11" ht="16.5">
      <c r="A105" s="1"/>
      <c r="B105" s="8" t="s">
        <v>71</v>
      </c>
      <c r="F105" t="s">
        <v>77</v>
      </c>
    </row>
    <row r="106" spans="1:11">
      <c r="D106" s="1" t="s">
        <v>72</v>
      </c>
      <c r="E106" s="3" t="s">
        <v>35</v>
      </c>
      <c r="F106" s="20">
        <f>$F$22</f>
        <v>1.5</v>
      </c>
      <c r="G106" t="s">
        <v>64</v>
      </c>
    </row>
    <row r="107" spans="1:11">
      <c r="D107" s="1" t="s">
        <v>73</v>
      </c>
      <c r="E107" s="3" t="s">
        <v>35</v>
      </c>
      <c r="F107" s="20">
        <f>$F$18</f>
        <v>0</v>
      </c>
      <c r="G107" t="s">
        <v>64</v>
      </c>
      <c r="H107" t="s">
        <v>80</v>
      </c>
    </row>
    <row r="108" spans="1:11">
      <c r="D108" s="1" t="s">
        <v>74</v>
      </c>
      <c r="E108" s="3" t="s">
        <v>35</v>
      </c>
      <c r="F108" s="134" t="str">
        <f>IF($F$107=0, "N/A", $F$106/$F$107)</f>
        <v>N/A</v>
      </c>
      <c r="G108" s="134"/>
      <c r="H108" t="s">
        <v>75</v>
      </c>
      <c r="J108" s="133">
        <f>IF(OR(F3="Southern Pine",F3="Hardwood"),1/100,1/125)</f>
        <v>0.01</v>
      </c>
      <c r="K108" s="133"/>
    </row>
    <row r="109" spans="1:11" ht="16.5">
      <c r="D109" s="1" t="s">
        <v>79</v>
      </c>
      <c r="E109" s="3" t="s">
        <v>35</v>
      </c>
      <c r="F109" s="20">
        <f>IF($F$107=0, 1, 1-2000*MIN($F$108,$J$108)^2)</f>
        <v>1</v>
      </c>
    </row>
    <row r="111" spans="1:11" ht="16.5">
      <c r="A111" s="1"/>
      <c r="B111" s="8" t="s">
        <v>84</v>
      </c>
      <c r="F111" t="s">
        <v>78</v>
      </c>
    </row>
    <row r="112" spans="1:11" ht="16.5">
      <c r="D112" s="1" t="s">
        <v>76</v>
      </c>
      <c r="E112" s="3" t="s">
        <v>35</v>
      </c>
      <c r="F112" s="40">
        <v>1</v>
      </c>
      <c r="J112" t="s">
        <v>169</v>
      </c>
    </row>
    <row r="114" spans="1:21" ht="18" customHeight="1">
      <c r="B114" s="8" t="s">
        <v>81</v>
      </c>
      <c r="F114" t="s">
        <v>82</v>
      </c>
      <c r="J114" s="2" t="s">
        <v>170</v>
      </c>
      <c r="K114" s="45"/>
      <c r="L114" s="45"/>
      <c r="M114" s="45"/>
      <c r="N114" s="45"/>
      <c r="O114" s="45"/>
      <c r="P114" s="45"/>
      <c r="Q114" s="45"/>
      <c r="R114" s="45"/>
      <c r="S114" s="45"/>
      <c r="T114" s="45"/>
      <c r="U114" s="45"/>
    </row>
    <row r="115" spans="1:21" ht="16.5">
      <c r="D115" s="1" t="s">
        <v>83</v>
      </c>
      <c r="E115" s="3" t="s">
        <v>35</v>
      </c>
      <c r="F115" s="40">
        <v>1</v>
      </c>
      <c r="J115" s="45"/>
      <c r="K115" s="45"/>
      <c r="L115" s="45"/>
      <c r="M115" s="45"/>
      <c r="N115" s="45"/>
      <c r="O115" s="45"/>
      <c r="P115" s="45"/>
      <c r="Q115" s="45"/>
      <c r="R115" s="45"/>
      <c r="S115" s="45"/>
      <c r="T115" s="45"/>
      <c r="U115" s="45"/>
    </row>
    <row r="117" spans="1:21" ht="16.5">
      <c r="B117" s="8" t="s">
        <v>85</v>
      </c>
      <c r="F117" t="s">
        <v>111</v>
      </c>
      <c r="L117" s="8" t="s">
        <v>259</v>
      </c>
      <c r="O117" s="3"/>
      <c r="P117" t="s">
        <v>111</v>
      </c>
    </row>
    <row r="118" spans="1:21">
      <c r="D118" s="1" t="s">
        <v>100</v>
      </c>
      <c r="E118" s="3" t="s">
        <v>35</v>
      </c>
      <c r="F118" s="26">
        <f>IF($F$20="x-x",$F$11*12/$F$9, $F$11*12/$F$8)</f>
        <v>20.375</v>
      </c>
      <c r="G118" t="s">
        <v>143</v>
      </c>
      <c r="I118" t="str">
        <f>IF(F118&lt;=50,"OK","NG")</f>
        <v>OK</v>
      </c>
      <c r="N118" s="1" t="s">
        <v>100</v>
      </c>
      <c r="O118" s="3" t="s">
        <v>35</v>
      </c>
      <c r="P118" s="26">
        <f>IF($F$20="x-x",$F$11*12/$Q$22, $F$11*12/$Q$21)</f>
        <v>23.97058823529412</v>
      </c>
      <c r="Q118" t="s">
        <v>143</v>
      </c>
      <c r="S118" t="str">
        <f>IF(P118&lt;=50,"OK","NG")</f>
        <v>OK</v>
      </c>
    </row>
    <row r="119" spans="1:21">
      <c r="D119" s="1" t="s">
        <v>101</v>
      </c>
      <c r="E119" s="3" t="s">
        <v>35</v>
      </c>
      <c r="F119" s="27">
        <f>IF($F$20="x-x",$F$12*12/$F$8, $F$12*12/$F$9)</f>
        <v>0.14117647058823532</v>
      </c>
      <c r="G119" t="s">
        <v>143</v>
      </c>
      <c r="I119" t="str">
        <f>IF(F119&lt;=50,"OK","NG")</f>
        <v>OK</v>
      </c>
      <c r="N119" s="113" t="s">
        <v>101</v>
      </c>
      <c r="O119" s="3" t="s">
        <v>35</v>
      </c>
      <c r="P119" s="26">
        <f>IF($F$20="x-x",$F$12*12/$Q$21, $F$12*12/$Q$22)</f>
        <v>0.24489795918367349</v>
      </c>
      <c r="Q119" t="s">
        <v>143</v>
      </c>
      <c r="S119" t="str">
        <f>IF(P119&lt;=50,"OK","NG")</f>
        <v>OK</v>
      </c>
    </row>
    <row r="120" spans="1:21">
      <c r="D120" s="1" t="s">
        <v>102</v>
      </c>
      <c r="E120" s="3" t="s">
        <v>35</v>
      </c>
      <c r="F120">
        <f>MAX(F118,F119)</f>
        <v>20.375</v>
      </c>
      <c r="N120" s="1" t="s">
        <v>102</v>
      </c>
      <c r="O120" s="3" t="s">
        <v>35</v>
      </c>
      <c r="P120" s="25">
        <f>MAX(P118,P119)</f>
        <v>23.97058823529412</v>
      </c>
    </row>
    <row r="121" spans="1:21">
      <c r="D121" s="1" t="s">
        <v>103</v>
      </c>
      <c r="E121" s="3" t="s">
        <v>35</v>
      </c>
      <c r="F121">
        <f>$D$35*$F$35*$G$35*$H$35</f>
        <v>1080</v>
      </c>
      <c r="G121" t="s">
        <v>104</v>
      </c>
      <c r="N121" s="1" t="s">
        <v>103</v>
      </c>
      <c r="O121" s="3" t="s">
        <v>35</v>
      </c>
      <c r="P121">
        <f>$D$51*$F$51</f>
        <v>3870</v>
      </c>
      <c r="Q121" t="s">
        <v>104</v>
      </c>
    </row>
    <row r="122" spans="1:21">
      <c r="D122" s="1" t="s">
        <v>105</v>
      </c>
      <c r="E122" s="3" t="s">
        <v>35</v>
      </c>
      <c r="F122" s="24">
        <f>0.822*Eminp/($F$120)^2</f>
        <v>1603.842071587188</v>
      </c>
      <c r="G122" s="25" t="s">
        <v>104</v>
      </c>
      <c r="N122" s="1" t="s">
        <v>254</v>
      </c>
      <c r="O122" s="3" t="s">
        <v>35</v>
      </c>
      <c r="P122" s="24">
        <f>MIN(FcExf,FcEyf)</f>
        <v>2352.3150703451388</v>
      </c>
      <c r="Q122" s="25" t="s">
        <v>104</v>
      </c>
    </row>
    <row r="123" spans="1:21">
      <c r="D123" s="1" t="s">
        <v>106</v>
      </c>
      <c r="E123" s="3" t="s">
        <v>35</v>
      </c>
      <c r="F123">
        <v>0.9</v>
      </c>
      <c r="H123" t="s">
        <v>172</v>
      </c>
      <c r="N123" s="1" t="s">
        <v>106</v>
      </c>
      <c r="O123" s="3" t="s">
        <v>35</v>
      </c>
      <c r="P123">
        <v>0.9</v>
      </c>
      <c r="R123" t="s">
        <v>172</v>
      </c>
    </row>
    <row r="124" spans="1:21">
      <c r="D124" s="1" t="s">
        <v>107</v>
      </c>
      <c r="E124" s="3" t="s">
        <v>35</v>
      </c>
      <c r="F124" s="26">
        <f>$F$122/$F$121</f>
        <v>1.4850389551733223</v>
      </c>
      <c r="N124" s="1" t="s">
        <v>255</v>
      </c>
      <c r="O124" s="3" t="s">
        <v>35</v>
      </c>
      <c r="P124" s="26">
        <f>$P$122/$P$121</f>
        <v>0.60783335151037177</v>
      </c>
    </row>
    <row r="125" spans="1:21" ht="16.5">
      <c r="D125" s="1" t="s">
        <v>108</v>
      </c>
      <c r="E125" s="3" t="s">
        <v>35</v>
      </c>
      <c r="F125" s="26">
        <f>(1+$F$124)/(2*$F$123)-SQRT(((1+$F$124)/(2*$F$123))^2-$F$124/$F$123)</f>
        <v>0.87466207179850508</v>
      </c>
      <c r="G125" s="27"/>
      <c r="H125" s="27"/>
      <c r="N125" s="1" t="s">
        <v>256</v>
      </c>
      <c r="O125" s="3" t="s">
        <v>35</v>
      </c>
      <c r="P125" s="26">
        <f>(1+$P$124)/(2*$P$123)-SQRT(((1+$P$124)/(2*$P$123))^2-$P$124/$P$123)</f>
        <v>0.5432283962107034</v>
      </c>
      <c r="Q125" s="27"/>
      <c r="R125" s="27"/>
    </row>
    <row r="127" spans="1:21" ht="16.5">
      <c r="A127" s="1"/>
      <c r="B127" s="8" t="s">
        <v>109</v>
      </c>
      <c r="F127" t="s">
        <v>110</v>
      </c>
    </row>
    <row r="128" spans="1:21" ht="16.5">
      <c r="D128" s="1" t="s">
        <v>112</v>
      </c>
      <c r="E128" s="3" t="s">
        <v>35</v>
      </c>
      <c r="F128" s="71">
        <f>($F$19+0.375)/$F$19</f>
        <v>1.046875</v>
      </c>
    </row>
  </sheetData>
  <mergeCells count="6">
    <mergeCell ref="J108:K108"/>
    <mergeCell ref="F108:G108"/>
    <mergeCell ref="I60:R65"/>
    <mergeCell ref="F78:G78"/>
    <mergeCell ref="X34:Z35"/>
    <mergeCell ref="T34:V35"/>
  </mergeCells>
  <conditionalFormatting sqref="F118 F86">
    <cfRule type="cellIs" dxfId="47" priority="18" operator="greaterThan">
      <formula>50</formula>
    </cfRule>
  </conditionalFormatting>
  <conditionalFormatting sqref="F119">
    <cfRule type="cellIs" dxfId="46" priority="17" operator="greaterThan">
      <formula>50</formula>
    </cfRule>
  </conditionalFormatting>
  <conditionalFormatting sqref="F91:F93 O91:P92">
    <cfRule type="expression" dxfId="45" priority="16">
      <formula>$F$9/$F$8&gt;2</formula>
    </cfRule>
  </conditionalFormatting>
  <conditionalFormatting sqref="J9">
    <cfRule type="expression" dxfId="44" priority="15">
      <formula>$F$9&gt;15</formula>
    </cfRule>
  </conditionalFormatting>
  <conditionalFormatting sqref="P118">
    <cfRule type="cellIs" dxfId="43" priority="12" operator="greaterThan">
      <formula>50</formula>
    </cfRule>
  </conditionalFormatting>
  <conditionalFormatting sqref="P119">
    <cfRule type="cellIs" dxfId="42" priority="9" operator="greaterThan">
      <formula>50</formula>
    </cfRule>
  </conditionalFormatting>
  <conditionalFormatting sqref="F85">
    <cfRule type="cellIs" dxfId="41" priority="8" operator="greaterThan">
      <formula>50</formula>
    </cfRule>
  </conditionalFormatting>
  <conditionalFormatting sqref="O77">
    <cfRule type="expression" dxfId="40" priority="5">
      <formula>$F$9/$F$8&gt;2</formula>
    </cfRule>
  </conditionalFormatting>
  <conditionalFormatting sqref="O78">
    <cfRule type="expression" dxfId="39" priority="4">
      <formula>$F$9/$F$8&gt;2</formula>
    </cfRule>
  </conditionalFormatting>
  <conditionalFormatting sqref="P86">
    <cfRule type="cellIs" dxfId="38" priority="2" operator="greaterThan">
      <formula>50</formula>
    </cfRule>
  </conditionalFormatting>
  <conditionalFormatting sqref="P85">
    <cfRule type="cellIs" dxfId="37" priority="1" operator="greaterThan">
      <formula>50</formula>
    </cfRule>
  </conditionalFormatting>
  <dataValidations disablePrompts="1" count="4">
    <dataValidation type="list" allowBlank="1" showInputMessage="1" showErrorMessage="1" sqref="F3:H3" xr:uid="{00000000-0002-0000-0100-000000000000}">
      <formula1>"Southern Pine, Western Species, Hardwood"</formula1>
    </dataValidation>
    <dataValidation type="list" allowBlank="1" showInputMessage="1" showErrorMessage="1" sqref="F69" xr:uid="{00000000-0002-0000-0100-000001000000}">
      <formula1>"Dry, Wet"</formula1>
    </dataValidation>
    <dataValidation type="list" allowBlank="1" showInputMessage="1" showErrorMessage="1" sqref="F78" xr:uid="{00000000-0002-0000-0100-000002000000}">
      <formula1>"100F, 101F-125F, 126F-150F"</formula1>
    </dataValidation>
    <dataValidation type="list" allowBlank="1" showInputMessage="1" showErrorMessage="1" sqref="F20" xr:uid="{00000000-0002-0000-0100-000003000000}">
      <formula1>"x-x, y-y"</formula1>
    </dataValidation>
  </dataValidations>
  <pageMargins left="0.7" right="0.7" top="0.75" bottom="0.75" header="0.3" footer="0.3"/>
  <pageSetup scale="74"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21948-98CB-49AA-B6A0-04983F896C1D}">
  <dimension ref="A1:N11"/>
  <sheetViews>
    <sheetView workbookViewId="0">
      <selection activeCell="H18" sqref="H18"/>
    </sheetView>
  </sheetViews>
  <sheetFormatPr defaultRowHeight="14.5"/>
  <sheetData>
    <row r="1" spans="1:14">
      <c r="A1" t="s">
        <v>426</v>
      </c>
      <c r="B1" t="str">
        <f>'Design Values'!F28</f>
        <v>CD</v>
      </c>
      <c r="C1" t="str">
        <f>'Design Values'!G28</f>
        <v>CM</v>
      </c>
      <c r="D1" t="str">
        <f>'Design Values'!H28</f>
        <v>Ct</v>
      </c>
      <c r="E1" t="str">
        <f>'Design Values'!I28</f>
        <v>CL</v>
      </c>
      <c r="F1" t="str">
        <f>'Design Values'!J28</f>
        <v>CV</v>
      </c>
      <c r="G1" t="str">
        <f>'Design Values'!K28</f>
        <v>Cfu</v>
      </c>
      <c r="H1" t="s">
        <v>427</v>
      </c>
      <c r="I1" t="str">
        <f>'Design Values'!M28</f>
        <v>CI</v>
      </c>
      <c r="J1" t="str">
        <f>'Design Values'!N28</f>
        <v>Cvr</v>
      </c>
      <c r="K1" t="str">
        <f>'Design Values'!O28</f>
        <v>CP</v>
      </c>
      <c r="L1" t="str">
        <f>'Design Values'!P28</f>
        <v>Cb</v>
      </c>
      <c r="M1" t="s">
        <v>425</v>
      </c>
      <c r="N1" t="s">
        <v>424</v>
      </c>
    </row>
    <row r="2" spans="1:14">
      <c r="A2" t="s">
        <v>417</v>
      </c>
      <c r="B2">
        <f>'Design Values'!F29</f>
        <v>0.9</v>
      </c>
      <c r="C2">
        <f>'Design Values'!G29</f>
        <v>1</v>
      </c>
      <c r="D2">
        <f>'Design Values'!H29</f>
        <v>0.8</v>
      </c>
      <c r="E2">
        <f>'Design Values'!I29</f>
        <v>0.99836081429977952</v>
      </c>
      <c r="F2">
        <f>'Design Values'!J29</f>
        <v>0.91110164655285553</v>
      </c>
      <c r="G2" t="str">
        <f>'Design Values'!K29</f>
        <v>-</v>
      </c>
      <c r="H2">
        <f>'Design Values'!L29</f>
        <v>1</v>
      </c>
      <c r="I2">
        <f>'Design Values'!M29</f>
        <v>1</v>
      </c>
      <c r="J2" t="str">
        <f>'Design Values'!N29</f>
        <v>-</v>
      </c>
      <c r="K2" t="str">
        <f>'Design Values'!O29</f>
        <v>-</v>
      </c>
      <c r="L2" t="str">
        <f>'Design Values'!P29</f>
        <v>-</v>
      </c>
      <c r="M2">
        <f>'Design Values'!D29</f>
        <v>1750</v>
      </c>
      <c r="N2">
        <f>'Design Values'!Q29</f>
        <v>1147.988074656598</v>
      </c>
    </row>
    <row r="3" spans="1:14">
      <c r="A3" t="s">
        <v>14</v>
      </c>
      <c r="B3">
        <f>'Design Values'!F30</f>
        <v>0.9</v>
      </c>
      <c r="C3">
        <f>'Design Values'!G30</f>
        <v>1</v>
      </c>
      <c r="D3">
        <f>'Design Values'!H30</f>
        <v>0.8</v>
      </c>
      <c r="E3">
        <f>'Design Values'!I30</f>
        <v>0.99930262051471175</v>
      </c>
      <c r="F3" t="str">
        <f>'Design Values'!J30</f>
        <v>-</v>
      </c>
      <c r="G3">
        <f>'Design Values'!K30</f>
        <v>1.0390591181540647</v>
      </c>
      <c r="H3" t="str">
        <f>'Design Values'!L30</f>
        <v>-</v>
      </c>
      <c r="I3">
        <f>'Design Values'!M30</f>
        <v>1</v>
      </c>
      <c r="J3" t="str">
        <f>'Design Values'!N30</f>
        <v>-</v>
      </c>
      <c r="K3" t="str">
        <f>'Design Values'!O30</f>
        <v>-</v>
      </c>
      <c r="L3" t="str">
        <f>'Design Values'!P30</f>
        <v>-</v>
      </c>
      <c r="M3">
        <f>'Design Values'!D30</f>
        <v>1450</v>
      </c>
      <c r="N3">
        <f>'Design Values'!Q30</f>
        <v>1084.0212176252689</v>
      </c>
    </row>
    <row r="4" spans="1:14">
      <c r="A4" t="s">
        <v>49</v>
      </c>
      <c r="B4">
        <f>'Design Values'!F31</f>
        <v>0.9</v>
      </c>
      <c r="C4">
        <f>'Design Values'!G31</f>
        <v>1</v>
      </c>
      <c r="D4">
        <f>'Design Values'!H31</f>
        <v>0.9</v>
      </c>
      <c r="E4" t="str">
        <f>'Design Values'!I31</f>
        <v>-</v>
      </c>
      <c r="F4" t="str">
        <f>'Design Values'!J31</f>
        <v>-</v>
      </c>
      <c r="G4" t="str">
        <f>'Design Values'!K31</f>
        <v>-</v>
      </c>
      <c r="H4" t="str">
        <f>'Design Values'!L31</f>
        <v>-</v>
      </c>
      <c r="I4" t="str">
        <f>'Design Values'!M31</f>
        <v>-</v>
      </c>
      <c r="J4" t="str">
        <f>'Design Values'!N31</f>
        <v>-</v>
      </c>
      <c r="K4" t="str">
        <f>'Design Values'!O31</f>
        <v>-</v>
      </c>
      <c r="L4" t="str">
        <f>'Design Values'!P31</f>
        <v>-</v>
      </c>
      <c r="M4">
        <f>'Design Values'!D31</f>
        <v>1100</v>
      </c>
      <c r="N4">
        <f>'Design Values'!Q31</f>
        <v>891</v>
      </c>
    </row>
    <row r="5" spans="1:14">
      <c r="A5" t="s">
        <v>16</v>
      </c>
      <c r="B5">
        <f>'Design Values'!F32</f>
        <v>0.9</v>
      </c>
      <c r="C5">
        <f>'Design Values'!G32</f>
        <v>1</v>
      </c>
      <c r="D5">
        <f>'Design Values'!H32</f>
        <v>0.8</v>
      </c>
      <c r="E5" t="str">
        <f>'Design Values'!I32</f>
        <v>-</v>
      </c>
      <c r="F5" t="str">
        <f>'Design Values'!J32</f>
        <v>-</v>
      </c>
      <c r="G5" t="str">
        <f>'Design Values'!K32</f>
        <v>-</v>
      </c>
      <c r="H5" t="str">
        <f>'Design Values'!L32</f>
        <v>-</v>
      </c>
      <c r="I5" t="str">
        <f>'Design Values'!M32</f>
        <v>-</v>
      </c>
      <c r="J5">
        <f>'Design Values'!N32</f>
        <v>1</v>
      </c>
      <c r="K5" t="str">
        <f>'Design Values'!O32</f>
        <v>-</v>
      </c>
      <c r="L5" t="str">
        <f>'Design Values'!P32</f>
        <v>-</v>
      </c>
      <c r="M5">
        <f>'Design Values'!D32</f>
        <v>260</v>
      </c>
      <c r="N5">
        <f>'Design Values'!Q32</f>
        <v>187.20000000000002</v>
      </c>
    </row>
    <row r="6" spans="1:14">
      <c r="A6" t="s">
        <v>18</v>
      </c>
      <c r="B6">
        <f>'Design Values'!F33</f>
        <v>0.9</v>
      </c>
      <c r="C6">
        <f>'Design Values'!G33</f>
        <v>1</v>
      </c>
      <c r="D6">
        <f>'Design Values'!H33</f>
        <v>0.8</v>
      </c>
      <c r="E6" t="str">
        <f>'Design Values'!I33</f>
        <v>-</v>
      </c>
      <c r="F6" t="str">
        <f>'Design Values'!J33</f>
        <v>-</v>
      </c>
      <c r="G6" t="str">
        <f>'Design Values'!K33</f>
        <v>-</v>
      </c>
      <c r="H6" t="str">
        <f>'Design Values'!L33</f>
        <v>-</v>
      </c>
      <c r="I6" t="str">
        <f>'Design Values'!M33</f>
        <v>-</v>
      </c>
      <c r="J6">
        <f>'Design Values'!N33</f>
        <v>1</v>
      </c>
      <c r="K6" t="str">
        <f>'Design Values'!O33</f>
        <v>-</v>
      </c>
      <c r="L6" t="str">
        <f>'Design Values'!P33</f>
        <v>-</v>
      </c>
      <c r="M6">
        <f>'Design Values'!D33</f>
        <v>300</v>
      </c>
      <c r="N6">
        <f>'Design Values'!Q33</f>
        <v>216</v>
      </c>
    </row>
    <row r="7" spans="1:14">
      <c r="A7" t="s">
        <v>428</v>
      </c>
      <c r="B7">
        <f>'Design Values'!F34</f>
        <v>0.9</v>
      </c>
      <c r="C7">
        <f>'Design Values'!G34</f>
        <v>1</v>
      </c>
      <c r="D7">
        <f>'Design Values'!H34</f>
        <v>0.9</v>
      </c>
      <c r="E7" t="str">
        <f>'Design Values'!I34</f>
        <v>-</v>
      </c>
      <c r="F7" t="str">
        <f>'Design Values'!J34</f>
        <v>-</v>
      </c>
      <c r="G7" t="str">
        <f>'Design Values'!K34</f>
        <v>-</v>
      </c>
      <c r="H7" t="str">
        <f>'Design Values'!L34</f>
        <v>-</v>
      </c>
      <c r="I7" t="str">
        <f>'Design Values'!M34</f>
        <v>-</v>
      </c>
      <c r="J7" t="str">
        <f>'Design Values'!N34</f>
        <v>-</v>
      </c>
      <c r="K7" t="str">
        <f>'Design Values'!O34</f>
        <v>-</v>
      </c>
      <c r="L7" t="str">
        <f>'Design Values'!P34</f>
        <v>-</v>
      </c>
      <c r="M7">
        <f>'Design Values'!D34</f>
        <v>100</v>
      </c>
      <c r="N7">
        <f>'Design Values'!Q34</f>
        <v>81</v>
      </c>
    </row>
    <row r="8" spans="1:14">
      <c r="A8" t="s">
        <v>51</v>
      </c>
      <c r="B8">
        <f>'Design Values'!F35</f>
        <v>0.9</v>
      </c>
      <c r="C8">
        <f>'Design Values'!G35</f>
        <v>1</v>
      </c>
      <c r="D8">
        <f>'Design Values'!H35</f>
        <v>0.8</v>
      </c>
      <c r="E8" t="str">
        <f>'Design Values'!I35</f>
        <v>-</v>
      </c>
      <c r="F8" t="str">
        <f>'Design Values'!J35</f>
        <v>-</v>
      </c>
      <c r="G8" t="str">
        <f>'Design Values'!K35</f>
        <v>-</v>
      </c>
      <c r="H8" t="str">
        <f>'Design Values'!L35</f>
        <v>-</v>
      </c>
      <c r="I8" t="str">
        <f>'Design Values'!M35</f>
        <v>-</v>
      </c>
      <c r="J8" t="str">
        <f>'Design Values'!N35</f>
        <v>-</v>
      </c>
      <c r="K8">
        <f>'Design Values'!O35</f>
        <v>0.87466207179850508</v>
      </c>
      <c r="L8" t="str">
        <f>'Design Values'!P35</f>
        <v>-</v>
      </c>
      <c r="M8">
        <f>'Design Values'!D35</f>
        <v>1500</v>
      </c>
      <c r="N8">
        <f>'Design Values'!Q35</f>
        <v>944.63503754238548</v>
      </c>
    </row>
    <row r="9" spans="1:14">
      <c r="A9" t="s">
        <v>418</v>
      </c>
      <c r="B9" t="str">
        <f>'Design Values'!F36</f>
        <v>-</v>
      </c>
      <c r="C9">
        <f>'Design Values'!G36</f>
        <v>1</v>
      </c>
      <c r="D9">
        <f>'Design Values'!H36</f>
        <v>0.8</v>
      </c>
      <c r="E9" t="str">
        <f>'Design Values'!I36</f>
        <v>-</v>
      </c>
      <c r="F9" t="str">
        <f>'Design Values'!J36</f>
        <v>-</v>
      </c>
      <c r="G9" t="str">
        <f>'Design Values'!K36</f>
        <v>-</v>
      </c>
      <c r="H9" t="str">
        <f>'Design Values'!L36</f>
        <v>-</v>
      </c>
      <c r="I9" t="str">
        <f>'Design Values'!M36</f>
        <v>-</v>
      </c>
      <c r="J9" t="str">
        <f>'Design Values'!N36</f>
        <v>-</v>
      </c>
      <c r="K9" t="str">
        <f>'Design Values'!O36</f>
        <v>-</v>
      </c>
      <c r="L9">
        <f>'Design Values'!P36</f>
        <v>1.046875</v>
      </c>
      <c r="M9">
        <f>'Design Values'!D36</f>
        <v>650</v>
      </c>
      <c r="N9">
        <f>'Design Values'!Q36</f>
        <v>544.375</v>
      </c>
    </row>
    <row r="10" spans="1:14">
      <c r="A10" t="s">
        <v>218</v>
      </c>
      <c r="B10" t="str">
        <f>'Design Values'!F37</f>
        <v>-</v>
      </c>
      <c r="C10">
        <f>'Design Values'!G37</f>
        <v>1</v>
      </c>
      <c r="D10">
        <f>'Design Values'!H37</f>
        <v>0.9</v>
      </c>
      <c r="E10" t="str">
        <f>'Design Values'!I37</f>
        <v>-</v>
      </c>
      <c r="F10" t="str">
        <f>'Design Values'!J37</f>
        <v>-</v>
      </c>
      <c r="G10" t="str">
        <f>'Design Values'!K37</f>
        <v>-</v>
      </c>
      <c r="H10" t="str">
        <f>'Design Values'!L37</f>
        <v>-</v>
      </c>
      <c r="I10" t="str">
        <f>'Design Values'!M37</f>
        <v>-</v>
      </c>
      <c r="J10" t="str">
        <f>'Design Values'!N37</f>
        <v>-</v>
      </c>
      <c r="K10" t="str">
        <f>'Design Values'!O37</f>
        <v>-</v>
      </c>
      <c r="L10" t="str">
        <f>'Design Values'!P37</f>
        <v>-</v>
      </c>
      <c r="M10">
        <f>'Design Values'!D37</f>
        <v>1700000</v>
      </c>
      <c r="N10">
        <f>'Design Values'!Q37</f>
        <v>1530000</v>
      </c>
    </row>
    <row r="11" spans="1:14">
      <c r="A11" t="s">
        <v>419</v>
      </c>
      <c r="B11" t="str">
        <f>'Design Values'!F38</f>
        <v>-</v>
      </c>
      <c r="C11">
        <f>'Design Values'!G38</f>
        <v>1</v>
      </c>
      <c r="D11">
        <f>'Design Values'!H38</f>
        <v>0.9</v>
      </c>
      <c r="E11" t="str">
        <f>'Design Values'!I38</f>
        <v>-</v>
      </c>
      <c r="F11" t="str">
        <f>'Design Values'!J38</f>
        <v>-</v>
      </c>
      <c r="G11" t="str">
        <f>'Design Values'!K38</f>
        <v>-</v>
      </c>
      <c r="H11" t="str">
        <f>'Design Values'!L38</f>
        <v>-</v>
      </c>
      <c r="I11" t="str">
        <f>'Design Values'!M38</f>
        <v>-</v>
      </c>
      <c r="J11" t="str">
        <f>'Design Values'!N38</f>
        <v>-</v>
      </c>
      <c r="K11" t="str">
        <f>'Design Values'!O38</f>
        <v>-</v>
      </c>
      <c r="L11" t="str">
        <f>'Design Values'!P38</f>
        <v>-</v>
      </c>
      <c r="M11">
        <f>'Design Values'!D38</f>
        <v>900000</v>
      </c>
      <c r="N11">
        <f>'Design Values'!Q38</f>
        <v>810000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B72B-1023-4122-B29E-C718AB977089}">
  <dimension ref="A1:H9"/>
  <sheetViews>
    <sheetView workbookViewId="0">
      <selection activeCell="J7" sqref="J7"/>
    </sheetView>
  </sheetViews>
  <sheetFormatPr defaultRowHeight="14.5"/>
  <sheetData>
    <row r="1" spans="1:8">
      <c r="A1" t="s">
        <v>426</v>
      </c>
      <c r="B1" t="s">
        <v>441</v>
      </c>
      <c r="C1" t="s">
        <v>435</v>
      </c>
      <c r="D1" t="s">
        <v>436</v>
      </c>
      <c r="E1" t="s">
        <v>437</v>
      </c>
      <c r="F1" t="s">
        <v>438</v>
      </c>
      <c r="G1" t="s">
        <v>425</v>
      </c>
      <c r="H1" t="s">
        <v>424</v>
      </c>
    </row>
    <row r="2" spans="1:8">
      <c r="A2" t="s">
        <v>439</v>
      </c>
      <c r="B2">
        <f>'Design Values'!F43</f>
        <v>2.85</v>
      </c>
      <c r="C2">
        <f>'Design Values'!G43</f>
        <v>0.91110164655285553</v>
      </c>
      <c r="D2" t="str">
        <f>'Design Values'!H43</f>
        <v>-</v>
      </c>
      <c r="E2">
        <f>'Design Values'!I43</f>
        <v>0.97750655522750263</v>
      </c>
      <c r="F2" t="str">
        <f>'Design Values'!J43</f>
        <v>-</v>
      </c>
      <c r="G2">
        <f>'Design Values'!D43</f>
        <v>1750</v>
      </c>
      <c r="H2">
        <f>'Design Values'!K43</f>
        <v>4544.119462182367</v>
      </c>
    </row>
    <row r="3" spans="1:8">
      <c r="A3" t="s">
        <v>429</v>
      </c>
      <c r="B3">
        <f>'Design Values'!F44</f>
        <v>2.85</v>
      </c>
      <c r="C3" t="str">
        <f>'Design Values'!G44</f>
        <v>-</v>
      </c>
      <c r="D3">
        <f>'Design Values'!H44</f>
        <v>1.0390591181540647</v>
      </c>
      <c r="E3">
        <f>'Design Values'!I44</f>
        <v>0.99773634010879775</v>
      </c>
      <c r="F3" t="str">
        <f>'Design Values'!J44</f>
        <v>-</v>
      </c>
      <c r="G3">
        <f>'Design Values'!D44</f>
        <v>1450</v>
      </c>
      <c r="H3">
        <f>'Design Values'!K44</f>
        <v>4284.1918498405876</v>
      </c>
    </row>
    <row r="4" spans="1:8">
      <c r="A4" t="s">
        <v>430</v>
      </c>
      <c r="B4">
        <f>'Design Values'!F47</f>
        <v>2.85</v>
      </c>
      <c r="C4" t="str">
        <f>'Design Values'!G47</f>
        <v>-</v>
      </c>
      <c r="D4" t="str">
        <f>'Design Values'!H47</f>
        <v>-</v>
      </c>
      <c r="E4" t="str">
        <f>'Design Values'!I47</f>
        <v>-</v>
      </c>
      <c r="F4" t="str">
        <f>'Design Values'!J47</f>
        <v>-</v>
      </c>
      <c r="G4">
        <f>'Design Values'!D47</f>
        <v>1100</v>
      </c>
      <c r="H4">
        <f>'Design Values'!K47</f>
        <v>3135</v>
      </c>
    </row>
    <row r="5" spans="1:8">
      <c r="A5" t="s">
        <v>431</v>
      </c>
      <c r="B5">
        <f>'Design Values'!F48</f>
        <v>2.75</v>
      </c>
      <c r="C5" t="str">
        <f>'Design Values'!G48</f>
        <v>-</v>
      </c>
      <c r="D5" t="str">
        <f>'Design Values'!H48</f>
        <v>-</v>
      </c>
      <c r="E5" t="str">
        <f>'Design Values'!I48</f>
        <v>-</v>
      </c>
      <c r="F5" t="str">
        <f>'Design Values'!J48</f>
        <v>-</v>
      </c>
      <c r="G5">
        <f>'Design Values'!D48</f>
        <v>260</v>
      </c>
      <c r="H5">
        <f>'Design Values'!K48</f>
        <v>715</v>
      </c>
    </row>
    <row r="6" spans="1:8">
      <c r="A6" t="s">
        <v>432</v>
      </c>
      <c r="B6">
        <f>'Design Values'!F49</f>
        <v>2.75</v>
      </c>
      <c r="C6" t="str">
        <f>'Design Values'!G49</f>
        <v>-</v>
      </c>
      <c r="D6" t="str">
        <f>'Design Values'!H49</f>
        <v>-</v>
      </c>
      <c r="E6" t="str">
        <f>'Design Values'!I49</f>
        <v>-</v>
      </c>
      <c r="F6" t="str">
        <f>'Design Values'!J49</f>
        <v>-</v>
      </c>
      <c r="G6">
        <f>'Design Values'!D49</f>
        <v>300</v>
      </c>
      <c r="H6">
        <f>'Design Values'!K49</f>
        <v>825</v>
      </c>
    </row>
    <row r="7" spans="1:8">
      <c r="A7" t="s">
        <v>433</v>
      </c>
      <c r="B7">
        <f>'Design Values'!F50</f>
        <v>2.85</v>
      </c>
      <c r="C7" t="str">
        <f>'Design Values'!G50</f>
        <v>-</v>
      </c>
      <c r="D7" t="str">
        <f>'Design Values'!H50</f>
        <v>-</v>
      </c>
      <c r="E7" t="str">
        <f>'Design Values'!I50</f>
        <v>-</v>
      </c>
      <c r="F7" t="str">
        <f>'Design Values'!J50</f>
        <v>-</v>
      </c>
      <c r="G7">
        <f>'Design Values'!D50</f>
        <v>100</v>
      </c>
      <c r="H7">
        <f>'Design Values'!K50</f>
        <v>285</v>
      </c>
    </row>
    <row r="8" spans="1:8">
      <c r="A8" t="s">
        <v>434</v>
      </c>
      <c r="B8">
        <f>'Design Values'!F51</f>
        <v>2.58</v>
      </c>
      <c r="C8" t="str">
        <f>'Design Values'!G51</f>
        <v>-</v>
      </c>
      <c r="D8" t="str">
        <f>'Design Values'!H51</f>
        <v>-</v>
      </c>
      <c r="E8" t="str">
        <f>'Design Values'!I51</f>
        <v>-</v>
      </c>
      <c r="F8">
        <f>'Design Values'!J51</f>
        <v>0.5432283962107034</v>
      </c>
      <c r="G8">
        <f>'Design Values'!D51</f>
        <v>1500</v>
      </c>
      <c r="H8">
        <f>'Design Values'!K51</f>
        <v>2102.2938933354221</v>
      </c>
    </row>
    <row r="9" spans="1:8">
      <c r="A9" t="s">
        <v>440</v>
      </c>
      <c r="B9">
        <f>'Design Values'!F52</f>
        <v>2.58</v>
      </c>
      <c r="C9" t="str">
        <f>'Design Values'!G52</f>
        <v>-</v>
      </c>
      <c r="D9" t="str">
        <f>'Design Values'!H52</f>
        <v>-</v>
      </c>
      <c r="E9" t="str">
        <f>'Design Values'!I52</f>
        <v>-</v>
      </c>
      <c r="F9" t="str">
        <f>'Design Values'!J52</f>
        <v>-</v>
      </c>
      <c r="G9">
        <f>'Design Values'!D52</f>
        <v>650</v>
      </c>
      <c r="H9">
        <f>'Design Values'!K52</f>
        <v>1677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W100"/>
  <sheetViews>
    <sheetView topLeftCell="A17" zoomScale="85" zoomScaleNormal="85" workbookViewId="0">
      <selection activeCell="V44" sqref="V44"/>
    </sheetView>
  </sheetViews>
  <sheetFormatPr defaultRowHeight="14.5"/>
  <cols>
    <col min="1" max="1" width="9.1796875" customWidth="1"/>
    <col min="2" max="9" width="12.7265625" customWidth="1"/>
    <col min="10" max="10" width="11" customWidth="1"/>
    <col min="12" max="12" width="15.26953125" customWidth="1"/>
    <col min="23" max="23" width="8.7265625" style="118"/>
  </cols>
  <sheetData>
    <row r="1" spans="1:18" ht="15" thickBot="1">
      <c r="B1" s="141" t="s">
        <v>127</v>
      </c>
      <c r="C1" s="142"/>
      <c r="D1" s="142"/>
      <c r="E1" s="142"/>
      <c r="F1" s="142"/>
      <c r="G1" s="142"/>
      <c r="H1" s="142"/>
      <c r="I1" s="143"/>
      <c r="J1" s="35"/>
      <c r="K1" s="35"/>
      <c r="L1" s="35"/>
      <c r="M1" s="35"/>
      <c r="N1" s="35"/>
      <c r="O1" s="35"/>
      <c r="P1" s="35"/>
      <c r="Q1" s="35"/>
      <c r="R1" s="86"/>
    </row>
    <row r="2" spans="1:18">
      <c r="A2" s="144"/>
      <c r="B2" s="145" t="s">
        <v>215</v>
      </c>
      <c r="C2" s="145" t="s">
        <v>34</v>
      </c>
      <c r="D2" s="151" t="s">
        <v>33</v>
      </c>
      <c r="E2" s="61" t="s">
        <v>115</v>
      </c>
      <c r="F2" s="148" t="s">
        <v>152</v>
      </c>
      <c r="G2" s="149"/>
      <c r="H2" s="148" t="s">
        <v>153</v>
      </c>
      <c r="I2" s="150"/>
      <c r="R2" s="87"/>
    </row>
    <row r="3" spans="1:18" ht="58">
      <c r="A3" s="144"/>
      <c r="B3" s="146"/>
      <c r="C3" s="146"/>
      <c r="D3" s="152"/>
      <c r="E3" s="63" t="s">
        <v>349</v>
      </c>
      <c r="F3" s="44" t="s">
        <v>362</v>
      </c>
      <c r="G3" s="44" t="s">
        <v>305</v>
      </c>
      <c r="H3" s="44" t="s">
        <v>306</v>
      </c>
      <c r="I3" s="64" t="s">
        <v>307</v>
      </c>
      <c r="R3" s="87"/>
    </row>
    <row r="4" spans="1:18" ht="15" thickBot="1">
      <c r="A4" s="144"/>
      <c r="B4" s="147"/>
      <c r="C4" s="147"/>
      <c r="D4" s="153"/>
      <c r="E4" s="32" t="s">
        <v>114</v>
      </c>
      <c r="F4" s="32" t="s">
        <v>128</v>
      </c>
      <c r="G4" s="32" t="s">
        <v>114</v>
      </c>
      <c r="H4" s="32" t="s">
        <v>128</v>
      </c>
      <c r="I4" s="33" t="s">
        <v>114</v>
      </c>
      <c r="J4" s="89"/>
      <c r="R4" s="87"/>
    </row>
    <row r="5" spans="1:18" ht="15" thickBot="1">
      <c r="B5" s="108" t="s">
        <v>216</v>
      </c>
      <c r="C5" s="109" t="str" cm="1">
        <f t="array" ref="C5">_xlfn.IFS(
ISNUMBER(SEARCH('Design Values'!$F$65,$B5)),'Design Values'!$D$65,
ISNUMBER(SEARCH('Design Values'!$G$65,$B5)),'Design Values'!$D$65,
ISNUMBER(SEARCH('Design Values'!$F$64,$B5)),'Design Values'!$D$64,
ISNUMBER(SEARCH('Design Values'!$G$64,$B5)),'Design Values'!$D$64,
ISNUMBER(SEARCH('Design Values'!$F$63,$B5)),'Design Values'!$D$63,
ISNUMBER(SEARCH('Design Values'!$G$63,$B5)),'Design Values'!$D$63,
ISNUMBER(SEARCH('Design Values'!$F$62,$B5)),'Design Values'!$D$62,
ISNUMBER(SEARCH('Design Values'!$G$62,$B5)),'Design Values'!$D$62,
ISNUMBER(SEARCH('Design Values'!$F$61,$B5)),'Design Values'!$D$61,
ISNUMBER(SEARCH('Design Values'!$G$61,$B5)),'Design Values'!$D$61,
ISNUMBER(SEARCH('Design Values'!$F$60,$B5)),'Design Values'!$D$60,
ISNUMBER(SEARCH('Design Values'!$G$60,$B5)),'Design Values'!$D$60,
TRUE,"N/A")</f>
        <v>Permanent</v>
      </c>
      <c r="D5" s="110" cm="1">
        <f t="array" ref="D5">_xlfn.SWITCH('Member Checks'!C5,"Permanent", 0.9, "Ten years", 1, "Two months", 1.15, "Seven days", 1.25, "Ten minutes", 1.6, Impact, 2)</f>
        <v>0.9</v>
      </c>
      <c r="E5" s="111">
        <v>-37</v>
      </c>
      <c r="F5" s="111">
        <v>66</v>
      </c>
      <c r="G5" s="111">
        <v>8</v>
      </c>
      <c r="H5" s="111">
        <v>3</v>
      </c>
      <c r="I5" s="112">
        <v>1</v>
      </c>
      <c r="J5" s="6"/>
      <c r="K5" s="6"/>
      <c r="L5" s="6"/>
      <c r="M5" s="6"/>
      <c r="N5" s="6"/>
      <c r="O5" s="6"/>
      <c r="P5" s="6"/>
      <c r="Q5" s="6"/>
      <c r="R5" s="107"/>
    </row>
    <row r="6" spans="1:18">
      <c r="B6" s="88" t="s">
        <v>92</v>
      </c>
      <c r="E6" s="3"/>
      <c r="R6" s="87"/>
    </row>
    <row r="7" spans="1:18">
      <c r="B7" s="89"/>
      <c r="C7" s="1" t="s">
        <v>58</v>
      </c>
      <c r="D7" s="3" t="s">
        <v>35</v>
      </c>
      <c r="E7" s="90" t="str">
        <f>'Design Values'!F3</f>
        <v>Southern Pine</v>
      </c>
      <c r="G7" s="9"/>
      <c r="H7" s="9"/>
      <c r="J7" s="8" t="s">
        <v>116</v>
      </c>
      <c r="L7" s="1"/>
      <c r="M7" s="91"/>
      <c r="N7" s="22"/>
      <c r="R7" s="87"/>
    </row>
    <row r="8" spans="1:18">
      <c r="B8" s="89"/>
      <c r="C8" s="1" t="s">
        <v>93</v>
      </c>
      <c r="D8" s="3" t="s">
        <v>35</v>
      </c>
      <c r="E8" s="92" t="str">
        <f>'Design Values'!F4</f>
        <v>24F-1.7E (24F-V1) Table 5A</v>
      </c>
      <c r="H8" s="22"/>
      <c r="K8" s="1" t="s">
        <v>91</v>
      </c>
      <c r="L8" s="3" t="s">
        <v>35</v>
      </c>
      <c r="M8" s="92">
        <f>'Design Values'!$F$10</f>
        <v>40.75</v>
      </c>
      <c r="N8" s="23" t="s">
        <v>63</v>
      </c>
      <c r="R8" s="87"/>
    </row>
    <row r="9" spans="1:18">
      <c r="B9" s="89"/>
      <c r="C9" s="1" t="s">
        <v>94</v>
      </c>
      <c r="D9" s="3" t="s">
        <v>35</v>
      </c>
      <c r="E9" s="92">
        <f>'Design Values'!F5</f>
        <v>0</v>
      </c>
      <c r="G9" s="22"/>
      <c r="H9" s="22"/>
      <c r="K9" s="1" t="s">
        <v>367</v>
      </c>
      <c r="L9" s="3" t="s">
        <v>35</v>
      </c>
      <c r="M9" s="92">
        <f>'Design Values'!$F$11</f>
        <v>40.75</v>
      </c>
      <c r="N9" s="23" t="s">
        <v>63</v>
      </c>
      <c r="R9" s="87"/>
    </row>
    <row r="10" spans="1:18">
      <c r="B10" s="89"/>
      <c r="D10" s="1"/>
      <c r="E10" s="91"/>
      <c r="F10" s="22"/>
      <c r="G10" s="22"/>
      <c r="H10" s="22"/>
      <c r="K10" s="1" t="s">
        <v>368</v>
      </c>
      <c r="L10" s="3" t="s">
        <v>35</v>
      </c>
      <c r="M10" s="92">
        <f>'Design Values'!$F$12</f>
        <v>0.1</v>
      </c>
      <c r="N10" s="23" t="s">
        <v>63</v>
      </c>
      <c r="R10" s="87"/>
    </row>
    <row r="11" spans="1:18" hidden="1">
      <c r="B11" s="89"/>
      <c r="G11" s="22"/>
      <c r="H11" s="22"/>
      <c r="K11" s="1" t="s">
        <v>325</v>
      </c>
      <c r="L11" s="3" t="s">
        <v>35</v>
      </c>
      <c r="M11" s="92">
        <f>'Design Values'!F16</f>
        <v>6.1630000000000003</v>
      </c>
      <c r="N11" s="23" t="s">
        <v>63</v>
      </c>
      <c r="R11" s="87"/>
    </row>
    <row r="12" spans="1:18" hidden="1">
      <c r="B12" s="89"/>
      <c r="G12" s="22"/>
      <c r="K12" s="1" t="s">
        <v>326</v>
      </c>
      <c r="L12" s="3" t="s">
        <v>35</v>
      </c>
      <c r="M12" s="92">
        <f>'Design Values'!F17</f>
        <v>72.422499999999999</v>
      </c>
      <c r="N12" s="23" t="s">
        <v>63</v>
      </c>
      <c r="R12" s="87"/>
    </row>
    <row r="13" spans="1:18">
      <c r="B13" s="89"/>
      <c r="G13" s="23"/>
      <c r="K13" s="1" t="s">
        <v>95</v>
      </c>
      <c r="L13" s="3" t="s">
        <v>35</v>
      </c>
      <c r="M13" s="92">
        <f>'Design Values'!$F$18</f>
        <v>0</v>
      </c>
      <c r="N13" s="23" t="s">
        <v>64</v>
      </c>
      <c r="R13" s="87"/>
    </row>
    <row r="14" spans="1:18">
      <c r="B14" s="89"/>
      <c r="G14" s="23"/>
      <c r="K14" s="1" t="s">
        <v>86</v>
      </c>
      <c r="L14" s="3" t="s">
        <v>35</v>
      </c>
      <c r="M14" s="90" t="str">
        <f>'Design Values'!$F$20</f>
        <v>x-x</v>
      </c>
      <c r="N14" s="9"/>
      <c r="R14" s="87"/>
    </row>
    <row r="15" spans="1:18" hidden="1">
      <c r="B15" s="89"/>
      <c r="G15" s="23"/>
      <c r="K15" s="1" t="s">
        <v>87</v>
      </c>
      <c r="L15" s="3" t="s">
        <v>35</v>
      </c>
      <c r="M15" s="92">
        <f>'Design Values'!$F$21</f>
        <v>16</v>
      </c>
      <c r="N15" s="9"/>
      <c r="R15" s="87"/>
    </row>
    <row r="16" spans="1:18" hidden="1">
      <c r="B16" s="89"/>
      <c r="G16" s="23"/>
      <c r="K16" s="1" t="s">
        <v>96</v>
      </c>
      <c r="L16" s="3" t="s">
        <v>35</v>
      </c>
      <c r="M16" s="92">
        <f>'Design Values'!$F$22</f>
        <v>1.5</v>
      </c>
      <c r="N16" s="20" t="s">
        <v>64</v>
      </c>
      <c r="R16" s="87"/>
    </row>
    <row r="17" spans="2:19" ht="15" thickBot="1">
      <c r="B17" s="138" t="s">
        <v>136</v>
      </c>
      <c r="C17" s="139"/>
      <c r="D17" s="139"/>
      <c r="E17" s="139"/>
      <c r="F17" s="139"/>
      <c r="G17" s="139"/>
      <c r="H17" s="139"/>
      <c r="I17" s="139"/>
      <c r="J17" s="139"/>
      <c r="K17" s="139"/>
      <c r="L17" s="139"/>
      <c r="M17" s="139"/>
      <c r="N17" s="139"/>
      <c r="O17" s="139"/>
      <c r="P17" s="139"/>
      <c r="Q17" s="139"/>
      <c r="R17" s="140"/>
      <c r="S17" s="8"/>
    </row>
    <row r="18" spans="2:19">
      <c r="B18" s="88" t="s">
        <v>369</v>
      </c>
      <c r="C18" s="93"/>
      <c r="J18" s="80" t="s">
        <v>257</v>
      </c>
      <c r="K18" s="93"/>
      <c r="R18" s="87"/>
    </row>
    <row r="19" spans="2:19">
      <c r="B19" s="88" t="s">
        <v>116</v>
      </c>
      <c r="D19" s="1"/>
      <c r="E19" s="91"/>
      <c r="F19" s="22"/>
      <c r="J19" s="80" t="s">
        <v>258</v>
      </c>
      <c r="L19" s="1"/>
      <c r="M19" s="91"/>
      <c r="N19" s="22"/>
      <c r="O19" s="22"/>
      <c r="P19" s="22"/>
      <c r="R19" s="87"/>
    </row>
    <row r="20" spans="2:19">
      <c r="B20" s="89"/>
      <c r="C20" s="1" t="s">
        <v>89</v>
      </c>
      <c r="D20" s="3" t="s">
        <v>35</v>
      </c>
      <c r="E20" s="92">
        <f>'Design Values'!$F$8</f>
        <v>8.5</v>
      </c>
      <c r="F20" s="23" t="s">
        <v>64</v>
      </c>
      <c r="J20" s="81"/>
      <c r="K20" s="1" t="s">
        <v>89</v>
      </c>
      <c r="L20" s="3" t="s">
        <v>35</v>
      </c>
      <c r="M20" s="94">
        <f>'Design Values'!$Q$21</f>
        <v>4.9000000000000004</v>
      </c>
      <c r="N20" s="23" t="s">
        <v>64</v>
      </c>
      <c r="O20" s="23"/>
      <c r="R20" s="87"/>
    </row>
    <row r="21" spans="2:19">
      <c r="B21" s="89"/>
      <c r="C21" s="1" t="s">
        <v>90</v>
      </c>
      <c r="D21" s="3" t="s">
        <v>35</v>
      </c>
      <c r="E21" s="92">
        <f>'Design Values'!$F$9</f>
        <v>24</v>
      </c>
      <c r="F21" s="23" t="s">
        <v>64</v>
      </c>
      <c r="J21" s="81"/>
      <c r="K21" s="1" t="s">
        <v>90</v>
      </c>
      <c r="L21" s="3" t="s">
        <v>35</v>
      </c>
      <c r="M21" s="94">
        <f>'Design Values'!$Q$22</f>
        <v>20.399999999999999</v>
      </c>
      <c r="N21" s="23" t="s">
        <v>64</v>
      </c>
      <c r="O21" s="23"/>
      <c r="R21" s="87"/>
    </row>
    <row r="22" spans="2:19">
      <c r="B22" s="89"/>
      <c r="J22" s="81"/>
      <c r="R22" s="87"/>
    </row>
    <row r="23" spans="2:19">
      <c r="B23" s="88" t="s">
        <v>144</v>
      </c>
      <c r="J23" s="80" t="s">
        <v>144</v>
      </c>
      <c r="R23" s="87"/>
    </row>
    <row r="24" spans="2:19" ht="16.5">
      <c r="B24" s="88"/>
      <c r="C24" s="1" t="s">
        <v>117</v>
      </c>
      <c r="D24" s="3" t="s">
        <v>35</v>
      </c>
      <c r="E24" s="92">
        <f>$E$20*$E$21</f>
        <v>204</v>
      </c>
      <c r="F24" t="s">
        <v>124</v>
      </c>
      <c r="J24" s="80"/>
      <c r="K24" s="1" t="s">
        <v>117</v>
      </c>
      <c r="L24" s="3" t="s">
        <v>35</v>
      </c>
      <c r="M24" s="94">
        <f>$M$20*$M$21</f>
        <v>99.96</v>
      </c>
      <c r="N24" t="s">
        <v>124</v>
      </c>
      <c r="R24" s="87"/>
    </row>
    <row r="25" spans="2:19" ht="16.5">
      <c r="B25" s="88"/>
      <c r="C25" s="1" t="s">
        <v>118</v>
      </c>
      <c r="D25" s="3" t="s">
        <v>35</v>
      </c>
      <c r="E25" s="95">
        <f>IF($M$14="x-x", 1/12*$E$20*$E$21^3, 1/12*$E$21*$E$20^3)</f>
        <v>9791.9999999999982</v>
      </c>
      <c r="F25" t="s">
        <v>125</v>
      </c>
      <c r="J25" s="80"/>
      <c r="K25" s="1" t="s">
        <v>118</v>
      </c>
      <c r="L25" s="3" t="s">
        <v>35</v>
      </c>
      <c r="M25" s="95">
        <f>IF($M$14="x-x", 1/12*$M$20*$M$21^3, 1/12*$M$21*$M$20^3)</f>
        <v>3466.6127999999994</v>
      </c>
      <c r="N25" t="s">
        <v>125</v>
      </c>
      <c r="R25" s="87"/>
    </row>
    <row r="26" spans="2:19" ht="16.5">
      <c r="B26" s="88"/>
      <c r="C26" s="1" t="s">
        <v>119</v>
      </c>
      <c r="D26" s="3" t="s">
        <v>35</v>
      </c>
      <c r="E26" s="96">
        <f>IF($M$14="x-x", 1/6*$E$20*$E$21^2, 1/6*$E$21*$E$20^2)</f>
        <v>815.99999999999989</v>
      </c>
      <c r="F26" t="s">
        <v>126</v>
      </c>
      <c r="J26" s="80"/>
      <c r="K26" s="1" t="s">
        <v>119</v>
      </c>
      <c r="L26" s="3" t="s">
        <v>35</v>
      </c>
      <c r="M26" s="96">
        <f>IF($M$14="x-x", 1/6*$M$20*$M$21^2, 1/6*$M$21*$M$20^2)</f>
        <v>339.86399999999998</v>
      </c>
      <c r="N26" t="s">
        <v>126</v>
      </c>
      <c r="R26" s="87"/>
    </row>
    <row r="27" spans="2:19">
      <c r="B27" s="89"/>
      <c r="C27" s="1" t="s">
        <v>120</v>
      </c>
      <c r="D27" s="3" t="s">
        <v>35</v>
      </c>
      <c r="E27" s="97">
        <f>SQRT($E$25/$E$24)</f>
        <v>6.9282032302755088</v>
      </c>
      <c r="F27" t="s">
        <v>64</v>
      </c>
      <c r="J27" s="81"/>
      <c r="K27" s="1" t="s">
        <v>120</v>
      </c>
      <c r="L27" s="3" t="s">
        <v>35</v>
      </c>
      <c r="M27" s="97">
        <f>SQRT($M$25/$M$24)</f>
        <v>5.8889727457341827</v>
      </c>
      <c r="N27" t="s">
        <v>64</v>
      </c>
      <c r="R27" s="87"/>
    </row>
    <row r="28" spans="2:19" ht="16.5">
      <c r="B28" s="89"/>
      <c r="C28" s="1" t="s">
        <v>121</v>
      </c>
      <c r="D28" s="3" t="s">
        <v>35</v>
      </c>
      <c r="E28" s="95">
        <f>IF($M$14="y-y", 1/12*$E$20*$E$21^3, 1/12*$E$21*$E$20^3)</f>
        <v>1228.25</v>
      </c>
      <c r="F28" t="s">
        <v>125</v>
      </c>
      <c r="J28" s="81"/>
      <c r="K28" s="1" t="s">
        <v>121</v>
      </c>
      <c r="L28" s="3" t="s">
        <v>35</v>
      </c>
      <c r="M28" s="95">
        <f>IF($M$14="y-y", 1/12*$M$20*$M$21^3, 1/12*$M$21*$M$20^3)</f>
        <v>200.00330000000002</v>
      </c>
      <c r="N28" t="s">
        <v>125</v>
      </c>
      <c r="R28" s="87"/>
    </row>
    <row r="29" spans="2:19" ht="16.5">
      <c r="B29" s="89"/>
      <c r="C29" s="1" t="s">
        <v>122</v>
      </c>
      <c r="D29" s="3" t="s">
        <v>35</v>
      </c>
      <c r="E29" s="96">
        <f>IF($M$14="y-y", 1/6*$E$20*$E$21^2, 1/6*$E$21*$E$20^2)</f>
        <v>289</v>
      </c>
      <c r="F29" t="s">
        <v>126</v>
      </c>
      <c r="J29" s="81"/>
      <c r="K29" s="1" t="s">
        <v>122</v>
      </c>
      <c r="L29" s="3" t="s">
        <v>35</v>
      </c>
      <c r="M29" s="96">
        <f>IF($M$14="y-y", 1/6*$M$20*$M$21^2, 1/6*$M$21*$M$20^2)</f>
        <v>81.634</v>
      </c>
      <c r="N29" t="s">
        <v>126</v>
      </c>
      <c r="R29" s="87"/>
    </row>
    <row r="30" spans="2:19">
      <c r="B30" s="89"/>
      <c r="C30" s="1" t="s">
        <v>123</v>
      </c>
      <c r="D30" s="3" t="s">
        <v>35</v>
      </c>
      <c r="E30" s="97">
        <f>SQRT($E$28/$E$24)</f>
        <v>2.4537386440559095</v>
      </c>
      <c r="F30" t="s">
        <v>64</v>
      </c>
      <c r="J30" s="81"/>
      <c r="K30" s="1" t="s">
        <v>123</v>
      </c>
      <c r="L30" s="3" t="s">
        <v>35</v>
      </c>
      <c r="M30" s="97">
        <f>SQRT($M$28/$M$24)</f>
        <v>1.4145081595145834</v>
      </c>
      <c r="N30" t="s">
        <v>64</v>
      </c>
      <c r="R30" s="87"/>
    </row>
    <row r="31" spans="2:19">
      <c r="B31" s="89"/>
      <c r="J31" s="82"/>
      <c r="K31" s="26"/>
      <c r="R31" s="87"/>
    </row>
    <row r="32" spans="2:19">
      <c r="B32" s="98" t="s">
        <v>141</v>
      </c>
      <c r="F32" s="99" t="s">
        <v>363</v>
      </c>
      <c r="J32" s="83" t="s">
        <v>141</v>
      </c>
      <c r="N32" s="99" t="s">
        <v>181</v>
      </c>
      <c r="R32" s="87"/>
    </row>
    <row r="33" spans="2:18" ht="16.5">
      <c r="B33" s="100" t="s">
        <v>130</v>
      </c>
      <c r="C33" s="20">
        <f>'Design Values'!Q12</f>
        <v>1</v>
      </c>
      <c r="F33" s="1" t="s">
        <v>147</v>
      </c>
      <c r="G33" s="25">
        <f>ABS($F$5)*1000*12/$E$26</f>
        <v>970.58823529411779</v>
      </c>
      <c r="H33" t="s">
        <v>104</v>
      </c>
      <c r="J33" s="82" t="s">
        <v>130</v>
      </c>
      <c r="K33">
        <f>C33</f>
        <v>1</v>
      </c>
      <c r="N33" s="1" t="s">
        <v>147</v>
      </c>
      <c r="O33" s="25">
        <f>ABS($F$5)*1000*12/$M$26</f>
        <v>2330.3439022667894</v>
      </c>
      <c r="P33" t="s">
        <v>104</v>
      </c>
      <c r="R33" s="87"/>
    </row>
    <row r="34" spans="2:18" ht="17.5">
      <c r="B34" s="100" t="s">
        <v>132</v>
      </c>
      <c r="C34" s="20">
        <f>$C$33*$E$24</f>
        <v>204</v>
      </c>
      <c r="D34" t="s">
        <v>124</v>
      </c>
      <c r="F34" s="1" t="s">
        <v>148</v>
      </c>
      <c r="G34" s="24">
        <f>Fbxp</f>
        <v>1147.988074656598</v>
      </c>
      <c r="H34" t="s">
        <v>104</v>
      </c>
      <c r="J34" s="82" t="s">
        <v>132</v>
      </c>
      <c r="K34" s="71">
        <f>$K$33*$M$24</f>
        <v>99.96</v>
      </c>
      <c r="L34" t="s">
        <v>124</v>
      </c>
      <c r="N34" s="1" t="s">
        <v>148</v>
      </c>
      <c r="O34" s="24">
        <f>Fbxf</f>
        <v>4544.119462182367</v>
      </c>
      <c r="P34" t="s">
        <v>104</v>
      </c>
      <c r="R34" s="87"/>
    </row>
    <row r="35" spans="2:18">
      <c r="B35" s="89"/>
      <c r="F35" s="1" t="s">
        <v>186</v>
      </c>
      <c r="G35" s="26">
        <f>G33/G34</f>
        <v>0.84546891794538326</v>
      </c>
      <c r="J35" s="81"/>
      <c r="N35" s="1" t="s">
        <v>186</v>
      </c>
      <c r="O35" s="26">
        <f>O33/O34</f>
        <v>0.51282628497350602</v>
      </c>
      <c r="R35" s="87"/>
    </row>
    <row r="36" spans="2:18">
      <c r="B36" s="89"/>
      <c r="J36" s="81"/>
      <c r="R36" s="87"/>
    </row>
    <row r="37" spans="2:18">
      <c r="B37" s="98" t="s">
        <v>158</v>
      </c>
      <c r="F37" s="99" t="s">
        <v>182</v>
      </c>
      <c r="J37" s="83" t="s">
        <v>158</v>
      </c>
      <c r="N37" s="99" t="s">
        <v>182</v>
      </c>
      <c r="R37" s="87"/>
    </row>
    <row r="38" spans="2:18">
      <c r="B38" s="100" t="s">
        <v>133</v>
      </c>
      <c r="C38" s="24">
        <f>IF($E$5&lt;0,-E$5,0)*1000/$C$34</f>
        <v>181.37254901960785</v>
      </c>
      <c r="D38" t="s">
        <v>104</v>
      </c>
      <c r="F38" s="1" t="s">
        <v>149</v>
      </c>
      <c r="G38" s="25">
        <f>ABS($H$5)*1000*12/$E$29</f>
        <v>124.5674740484429</v>
      </c>
      <c r="H38" t="s">
        <v>104</v>
      </c>
      <c r="J38" s="82" t="s">
        <v>133</v>
      </c>
      <c r="K38" s="24">
        <f>IF($E$5&lt;0,-E$5,0)*1000/$K$34</f>
        <v>370.14805922368947</v>
      </c>
      <c r="L38" t="s">
        <v>104</v>
      </c>
      <c r="N38" s="1" t="s">
        <v>149</v>
      </c>
      <c r="O38" s="25">
        <f>ABS($H$5)*1000*12/$M$29</f>
        <v>440.99272362006025</v>
      </c>
      <c r="P38" t="s">
        <v>104</v>
      </c>
      <c r="R38" s="87"/>
    </row>
    <row r="39" spans="2:18">
      <c r="B39" s="100" t="s">
        <v>134</v>
      </c>
      <c r="C39" s="24">
        <f>Fcp</f>
        <v>944.63503754238548</v>
      </c>
      <c r="D39" t="s">
        <v>104</v>
      </c>
      <c r="F39" s="1" t="s">
        <v>150</v>
      </c>
      <c r="G39" s="24">
        <f>Fbyp</f>
        <v>1084.0212176252689</v>
      </c>
      <c r="H39" t="s">
        <v>104</v>
      </c>
      <c r="J39" s="82" t="s">
        <v>134</v>
      </c>
      <c r="K39" s="24">
        <f>Fcf</f>
        <v>2102.2938933354221</v>
      </c>
      <c r="L39" t="s">
        <v>104</v>
      </c>
      <c r="N39" s="1" t="s">
        <v>150</v>
      </c>
      <c r="O39" s="24">
        <f>Fbyf</f>
        <v>4284.1918498405876</v>
      </c>
      <c r="P39" t="s">
        <v>104</v>
      </c>
      <c r="R39" s="87"/>
    </row>
    <row r="40" spans="2:18">
      <c r="B40" s="100" t="s">
        <v>186</v>
      </c>
      <c r="C40" s="26">
        <f>C38/C39</f>
        <v>0.1920027754755706</v>
      </c>
      <c r="F40" s="1" t="s">
        <v>186</v>
      </c>
      <c r="G40" s="26">
        <f>G38/G39</f>
        <v>0.11491239472353589</v>
      </c>
      <c r="J40" s="82" t="s">
        <v>186</v>
      </c>
      <c r="K40" s="26">
        <f>K38/K39</f>
        <v>0.17606865548014611</v>
      </c>
      <c r="N40" s="1" t="s">
        <v>186</v>
      </c>
      <c r="O40" s="26">
        <f>O38/O39</f>
        <v>0.10293486824976555</v>
      </c>
      <c r="R40" s="87"/>
    </row>
    <row r="41" spans="2:18">
      <c r="B41" s="89"/>
      <c r="J41" s="81"/>
      <c r="R41" s="87"/>
    </row>
    <row r="42" spans="2:18">
      <c r="B42" s="98" t="s">
        <v>139</v>
      </c>
      <c r="F42" s="101" t="s">
        <v>151</v>
      </c>
      <c r="J42" s="83" t="s">
        <v>139</v>
      </c>
      <c r="N42" s="101" t="s">
        <v>151</v>
      </c>
      <c r="R42" s="87"/>
    </row>
    <row r="43" spans="2:18">
      <c r="B43" s="100" t="s">
        <v>131</v>
      </c>
      <c r="C43" s="102">
        <f>IF(E5&gt;0,$E$5,0)*1000/$C$34</f>
        <v>0</v>
      </c>
      <c r="D43" t="s">
        <v>104</v>
      </c>
      <c r="F43" s="1" t="s">
        <v>137</v>
      </c>
      <c r="G43" s="25">
        <f>IF($M$14="x-x", 3*ABS($G$5)*1000/(2*$E$20*$E$21), 3*1000*ABS($I$5)/(2*$E$20*$E$21))</f>
        <v>58.823529411764703</v>
      </c>
      <c r="H43" t="s">
        <v>104</v>
      </c>
      <c r="J43" s="82" t="s">
        <v>131</v>
      </c>
      <c r="K43" s="102">
        <f>IF($E$5&gt;0,E$5,0)*1000/$K$34</f>
        <v>0</v>
      </c>
      <c r="L43" t="s">
        <v>104</v>
      </c>
      <c r="N43" s="1" t="s">
        <v>137</v>
      </c>
      <c r="O43" s="25">
        <f>IF($M$14="x-x", 3*ABS($G$5)*1000/(2*$M$20*$M$21), 3*1000*ABS($I$5)/(2*$M$20*$M$21))</f>
        <v>120.04801920768308</v>
      </c>
      <c r="P43" t="s">
        <v>104</v>
      </c>
      <c r="R43" s="87"/>
    </row>
    <row r="44" spans="2:18">
      <c r="B44" s="100" t="s">
        <v>135</v>
      </c>
      <c r="C44" s="24">
        <f>Ftp</f>
        <v>891</v>
      </c>
      <c r="D44" t="s">
        <v>104</v>
      </c>
      <c r="F44" s="1" t="s">
        <v>138</v>
      </c>
      <c r="G44" s="24">
        <f>IF($M$14="x-x",Fvxp,Fvyp)</f>
        <v>216</v>
      </c>
      <c r="H44" t="s">
        <v>104</v>
      </c>
      <c r="J44" s="82" t="s">
        <v>135</v>
      </c>
      <c r="K44" s="24">
        <f>Ftf</f>
        <v>3135</v>
      </c>
      <c r="L44" t="s">
        <v>104</v>
      </c>
      <c r="N44" s="1" t="s">
        <v>138</v>
      </c>
      <c r="O44" s="24">
        <f>IF($M$14="x-x",Fvxf,Fvyf)</f>
        <v>825</v>
      </c>
      <c r="P44" t="s">
        <v>104</v>
      </c>
      <c r="R44" s="87"/>
    </row>
    <row r="45" spans="2:18">
      <c r="B45" s="100" t="s">
        <v>186</v>
      </c>
      <c r="C45" s="26">
        <f>C43/C44</f>
        <v>0</v>
      </c>
      <c r="F45" s="1" t="s">
        <v>186</v>
      </c>
      <c r="G45" s="26">
        <f>G43/G44</f>
        <v>0.27233115468409586</v>
      </c>
      <c r="J45" s="82" t="s">
        <v>186</v>
      </c>
      <c r="K45" s="26">
        <f>K43/K44</f>
        <v>0</v>
      </c>
      <c r="N45" s="1" t="s">
        <v>186</v>
      </c>
      <c r="O45" s="26">
        <f>O43/O44</f>
        <v>0.14551275055476737</v>
      </c>
      <c r="R45" s="87"/>
    </row>
    <row r="46" spans="2:18">
      <c r="B46" s="89"/>
      <c r="J46" s="81"/>
      <c r="R46" s="87"/>
    </row>
    <row r="47" spans="2:18">
      <c r="B47" s="98" t="s">
        <v>142</v>
      </c>
      <c r="J47" s="83" t="s">
        <v>142</v>
      </c>
      <c r="R47" s="87"/>
    </row>
    <row r="48" spans="2:18">
      <c r="B48" s="89"/>
      <c r="J48" s="81"/>
      <c r="R48" s="87"/>
    </row>
    <row r="49" spans="2:22">
      <c r="B49" s="100" t="s">
        <v>183</v>
      </c>
      <c r="C49" s="24">
        <f>Fbxp/'Design Values'!$I$29</f>
        <v>1149.8729299203942</v>
      </c>
      <c r="D49" t="s">
        <v>104</v>
      </c>
      <c r="F49" t="s">
        <v>209</v>
      </c>
      <c r="J49" s="82" t="s">
        <v>183</v>
      </c>
      <c r="K49" s="24">
        <f>Fbxf/'Design Values'!$I$43</f>
        <v>4648.684387722371</v>
      </c>
      <c r="L49" t="s">
        <v>104</v>
      </c>
      <c r="N49" t="s">
        <v>209</v>
      </c>
      <c r="R49" s="87"/>
    </row>
    <row r="50" spans="2:22">
      <c r="B50" s="100" t="s">
        <v>184</v>
      </c>
      <c r="C50" s="24">
        <f>Fbxp/'Design Values'!$J$29</f>
        <v>1260</v>
      </c>
      <c r="D50" t="s">
        <v>104</v>
      </c>
      <c r="F50" s="1" t="s">
        <v>186</v>
      </c>
      <c r="G50" s="26">
        <f>$C$43/Ftp+$G$33/$C$49+$G$38/$C$51</f>
        <v>0.95891529456195657</v>
      </c>
      <c r="H50" t="s">
        <v>212</v>
      </c>
      <c r="J50" s="82" t="s">
        <v>184</v>
      </c>
      <c r="K50" s="24">
        <f>Fbxf/'Design Values'!$G$43</f>
        <v>4987.5</v>
      </c>
      <c r="L50" t="s">
        <v>104</v>
      </c>
      <c r="N50" s="1" t="s">
        <v>186</v>
      </c>
      <c r="O50" s="26">
        <f>$K$43/Ftf+$O$33/$K$49+$O$38/$K$51</f>
        <v>0.60399291397167176</v>
      </c>
      <c r="P50" t="s">
        <v>212</v>
      </c>
      <c r="R50" s="87"/>
    </row>
    <row r="51" spans="2:22">
      <c r="B51" s="100" t="s">
        <v>185</v>
      </c>
      <c r="C51" s="24">
        <f>Fbyp/'Design Values'!$I$30</f>
        <v>1084.7777193528434</v>
      </c>
      <c r="D51" t="s">
        <v>104</v>
      </c>
      <c r="F51" t="s">
        <v>210</v>
      </c>
      <c r="I51" s="1"/>
      <c r="J51" s="117" t="s">
        <v>185</v>
      </c>
      <c r="K51" s="24">
        <f>Fbyf/'Design Values'!$I$44</f>
        <v>4293.9118057716723</v>
      </c>
      <c r="L51" t="s">
        <v>104</v>
      </c>
      <c r="N51" t="s">
        <v>210</v>
      </c>
      <c r="R51" s="87"/>
    </row>
    <row r="52" spans="2:22">
      <c r="B52" s="100" t="s">
        <v>150</v>
      </c>
      <c r="C52" s="24">
        <f>Fbyp</f>
        <v>1084.0212176252689</v>
      </c>
      <c r="D52" t="s">
        <v>104</v>
      </c>
      <c r="F52" s="113" t="s">
        <v>186</v>
      </c>
      <c r="G52" s="26">
        <f>($G$33-$C$43)/$C$50+($G$38-$C$43)/$C$52</f>
        <v>0.88522051797283574</v>
      </c>
      <c r="H52" t="s">
        <v>211</v>
      </c>
      <c r="I52" s="1"/>
      <c r="J52" s="82" t="s">
        <v>150</v>
      </c>
      <c r="K52" s="24">
        <f>Fbyf</f>
        <v>4284.1918498405876</v>
      </c>
      <c r="L52" t="s">
        <v>104</v>
      </c>
      <c r="N52" s="113" t="s">
        <v>186</v>
      </c>
      <c r="O52" s="26">
        <f>($O$33-$K$43)/$K$50+($O$38-$K$43)/$K$52</f>
        <v>0.57017174088471079</v>
      </c>
      <c r="P52" t="s">
        <v>211</v>
      </c>
      <c r="R52" s="87"/>
    </row>
    <row r="53" spans="2:22">
      <c r="B53" s="89"/>
      <c r="F53" s="1"/>
      <c r="G53" s="26"/>
      <c r="J53" s="81"/>
      <c r="N53" s="1"/>
      <c r="O53" s="26"/>
      <c r="R53" s="87"/>
    </row>
    <row r="54" spans="2:22">
      <c r="B54" s="103" t="s">
        <v>322</v>
      </c>
      <c r="J54" s="84" t="s">
        <v>159</v>
      </c>
      <c r="R54" s="87"/>
    </row>
    <row r="55" spans="2:22">
      <c r="B55" s="100" t="s">
        <v>189</v>
      </c>
      <c r="C55">
        <f>IF($M$14="x-x",$E$21,$E$20)</f>
        <v>24</v>
      </c>
      <c r="D55" t="s">
        <v>64</v>
      </c>
      <c r="F55" s="1" t="s">
        <v>190</v>
      </c>
      <c r="G55">
        <f>IF($M$14="y-y",$E$21,$E$20)</f>
        <v>8.5</v>
      </c>
      <c r="H55" t="s">
        <v>64</v>
      </c>
      <c r="J55" s="82" t="s">
        <v>270</v>
      </c>
      <c r="K55" s="26">
        <f>IF($M$14="x-x",$M$21,$M$20)</f>
        <v>20.399999999999999</v>
      </c>
      <c r="L55" t="s">
        <v>64</v>
      </c>
      <c r="N55" s="1" t="s">
        <v>271</v>
      </c>
      <c r="O55" s="26">
        <f>IF($M$14="y-y",$M$21,$M$20)</f>
        <v>4.9000000000000004</v>
      </c>
      <c r="P55" t="s">
        <v>64</v>
      </c>
      <c r="R55" s="87"/>
    </row>
    <row r="56" spans="2:22">
      <c r="B56" s="100" t="s">
        <v>191</v>
      </c>
      <c r="C56">
        <f>$M$9</f>
        <v>40.75</v>
      </c>
      <c r="D56" t="s">
        <v>63</v>
      </c>
      <c r="F56" s="1" t="s">
        <v>192</v>
      </c>
      <c r="G56">
        <f>$M$10</f>
        <v>0.1</v>
      </c>
      <c r="H56" t="s">
        <v>63</v>
      </c>
      <c r="J56" s="82" t="s">
        <v>191</v>
      </c>
      <c r="K56">
        <f>$M$9</f>
        <v>40.75</v>
      </c>
      <c r="L56" t="s">
        <v>63</v>
      </c>
      <c r="N56" s="1" t="s">
        <v>192</v>
      </c>
      <c r="O56">
        <f>$M$10</f>
        <v>0.1</v>
      </c>
      <c r="P56" t="s">
        <v>63</v>
      </c>
      <c r="R56" s="87"/>
    </row>
    <row r="57" spans="2:22">
      <c r="B57" s="100" t="s">
        <v>195</v>
      </c>
      <c r="C57" s="27">
        <f>C56*12/C55</f>
        <v>20.375</v>
      </c>
      <c r="F57" s="1" t="s">
        <v>196</v>
      </c>
      <c r="G57" s="27">
        <f>G56*12/G55</f>
        <v>0.14117647058823532</v>
      </c>
      <c r="J57" s="82" t="s">
        <v>272</v>
      </c>
      <c r="K57" s="27">
        <f>K56*12/K55</f>
        <v>23.97058823529412</v>
      </c>
      <c r="N57" s="1" t="s">
        <v>273</v>
      </c>
      <c r="O57" s="27">
        <f>O56*12/O55</f>
        <v>0.24489795918367349</v>
      </c>
      <c r="R57" s="87"/>
    </row>
    <row r="58" spans="2:22">
      <c r="B58" s="100" t="s">
        <v>193</v>
      </c>
      <c r="C58" s="24">
        <f>(0.822*Eminp)/$C$57^2</f>
        <v>1603.842071587188</v>
      </c>
      <c r="D58" t="s">
        <v>104</v>
      </c>
      <c r="F58" s="1" t="s">
        <v>194</v>
      </c>
      <c r="G58" s="24">
        <f>(0.822*Eminp)/$G$57^2</f>
        <v>33406593.749999989</v>
      </c>
      <c r="H58" t="s">
        <v>104</v>
      </c>
      <c r="J58" s="82" t="s">
        <v>268</v>
      </c>
      <c r="K58" s="24">
        <f>FcExf</f>
        <v>2352.3150703451388</v>
      </c>
      <c r="L58" t="s">
        <v>104</v>
      </c>
      <c r="N58" s="1" t="s">
        <v>269</v>
      </c>
      <c r="O58" s="24">
        <f>FcEyf</f>
        <v>22536296.212499995</v>
      </c>
      <c r="P58" t="s">
        <v>104</v>
      </c>
      <c r="R58" s="87"/>
    </row>
    <row r="59" spans="2:22">
      <c r="B59" s="100"/>
      <c r="C59" s="24"/>
      <c r="F59" s="1"/>
      <c r="G59" s="24"/>
      <c r="J59" s="82"/>
      <c r="K59" s="24"/>
      <c r="N59" s="1"/>
      <c r="O59" s="24"/>
      <c r="R59" s="87"/>
    </row>
    <row r="60" spans="2:22">
      <c r="B60" s="104" t="s">
        <v>366</v>
      </c>
      <c r="C60" s="24">
        <f>MAX(C57,G57)</f>
        <v>20.375</v>
      </c>
      <c r="D60" s="1" t="str">
        <f>IF(C57&gt;G57,"X", IF(G57&gt;C57,"Y", "both"))</f>
        <v>X</v>
      </c>
      <c r="E60" t="s">
        <v>197</v>
      </c>
      <c r="F60" s="1"/>
      <c r="G60" s="24"/>
      <c r="J60" s="85" t="s">
        <v>366</v>
      </c>
      <c r="K60" s="24">
        <f>MAX(K57,O57)</f>
        <v>23.97058823529412</v>
      </c>
      <c r="L60" s="1" t="str">
        <f>IF(K57&gt;O57,"X", IF(O57&gt;K57,"Y", "both"))</f>
        <v>X</v>
      </c>
      <c r="M60" t="s">
        <v>197</v>
      </c>
      <c r="N60" s="1"/>
      <c r="O60" s="24"/>
      <c r="R60" s="87"/>
    </row>
    <row r="61" spans="2:22">
      <c r="B61" s="100" t="s">
        <v>133</v>
      </c>
      <c r="C61" s="24">
        <f>C38</f>
        <v>181.37254901960785</v>
      </c>
      <c r="D61" t="s">
        <v>104</v>
      </c>
      <c r="F61" s="1"/>
      <c r="G61" s="24"/>
      <c r="J61" s="82" t="s">
        <v>133</v>
      </c>
      <c r="K61" s="24">
        <f>K38</f>
        <v>370.14805922368947</v>
      </c>
      <c r="L61" t="s">
        <v>104</v>
      </c>
      <c r="N61" s="1"/>
      <c r="O61" s="24"/>
      <c r="R61" s="87"/>
    </row>
    <row r="62" spans="2:22">
      <c r="B62" s="100" t="s">
        <v>353</v>
      </c>
      <c r="C62" s="26">
        <f>C61/C58</f>
        <v>0.11308628962458794</v>
      </c>
      <c r="F62" s="1" t="s">
        <v>354</v>
      </c>
      <c r="G62" s="26">
        <f>C61/G58</f>
        <v>5.4292440102369886E-6</v>
      </c>
      <c r="J62" s="82" t="s">
        <v>353</v>
      </c>
      <c r="K62" s="26">
        <f>K61/K58</f>
        <v>0.15735479651090287</v>
      </c>
      <c r="N62" s="1" t="s">
        <v>354</v>
      </c>
      <c r="O62" s="26">
        <f>K61/O58</f>
        <v>1.6424529378451411E-5</v>
      </c>
      <c r="R62" s="87"/>
    </row>
    <row r="63" spans="2:22" ht="16.5">
      <c r="B63" s="100" t="s">
        <v>198</v>
      </c>
      <c r="C63" s="26">
        <f>'Design Values'!F85</f>
        <v>4.9564805015189677</v>
      </c>
      <c r="F63" s="1" t="s">
        <v>320</v>
      </c>
      <c r="G63" s="26">
        <f>'Design Values'!F86</f>
        <v>3.5811754646112122</v>
      </c>
      <c r="J63" s="82" t="s">
        <v>198</v>
      </c>
      <c r="K63" s="26">
        <f>'Design Values'!P85</f>
        <v>7.9269425479878652</v>
      </c>
      <c r="N63" s="1" t="s">
        <v>198</v>
      </c>
      <c r="O63" s="26">
        <f>'Design Values'!P86</f>
        <v>3.1988601361584372</v>
      </c>
      <c r="R63" s="87"/>
    </row>
    <row r="64" spans="2:22">
      <c r="B64" s="100" t="s">
        <v>199</v>
      </c>
      <c r="C64" s="24">
        <f>'Design Values'!F87</f>
        <v>39565.755313970469</v>
      </c>
      <c r="D64" t="s">
        <v>104</v>
      </c>
      <c r="F64" s="1" t="s">
        <v>200</v>
      </c>
      <c r="G64" s="24">
        <f>1.2*Eminp/$G$63^2</f>
        <v>75790.550954062477</v>
      </c>
      <c r="H64" t="s">
        <v>104</v>
      </c>
      <c r="J64" s="82" t="s">
        <v>262</v>
      </c>
      <c r="K64" s="24">
        <f>'Design Values'!P87</f>
        <v>15468.736577869837</v>
      </c>
      <c r="L64" t="s">
        <v>104</v>
      </c>
      <c r="N64" s="1" t="s">
        <v>263</v>
      </c>
      <c r="O64" s="24">
        <f>'Design Values'!P88</f>
        <v>94989.534907476744</v>
      </c>
      <c r="P64" t="s">
        <v>104</v>
      </c>
      <c r="R64" s="87"/>
      <c r="V64" s="1"/>
    </row>
    <row r="65" spans="2:22">
      <c r="B65" s="100" t="s">
        <v>147</v>
      </c>
      <c r="C65" s="25">
        <f>G33</f>
        <v>970.58823529411779</v>
      </c>
      <c r="D65" t="s">
        <v>104</v>
      </c>
      <c r="F65" s="1" t="s">
        <v>149</v>
      </c>
      <c r="G65" s="25">
        <f>G38</f>
        <v>124.5674740484429</v>
      </c>
      <c r="H65" t="s">
        <v>104</v>
      </c>
      <c r="J65" s="82" t="s">
        <v>147</v>
      </c>
      <c r="K65" s="25">
        <f>O33</f>
        <v>2330.3439022667894</v>
      </c>
      <c r="L65" t="s">
        <v>104</v>
      </c>
      <c r="N65" s="1" t="s">
        <v>149</v>
      </c>
      <c r="O65" s="25">
        <f>O38</f>
        <v>440.99272362006025</v>
      </c>
      <c r="P65" t="s">
        <v>104</v>
      </c>
      <c r="R65" s="87"/>
      <c r="V65" s="1"/>
    </row>
    <row r="66" spans="2:22">
      <c r="B66" s="100" t="s">
        <v>201</v>
      </c>
      <c r="C66" s="26">
        <f>C65/C64</f>
        <v>2.4531017481963954E-2</v>
      </c>
      <c r="F66" s="1" t="s">
        <v>202</v>
      </c>
      <c r="G66" s="26">
        <f>G65/G64</f>
        <v>1.6435752541757438E-3</v>
      </c>
      <c r="J66" s="82" t="s">
        <v>201</v>
      </c>
      <c r="K66" s="26">
        <f>K65/K64</f>
        <v>0.15064862540879181</v>
      </c>
      <c r="N66" s="1" t="s">
        <v>202</v>
      </c>
      <c r="O66" s="26">
        <f>O65/O64</f>
        <v>4.6425400866485257E-3</v>
      </c>
      <c r="R66" s="87"/>
    </row>
    <row r="67" spans="2:22">
      <c r="B67" s="100"/>
      <c r="C67" s="26"/>
      <c r="F67" s="1"/>
      <c r="G67" s="26"/>
      <c r="J67" s="82"/>
      <c r="K67" s="26"/>
      <c r="N67" s="1"/>
      <c r="O67" s="26"/>
      <c r="R67" s="87"/>
    </row>
    <row r="68" spans="2:22">
      <c r="B68" s="100" t="s">
        <v>203</v>
      </c>
      <c r="C68" s="93">
        <f>1-C61/C58</f>
        <v>0.88691371037541211</v>
      </c>
      <c r="D68" t="s">
        <v>204</v>
      </c>
      <c r="F68" s="1" t="s">
        <v>206</v>
      </c>
      <c r="G68" s="25">
        <f>Fbxp</f>
        <v>1147.988074656598</v>
      </c>
      <c r="H68" t="s">
        <v>104</v>
      </c>
      <c r="J68" s="82" t="s">
        <v>203</v>
      </c>
      <c r="K68" s="93">
        <f>1-K61/K58</f>
        <v>0.84264520348909711</v>
      </c>
      <c r="L68" t="s">
        <v>204</v>
      </c>
      <c r="N68" s="1" t="s">
        <v>206</v>
      </c>
      <c r="O68" s="25">
        <f>Fbxf</f>
        <v>4544.119462182367</v>
      </c>
      <c r="P68" t="s">
        <v>104</v>
      </c>
      <c r="R68" s="87"/>
    </row>
    <row r="69" spans="2:22">
      <c r="B69" s="100" t="s">
        <v>208</v>
      </c>
      <c r="C69" s="93">
        <f>1-C61/G58-(C65/C64)^2</f>
        <v>0.99939279993728936</v>
      </c>
      <c r="D69" t="s">
        <v>205</v>
      </c>
      <c r="F69" s="1" t="s">
        <v>207</v>
      </c>
      <c r="G69" s="25">
        <f>Fbyp</f>
        <v>1084.0212176252689</v>
      </c>
      <c r="H69" t="s">
        <v>104</v>
      </c>
      <c r="J69" s="82" t="s">
        <v>208</v>
      </c>
      <c r="K69" s="93">
        <f>1-K61/O58-(K65/K64)^2</f>
        <v>0.97728856713306311</v>
      </c>
      <c r="L69" t="s">
        <v>205</v>
      </c>
      <c r="N69" s="1" t="s">
        <v>207</v>
      </c>
      <c r="O69" s="25">
        <f>Fbyf</f>
        <v>4284.1918498405876</v>
      </c>
      <c r="P69" t="s">
        <v>104</v>
      </c>
      <c r="R69" s="87"/>
    </row>
    <row r="70" spans="2:22">
      <c r="B70" s="100" t="s">
        <v>187</v>
      </c>
      <c r="C70" s="26">
        <f>(C61/Fcp)^2+C65/(G68*C68)+G65/(G69*C69)</f>
        <v>1.1051180503497853</v>
      </c>
      <c r="D70" t="s">
        <v>213</v>
      </c>
      <c r="J70" s="117" t="s">
        <v>187</v>
      </c>
      <c r="K70" s="26">
        <f>(K61/Fcf)^2+K65/(O68*K68)+O65/(O69*K69)</f>
        <v>0.74491816422522406</v>
      </c>
      <c r="L70" t="s">
        <v>213</v>
      </c>
      <c r="R70" s="87"/>
    </row>
    <row r="71" spans="2:22">
      <c r="B71" s="100" t="s">
        <v>188</v>
      </c>
      <c r="C71" s="26">
        <f>C61/G58+(C65/C64)^2</f>
        <v>6.0720006271065808E-4</v>
      </c>
      <c r="D71" t="s">
        <v>214</v>
      </c>
      <c r="J71" s="82" t="s">
        <v>188</v>
      </c>
      <c r="K71" s="26">
        <f>K61/O58+(K65/K64)^2</f>
        <v>2.2711432866936925E-2</v>
      </c>
      <c r="L71" t="s">
        <v>214</v>
      </c>
      <c r="R71" s="87"/>
    </row>
    <row r="72" spans="2:22">
      <c r="B72" s="100"/>
      <c r="F72" s="1"/>
      <c r="J72" s="81"/>
      <c r="R72" s="87"/>
    </row>
    <row r="73" spans="2:22">
      <c r="B73" s="119" t="s">
        <v>140</v>
      </c>
      <c r="C73" s="120"/>
      <c r="D73" s="120"/>
      <c r="F73" s="101"/>
      <c r="J73" s="121" t="s">
        <v>140</v>
      </c>
      <c r="K73" s="120"/>
      <c r="L73" s="120"/>
      <c r="N73" s="101"/>
      <c r="R73" s="87"/>
    </row>
    <row r="74" spans="2:22" ht="15" thickBot="1">
      <c r="B74" s="105"/>
      <c r="C74" s="6"/>
      <c r="D74" s="6"/>
      <c r="E74" s="6"/>
      <c r="F74" s="4"/>
      <c r="G74" s="106"/>
      <c r="H74" s="6"/>
      <c r="I74" s="6"/>
      <c r="J74" s="6"/>
      <c r="K74" s="6"/>
      <c r="L74" s="6"/>
      <c r="M74" s="6"/>
      <c r="N74" s="6"/>
      <c r="O74" s="6"/>
      <c r="P74" s="6"/>
      <c r="Q74" s="6"/>
      <c r="R74" s="107"/>
    </row>
    <row r="76" spans="2:22">
      <c r="B76" s="1" t="s">
        <v>376</v>
      </c>
      <c r="C76" s="122">
        <f>($G$5*1000)/('Design Values'!$F$19*'Design Values'!$F$8)</f>
        <v>117.64705882352941</v>
      </c>
      <c r="D76" t="s">
        <v>104</v>
      </c>
    </row>
    <row r="77" spans="2:22">
      <c r="B77" s="1" t="s">
        <v>377</v>
      </c>
      <c r="C77" s="122">
        <f>Fcperpp</f>
        <v>544.375</v>
      </c>
      <c r="D77" t="s">
        <v>104</v>
      </c>
    </row>
    <row r="78" spans="2:22">
      <c r="B78" s="1" t="s">
        <v>378</v>
      </c>
      <c r="C78" s="122">
        <f>C76/C77</f>
        <v>0.21611400013507123</v>
      </c>
    </row>
    <row r="99" spans="9:9">
      <c r="I99" s="1"/>
    </row>
    <row r="100" spans="9:9">
      <c r="I100" s="1"/>
    </row>
  </sheetData>
  <mergeCells count="8">
    <mergeCell ref="B17:R17"/>
    <mergeCell ref="B1:I1"/>
    <mergeCell ref="A2:A4"/>
    <mergeCell ref="B2:B4"/>
    <mergeCell ref="F2:G2"/>
    <mergeCell ref="H2:I2"/>
    <mergeCell ref="C2:C4"/>
    <mergeCell ref="D2:D4"/>
  </mergeCells>
  <conditionalFormatting sqref="C68:C69">
    <cfRule type="cellIs" dxfId="36" priority="47" operator="equal">
      <formula>"NO"</formula>
    </cfRule>
    <cfRule type="cellIs" dxfId="35" priority="48" operator="equal">
      <formula>"YES"</formula>
    </cfRule>
  </conditionalFormatting>
  <conditionalFormatting sqref="C70:C71 C40 C45 G35 G40 G45 G50 G52">
    <cfRule type="cellIs" dxfId="34" priority="51" operator="lessThanOrEqual">
      <formula>1</formula>
    </cfRule>
    <cfRule type="cellIs" dxfId="33" priority="52" operator="greaterThan">
      <formula>1</formula>
    </cfRule>
  </conditionalFormatting>
  <conditionalFormatting sqref="C63">
    <cfRule type="cellIs" dxfId="32" priority="46" operator="greaterThan">
      <formula>50</formula>
    </cfRule>
  </conditionalFormatting>
  <conditionalFormatting sqref="C62">
    <cfRule type="cellIs" dxfId="31" priority="44" operator="lessThanOrEqual">
      <formula>1</formula>
    </cfRule>
    <cfRule type="cellIs" dxfId="30" priority="45" operator="greaterThan">
      <formula>1</formula>
    </cfRule>
  </conditionalFormatting>
  <conditionalFormatting sqref="G62">
    <cfRule type="cellIs" dxfId="29" priority="42" operator="lessThanOrEqual">
      <formula>1</formula>
    </cfRule>
    <cfRule type="cellIs" dxfId="28" priority="43" operator="greaterThan">
      <formula>1</formula>
    </cfRule>
  </conditionalFormatting>
  <conditionalFormatting sqref="G63">
    <cfRule type="cellIs" dxfId="27" priority="40" operator="greaterThan">
      <formula>50</formula>
    </cfRule>
  </conditionalFormatting>
  <conditionalFormatting sqref="C66">
    <cfRule type="cellIs" dxfId="26" priority="38" operator="lessThanOrEqual">
      <formula>1</formula>
    </cfRule>
    <cfRule type="cellIs" dxfId="25" priority="39" operator="greaterThan">
      <formula>1</formula>
    </cfRule>
  </conditionalFormatting>
  <conditionalFormatting sqref="G66">
    <cfRule type="cellIs" dxfId="24" priority="36" operator="lessThanOrEqual">
      <formula>1</formula>
    </cfRule>
    <cfRule type="cellIs" dxfId="23" priority="37" operator="greaterThan">
      <formula>1</formula>
    </cfRule>
  </conditionalFormatting>
  <conditionalFormatting sqref="K40 K45 O35 O40 O45">
    <cfRule type="cellIs" dxfId="22" priority="28" operator="lessThanOrEqual">
      <formula>1</formula>
    </cfRule>
    <cfRule type="cellIs" dxfId="21" priority="29" operator="greaterThan">
      <formula>1</formula>
    </cfRule>
  </conditionalFormatting>
  <conditionalFormatting sqref="K63">
    <cfRule type="cellIs" dxfId="20" priority="25" operator="greaterThan">
      <formula>50</formula>
    </cfRule>
  </conditionalFormatting>
  <conditionalFormatting sqref="K62">
    <cfRule type="cellIs" dxfId="19" priority="23" operator="lessThanOrEqual">
      <formula>1</formula>
    </cfRule>
    <cfRule type="cellIs" dxfId="18" priority="24" operator="greaterThan">
      <formula>1</formula>
    </cfRule>
  </conditionalFormatting>
  <conditionalFormatting sqref="O62">
    <cfRule type="cellIs" dxfId="17" priority="21" operator="lessThanOrEqual">
      <formula>1</formula>
    </cfRule>
    <cfRule type="cellIs" dxfId="16" priority="22" operator="greaterThan">
      <formula>1</formula>
    </cfRule>
  </conditionalFormatting>
  <conditionalFormatting sqref="O63">
    <cfRule type="cellIs" dxfId="15" priority="20" operator="greaterThan">
      <formula>50</formula>
    </cfRule>
  </conditionalFormatting>
  <conditionalFormatting sqref="K66">
    <cfRule type="cellIs" dxfId="14" priority="18" operator="lessThanOrEqual">
      <formula>1</formula>
    </cfRule>
    <cfRule type="cellIs" dxfId="13" priority="19" operator="greaterThan">
      <formula>1</formula>
    </cfRule>
  </conditionalFormatting>
  <conditionalFormatting sqref="O66">
    <cfRule type="cellIs" dxfId="12" priority="16" operator="lessThanOrEqual">
      <formula>1</formula>
    </cfRule>
    <cfRule type="cellIs" dxfId="11" priority="17" operator="greaterThan">
      <formula>1</formula>
    </cfRule>
  </conditionalFormatting>
  <conditionalFormatting sqref="O50">
    <cfRule type="cellIs" dxfId="10" priority="14" operator="lessThanOrEqual">
      <formula>1</formula>
    </cfRule>
    <cfRule type="cellIs" dxfId="9" priority="15" operator="greaterThan">
      <formula>1</formula>
    </cfRule>
  </conditionalFormatting>
  <conditionalFormatting sqref="O52">
    <cfRule type="cellIs" dxfId="8" priority="12" operator="lessThanOrEqual">
      <formula>1</formula>
    </cfRule>
    <cfRule type="cellIs" dxfId="7" priority="13" operator="greaterThan">
      <formula>1</formula>
    </cfRule>
  </conditionalFormatting>
  <conditionalFormatting sqref="K68:K69">
    <cfRule type="cellIs" dxfId="6" priority="8" operator="equal">
      <formula>"NO"</formula>
    </cfRule>
    <cfRule type="cellIs" dxfId="5" priority="9" operator="equal">
      <formula>"YES"</formula>
    </cfRule>
  </conditionalFormatting>
  <conditionalFormatting sqref="K70:K71">
    <cfRule type="cellIs" dxfId="4" priority="10" operator="lessThanOrEqual">
      <formula>1</formula>
    </cfRule>
    <cfRule type="cellIs" dxfId="3" priority="11" operator="greaterThan">
      <formula>1</formula>
    </cfRule>
  </conditionalFormatting>
  <conditionalFormatting sqref="K86">
    <cfRule type="cellIs" dxfId="2" priority="5" operator="between">
      <formula>0.8</formula>
      <formula>1</formula>
    </cfRule>
  </conditionalFormatting>
  <conditionalFormatting sqref="C78">
    <cfRule type="cellIs" dxfId="1" priority="1" operator="greaterThan">
      <formula>0.99</formula>
    </cfRule>
    <cfRule type="cellIs" dxfId="0" priority="2" operator="lessThan">
      <formula>1</formula>
    </cfRule>
  </conditionalFormatting>
  <pageMargins left="0.7" right="0.7" top="0.75" bottom="0.75" header="0.3" footer="0.3"/>
  <pageSetup orientation="portrait" horizontalDpi="200" verticalDpi="20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FFC7CE"/>
  </sheetPr>
  <dimension ref="A3:AC18"/>
  <sheetViews>
    <sheetView workbookViewId="0">
      <selection activeCell="D26" sqref="D26"/>
    </sheetView>
  </sheetViews>
  <sheetFormatPr defaultRowHeight="14.5"/>
  <cols>
    <col min="1" max="1" width="8.7265625" style="57" customWidth="1"/>
    <col min="2" max="2" width="25.7265625" style="57" customWidth="1"/>
    <col min="3" max="3" width="15.7265625" style="57" customWidth="1"/>
    <col min="4" max="4" width="119.7265625" style="57" customWidth="1"/>
    <col min="5" max="5" width="66.453125" style="57" customWidth="1"/>
    <col min="6" max="23" width="9.1796875" style="57"/>
    <col min="24" max="29" width="9.1796875" style="58"/>
  </cols>
  <sheetData>
    <row r="3" spans="1:6">
      <c r="A3" s="59" t="s">
        <v>296</v>
      </c>
      <c r="B3" s="59" t="s">
        <v>275</v>
      </c>
      <c r="C3" s="59" t="s">
        <v>278</v>
      </c>
      <c r="D3" s="59" t="s">
        <v>276</v>
      </c>
      <c r="E3" s="59" t="s">
        <v>304</v>
      </c>
      <c r="F3" s="57" t="s">
        <v>310</v>
      </c>
    </row>
    <row r="4" spans="1:6">
      <c r="A4" s="65">
        <v>1</v>
      </c>
      <c r="B4" s="66" t="s">
        <v>116</v>
      </c>
      <c r="C4" s="66" t="s">
        <v>280</v>
      </c>
      <c r="D4" s="66" t="s">
        <v>274</v>
      </c>
      <c r="E4" s="65" t="s">
        <v>297</v>
      </c>
      <c r="F4" s="67" t="s">
        <v>311</v>
      </c>
    </row>
    <row r="5" spans="1:6">
      <c r="A5" s="65">
        <v>2</v>
      </c>
      <c r="B5" s="66" t="s">
        <v>277</v>
      </c>
      <c r="C5" s="66" t="s">
        <v>280</v>
      </c>
      <c r="D5" s="66" t="s">
        <v>282</v>
      </c>
      <c r="E5" s="65" t="s">
        <v>298</v>
      </c>
      <c r="F5" s="67" t="s">
        <v>311</v>
      </c>
    </row>
    <row r="6" spans="1:6">
      <c r="A6" s="65">
        <v>3</v>
      </c>
      <c r="B6" s="66" t="s">
        <v>281</v>
      </c>
      <c r="C6" s="66" t="s">
        <v>280</v>
      </c>
      <c r="D6" s="66" t="s">
        <v>283</v>
      </c>
      <c r="E6" s="65" t="s">
        <v>299</v>
      </c>
      <c r="F6" s="67" t="s">
        <v>311</v>
      </c>
    </row>
    <row r="7" spans="1:6">
      <c r="A7" s="56">
        <v>4</v>
      </c>
      <c r="B7" s="66" t="s">
        <v>22</v>
      </c>
      <c r="C7" s="66" t="s">
        <v>280</v>
      </c>
      <c r="D7" s="66" t="s">
        <v>321</v>
      </c>
      <c r="E7" s="65" t="s">
        <v>300</v>
      </c>
      <c r="F7" s="67" t="s">
        <v>311</v>
      </c>
    </row>
    <row r="8" spans="1:6">
      <c r="A8" s="65">
        <v>5</v>
      </c>
      <c r="B8" s="66" t="s">
        <v>22</v>
      </c>
      <c r="C8" s="66" t="s">
        <v>280</v>
      </c>
      <c r="D8" s="66" t="s">
        <v>284</v>
      </c>
      <c r="E8" s="65" t="s">
        <v>301</v>
      </c>
      <c r="F8" s="67" t="s">
        <v>345</v>
      </c>
    </row>
    <row r="9" spans="1:6">
      <c r="A9" s="65">
        <v>6</v>
      </c>
      <c r="B9" s="66" t="s">
        <v>285</v>
      </c>
      <c r="C9" s="66" t="s">
        <v>280</v>
      </c>
      <c r="D9" s="66" t="s">
        <v>286</v>
      </c>
      <c r="E9" s="65" t="s">
        <v>301</v>
      </c>
      <c r="F9" s="67" t="s">
        <v>345</v>
      </c>
    </row>
    <row r="10" spans="1:6">
      <c r="A10" s="68">
        <v>7</v>
      </c>
      <c r="B10" s="69" t="s">
        <v>24</v>
      </c>
      <c r="C10" s="69" t="s">
        <v>280</v>
      </c>
      <c r="D10" s="69" t="s">
        <v>315</v>
      </c>
      <c r="E10" s="68" t="s">
        <v>59</v>
      </c>
      <c r="F10" s="67" t="s">
        <v>311</v>
      </c>
    </row>
    <row r="11" spans="1:6">
      <c r="A11" s="65">
        <v>8</v>
      </c>
      <c r="B11" s="69" t="s">
        <v>26</v>
      </c>
      <c r="C11" s="69" t="s">
        <v>280</v>
      </c>
      <c r="D11" s="69" t="s">
        <v>287</v>
      </c>
      <c r="E11" s="68" t="s">
        <v>59</v>
      </c>
      <c r="F11" s="67" t="s">
        <v>311</v>
      </c>
    </row>
    <row r="12" spans="1:6">
      <c r="A12" s="65">
        <v>9</v>
      </c>
      <c r="B12" s="66" t="s">
        <v>27</v>
      </c>
      <c r="C12" s="66" t="s">
        <v>280</v>
      </c>
      <c r="D12" s="66" t="s">
        <v>288</v>
      </c>
      <c r="E12" s="65" t="s">
        <v>302</v>
      </c>
      <c r="F12" s="67"/>
    </row>
    <row r="13" spans="1:6">
      <c r="A13" s="56">
        <v>10</v>
      </c>
      <c r="B13" s="60" t="s">
        <v>289</v>
      </c>
      <c r="C13" s="60" t="s">
        <v>279</v>
      </c>
      <c r="D13" s="60" t="s">
        <v>290</v>
      </c>
      <c r="E13" s="56" t="s">
        <v>303</v>
      </c>
      <c r="F13" s="57" t="s">
        <v>347</v>
      </c>
    </row>
    <row r="14" spans="1:6">
      <c r="A14" s="56">
        <v>11</v>
      </c>
      <c r="B14" s="60" t="s">
        <v>289</v>
      </c>
      <c r="C14" s="60" t="s">
        <v>279</v>
      </c>
      <c r="D14" s="60" t="s">
        <v>291</v>
      </c>
      <c r="E14" s="56" t="s">
        <v>303</v>
      </c>
      <c r="F14" s="57" t="s">
        <v>348</v>
      </c>
    </row>
    <row r="15" spans="1:6">
      <c r="A15" s="65">
        <v>12</v>
      </c>
      <c r="B15" s="66" t="s">
        <v>292</v>
      </c>
      <c r="C15" s="66" t="s">
        <v>280</v>
      </c>
      <c r="D15" s="66" t="s">
        <v>316</v>
      </c>
      <c r="E15" s="65" t="s">
        <v>314</v>
      </c>
      <c r="F15" s="67" t="s">
        <v>311</v>
      </c>
    </row>
    <row r="16" spans="1:6">
      <c r="A16" s="65">
        <v>13</v>
      </c>
      <c r="B16" s="66" t="s">
        <v>293</v>
      </c>
      <c r="C16" s="66" t="s">
        <v>280</v>
      </c>
      <c r="D16" s="66" t="s">
        <v>317</v>
      </c>
      <c r="E16" s="65" t="s">
        <v>314</v>
      </c>
      <c r="F16" s="67" t="s">
        <v>311</v>
      </c>
    </row>
    <row r="17" spans="1:6">
      <c r="A17" s="65">
        <v>14</v>
      </c>
      <c r="B17" s="66" t="s">
        <v>294</v>
      </c>
      <c r="C17" s="66" t="s">
        <v>280</v>
      </c>
      <c r="D17" s="66" t="s">
        <v>318</v>
      </c>
      <c r="E17" s="65" t="s">
        <v>314</v>
      </c>
      <c r="F17" s="67" t="s">
        <v>311</v>
      </c>
    </row>
    <row r="18" spans="1:6">
      <c r="A18" s="65">
        <v>15</v>
      </c>
      <c r="B18" s="66" t="s">
        <v>295</v>
      </c>
      <c r="C18" s="66" t="s">
        <v>280</v>
      </c>
      <c r="D18" s="66" t="s">
        <v>319</v>
      </c>
      <c r="E18" s="65" t="s">
        <v>311</v>
      </c>
      <c r="F18" s="67" t="s">
        <v>311</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2655-602E-48EB-ABE9-4ED6FD40E209}">
  <dimension ref="A1:AJ13"/>
  <sheetViews>
    <sheetView tabSelected="1" workbookViewId="0">
      <selection activeCell="O15" sqref="O15"/>
    </sheetView>
  </sheetViews>
  <sheetFormatPr defaultRowHeight="14.5"/>
  <cols>
    <col min="1" max="1" width="15.36328125" bestFit="1" customWidth="1"/>
    <col min="2" max="2" width="15.36328125" customWidth="1"/>
    <col min="3" max="16" width="7.7265625" customWidth="1"/>
    <col min="17" max="17" width="13.08984375" bestFit="1" customWidth="1"/>
  </cols>
  <sheetData>
    <row r="1" spans="1:36" ht="73" customHeight="1">
      <c r="A1" s="123" t="s">
        <v>379</v>
      </c>
      <c r="B1" s="123"/>
      <c r="C1" s="123" t="s">
        <v>380</v>
      </c>
      <c r="D1" s="123" t="s">
        <v>381</v>
      </c>
      <c r="E1" s="123" t="s">
        <v>382</v>
      </c>
      <c r="F1" s="124" t="s">
        <v>383</v>
      </c>
      <c r="G1" s="124" t="s">
        <v>384</v>
      </c>
      <c r="H1" s="124" t="s">
        <v>385</v>
      </c>
      <c r="I1" s="124" t="s">
        <v>386</v>
      </c>
      <c r="J1" s="124" t="s">
        <v>387</v>
      </c>
      <c r="K1" s="124" t="s">
        <v>388</v>
      </c>
      <c r="L1" s="124" t="s">
        <v>389</v>
      </c>
      <c r="M1" s="124" t="s">
        <v>390</v>
      </c>
      <c r="N1" s="124" t="s">
        <v>391</v>
      </c>
      <c r="O1" s="124" t="s">
        <v>392</v>
      </c>
      <c r="P1" s="124" t="s">
        <v>393</v>
      </c>
      <c r="Q1" s="124" t="s">
        <v>394</v>
      </c>
      <c r="R1" s="124" t="s">
        <v>395</v>
      </c>
      <c r="S1" s="124" t="s">
        <v>396</v>
      </c>
      <c r="T1" s="124" t="s">
        <v>397</v>
      </c>
      <c r="U1" s="124" t="s">
        <v>398</v>
      </c>
      <c r="V1" s="124" t="s">
        <v>399</v>
      </c>
      <c r="W1" s="124" t="s">
        <v>400</v>
      </c>
      <c r="X1" s="124" t="s">
        <v>401</v>
      </c>
      <c r="Y1" s="124" t="s">
        <v>402</v>
      </c>
      <c r="Z1" s="124" t="s">
        <v>403</v>
      </c>
    </row>
    <row r="2" spans="1:36">
      <c r="A2" s="125" t="s">
        <v>404</v>
      </c>
      <c r="B2" s="125" t="s">
        <v>405</v>
      </c>
      <c r="C2" s="126" t="s">
        <v>62</v>
      </c>
      <c r="D2" s="126" t="s">
        <v>61</v>
      </c>
      <c r="E2" s="126" t="s">
        <v>60</v>
      </c>
      <c r="F2" s="126" t="s">
        <v>406</v>
      </c>
      <c r="G2" s="126" t="s">
        <v>407</v>
      </c>
      <c r="H2" s="126" t="s">
        <v>408</v>
      </c>
      <c r="I2" s="126" t="s">
        <v>409</v>
      </c>
      <c r="J2" s="126" t="s">
        <v>410</v>
      </c>
      <c r="K2" s="126" t="s">
        <v>411</v>
      </c>
      <c r="L2" s="126" t="s">
        <v>412</v>
      </c>
      <c r="M2" s="126" t="s">
        <v>413</v>
      </c>
      <c r="N2" s="126" t="s">
        <v>414</v>
      </c>
      <c r="O2" s="126" t="s">
        <v>73</v>
      </c>
      <c r="P2" s="126" t="s">
        <v>415</v>
      </c>
      <c r="Q2" s="127" t="s">
        <v>416</v>
      </c>
      <c r="R2" s="127" t="s">
        <v>417</v>
      </c>
      <c r="S2" s="127" t="s">
        <v>14</v>
      </c>
      <c r="T2" s="127" t="s">
        <v>49</v>
      </c>
      <c r="U2" s="127" t="s">
        <v>18</v>
      </c>
      <c r="V2" s="127" t="s">
        <v>16</v>
      </c>
      <c r="W2" s="127" t="s">
        <v>51</v>
      </c>
      <c r="X2" s="127" t="s">
        <v>418</v>
      </c>
      <c r="Y2" s="127" t="s">
        <v>218</v>
      </c>
      <c r="Z2" s="127" t="s">
        <v>419</v>
      </c>
    </row>
    <row r="3" spans="1:36">
      <c r="A3" s="128" t="s">
        <v>420</v>
      </c>
      <c r="B3" s="128"/>
      <c r="C3" s="129" t="s">
        <v>64</v>
      </c>
      <c r="D3" s="129" t="s">
        <v>64</v>
      </c>
      <c r="E3" s="129" t="s">
        <v>63</v>
      </c>
      <c r="F3" s="129" t="s">
        <v>63</v>
      </c>
      <c r="G3" s="129" t="s">
        <v>63</v>
      </c>
      <c r="H3" s="129" t="s">
        <v>63</v>
      </c>
      <c r="I3" s="129" t="s">
        <v>63</v>
      </c>
      <c r="J3" s="129" t="s">
        <v>63</v>
      </c>
      <c r="K3" s="129" t="s">
        <v>64</v>
      </c>
      <c r="L3" s="129" t="s">
        <v>421</v>
      </c>
      <c r="M3" s="129"/>
      <c r="N3" s="129"/>
      <c r="O3" s="129"/>
      <c r="P3" s="129"/>
      <c r="Q3" s="130" t="s">
        <v>420</v>
      </c>
      <c r="R3" s="130" t="s">
        <v>104</v>
      </c>
      <c r="S3" s="130" t="s">
        <v>104</v>
      </c>
      <c r="T3" s="130" t="s">
        <v>104</v>
      </c>
      <c r="U3" s="130" t="s">
        <v>104</v>
      </c>
      <c r="V3" s="130" t="s">
        <v>104</v>
      </c>
      <c r="W3" s="130" t="s">
        <v>104</v>
      </c>
      <c r="X3" s="130" t="s">
        <v>104</v>
      </c>
      <c r="Y3" s="130" t="s">
        <v>104</v>
      </c>
      <c r="Z3" s="130" t="s">
        <v>104</v>
      </c>
    </row>
    <row r="4" spans="1:36">
      <c r="A4" s="131" t="s">
        <v>422</v>
      </c>
      <c r="B4" s="132" t="s">
        <v>423</v>
      </c>
      <c r="C4">
        <v>8.5</v>
      </c>
      <c r="D4">
        <v>24</v>
      </c>
      <c r="E4">
        <v>40.75</v>
      </c>
      <c r="F4">
        <v>40.75</v>
      </c>
      <c r="G4">
        <v>0.1</v>
      </c>
      <c r="H4">
        <v>40.75</v>
      </c>
      <c r="I4">
        <v>0.1</v>
      </c>
      <c r="J4">
        <v>40.75</v>
      </c>
      <c r="K4">
        <v>8</v>
      </c>
      <c r="L4" t="s">
        <v>309</v>
      </c>
      <c r="M4">
        <v>1.63</v>
      </c>
      <c r="N4">
        <v>3</v>
      </c>
      <c r="O4">
        <v>0</v>
      </c>
      <c r="P4">
        <v>1.5</v>
      </c>
      <c r="Q4" t="s">
        <v>370</v>
      </c>
      <c r="R4">
        <v>1750</v>
      </c>
      <c r="S4">
        <v>1450</v>
      </c>
      <c r="T4">
        <v>1100</v>
      </c>
      <c r="U4">
        <v>300</v>
      </c>
      <c r="V4">
        <v>260</v>
      </c>
      <c r="W4">
        <v>1500</v>
      </c>
      <c r="X4">
        <v>650</v>
      </c>
      <c r="Y4">
        <v>1700000</v>
      </c>
      <c r="Z4">
        <v>900000</v>
      </c>
    </row>
    <row r="5" spans="1:36">
      <c r="B5" s="132"/>
    </row>
    <row r="6" spans="1:36">
      <c r="B6" s="132"/>
    </row>
    <row r="7" spans="1:36">
      <c r="A7" s="132"/>
      <c r="B7" s="132"/>
      <c r="AI7" s="132"/>
      <c r="AJ7" s="132"/>
    </row>
    <row r="8" spans="1:36">
      <c r="A8" s="132"/>
      <c r="B8" s="132"/>
      <c r="AI8" s="132"/>
      <c r="AJ8" s="132"/>
    </row>
    <row r="9" spans="1:36">
      <c r="A9" s="132"/>
      <c r="B9" s="132"/>
      <c r="AI9" s="132"/>
      <c r="AJ9" s="132"/>
    </row>
    <row r="10" spans="1:36">
      <c r="A10" s="132"/>
      <c r="B10" s="132"/>
      <c r="AI10" s="132"/>
      <c r="AJ10" s="132"/>
    </row>
    <row r="11" spans="1:36">
      <c r="A11" s="132"/>
      <c r="B11" s="132"/>
      <c r="AI11" s="132"/>
      <c r="AJ11" s="132"/>
    </row>
    <row r="12" spans="1:36">
      <c r="A12" s="132"/>
      <c r="B12" s="132"/>
      <c r="AI12" s="132"/>
      <c r="AJ12" s="132"/>
    </row>
    <row r="13" spans="1:36">
      <c r="B13" s="132"/>
      <c r="AI13" s="132"/>
      <c r="AJ13" s="132"/>
    </row>
  </sheetData>
  <pageMargins left="0.7" right="0.7" top="0.75" bottom="0.75" header="0.3" footer="0.3"/>
  <pageSetup paperSize="28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23</vt:i4>
      </vt:variant>
    </vt:vector>
  </HeadingPairs>
  <TitlesOfParts>
    <vt:vector size="30" baseType="lpstr">
      <vt:lpstr>Notes</vt:lpstr>
      <vt:lpstr>Design Values</vt:lpstr>
      <vt:lpstr>Table</vt:lpstr>
      <vt:lpstr>Fire</vt:lpstr>
      <vt:lpstr>Member Checks</vt:lpstr>
      <vt:lpstr>jb comments</vt:lpstr>
      <vt:lpstr>Section Properties</vt:lpstr>
      <vt:lpstr>Eminp</vt:lpstr>
      <vt:lpstr>Ep</vt:lpstr>
      <vt:lpstr>FbExf</vt:lpstr>
      <vt:lpstr>FbEyf</vt:lpstr>
      <vt:lpstr>Fbxf</vt:lpstr>
      <vt:lpstr>Fbxp</vt:lpstr>
      <vt:lpstr>Fbyf</vt:lpstr>
      <vt:lpstr>Fbyp</vt:lpstr>
      <vt:lpstr>FcExf</vt:lpstr>
      <vt:lpstr>FcEyf</vt:lpstr>
      <vt:lpstr>Fcf</vt:lpstr>
      <vt:lpstr>Fcp</vt:lpstr>
      <vt:lpstr>Fcperpf</vt:lpstr>
      <vt:lpstr>Fcperpp</vt:lpstr>
      <vt:lpstr>Frtf</vt:lpstr>
      <vt:lpstr>Frtp</vt:lpstr>
      <vt:lpstr>Ftf</vt:lpstr>
      <vt:lpstr>Ftp</vt:lpstr>
      <vt:lpstr>Fvxf</vt:lpstr>
      <vt:lpstr>Fvxp</vt:lpstr>
      <vt:lpstr>Fvyf</vt:lpstr>
      <vt:lpstr>Fvyp</vt:lpstr>
      <vt:lpstr>'Design Values'!Print_Area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Eunice Leung</dc:creator>
  <cp:lastModifiedBy>Olek Niewiarowski</cp:lastModifiedBy>
  <cp:lastPrinted>2021-03-29T21:58:53Z</cp:lastPrinted>
  <dcterms:created xsi:type="dcterms:W3CDTF">2021-03-26T18:57:16Z</dcterms:created>
  <dcterms:modified xsi:type="dcterms:W3CDTF">2024-04-24T15:29:03Z</dcterms:modified>
</cp:coreProperties>
</file>