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alysis" sheetId="1" r:id="rId3"/>
    <sheet state="visible" name="Evaluation" sheetId="2" r:id="rId4"/>
    <sheet state="visible" name="Publication Fora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2">
      <text>
        <t xml:space="preserve">(((("Publication Title":github) OR "Abstract":github) OR "Index Terms":github) OR "Author Keywords":github) </t>
      </text>
    </comment>
    <comment authorId="0" ref="B3">
      <text>
        <t xml:space="preserve">only in the title</t>
      </text>
    </comment>
    <comment authorId="0" ref="B4">
      <text>
        <t xml:space="preserve">TITLE-ABSTR-KEY(github)[All Sources(Computer Science)]</t>
      </text>
    </comment>
    <comment authorId="0" ref="B5">
      <text>
        <t xml:space="preserve">acmdlTitle:(github) AND recordAbstract:(+github) AND keywords.author.keyword:(+github)</t>
      </text>
    </comment>
    <comment authorId="0" ref="B6">
      <text>
        <t xml:space="preserve">3 different searches:
title:github
abstract:github
keyword:github
</t>
      </text>
    </comment>
    <comment authorId="0" ref="B7">
      <text>
        <t xml:space="preserve">allintitle: github
navigable links
english </t>
      </text>
    </comment>
    <comment authorId="0" ref="S10">
      <text>
        <t xml:space="preserve">search strings:
avail
download
http
data</t>
      </text>
    </comment>
    <comment authorId="0" ref="V53">
      <text>
        <t xml:space="preserve">missing historical data</t>
      </text>
    </comment>
    <comment authorId="0" ref="X95">
      <text>
        <t xml:space="preserve">missing LOC for projects</t>
      </text>
    </comment>
    <comment authorId="0" ref="X191">
      <text>
        <t xml:space="preserve">rate limit</t>
      </text>
    </comment>
    <comment authorId="0" ref="X193">
      <text>
        <t xml:space="preserve">starring events limited</t>
      </text>
    </comment>
  </commentList>
</comments>
</file>

<file path=xl/sharedStrings.xml><?xml version="1.0" encoding="utf-8"?>
<sst xmlns="http://schemas.openxmlformats.org/spreadsheetml/2006/main" count="6154" uniqueCount="1537">
  <si>
    <t>Venues</t>
  </si>
  <si>
    <t>LIBRARIES</t>
  </si>
  <si>
    <t>FILTERED BY TITLE</t>
  </si>
  <si>
    <t>FILTERED BY ABSTRACT</t>
  </si>
  <si>
    <t>SELECTED</t>
  </si>
  <si>
    <t>CLASSIFICATION</t>
  </si>
  <si>
    <t>Alphabetical order</t>
  </si>
  <si>
    <t>TARGET</t>
  </si>
  <si>
    <t>FINAL SELECTION</t>
  </si>
  <si>
    <t># Papers</t>
  </si>
  <si>
    <t>METADATA VALIDATION</t>
  </si>
  <si>
    <t>Number of papers order</t>
  </si>
  <si>
    <t>FOUND</t>
  </si>
  <si>
    <t>NO DUPLICATES</t>
  </si>
  <si>
    <t>FILTERED</t>
  </si>
  <si>
    <t>BEFORE SNOWBALLING</t>
  </si>
  <si>
    <t>AFTER SNOWBALLING</t>
  </si>
  <si>
    <t>PAPER</t>
  </si>
  <si>
    <t>TOTAL</t>
  </si>
  <si>
    <t>SELECTION</t>
  </si>
  <si>
    <t>EXTENSION</t>
  </si>
  <si>
    <t>FINAL LIST</t>
  </si>
  <si>
    <t>IEEExplore</t>
  </si>
  <si>
    <t>Cohen's Kappa</t>
  </si>
  <si>
    <t>Advances in Complex Systems</t>
  </si>
  <si>
    <t>Unique Venues:</t>
  </si>
  <si>
    <t>Agreement (n=140):</t>
  </si>
  <si>
    <t>Total:</t>
  </si>
  <si>
    <t>Agreement (n = 86):</t>
  </si>
  <si>
    <t>MSR</t>
  </si>
  <si>
    <t>APSEC</t>
  </si>
  <si>
    <t>DBLP</t>
  </si>
  <si>
    <t>SOURCE</t>
  </si>
  <si>
    <t>ICSE</t>
  </si>
  <si>
    <t>Arxiv</t>
  </si>
  <si>
    <t>ScienceDirect</t>
  </si>
  <si>
    <t>Unknown</t>
  </si>
  <si>
    <t>DESCRIPTION</t>
  </si>
  <si>
    <t>Agreement (n = 40)</t>
  </si>
  <si>
    <t>ASONAM</t>
  </si>
  <si>
    <t>ACM</t>
  </si>
  <si>
    <t>HOSTING</t>
  </si>
  <si>
    <t>CSCW</t>
  </si>
  <si>
    <t>CiteSeer</t>
  </si>
  <si>
    <t>32,115,12</t>
  </si>
  <si>
    <t>Scholar</t>
  </si>
  <si>
    <t>query execution 01/07/2016</t>
  </si>
  <si>
    <t>BESC</t>
  </si>
  <si>
    <t>TITLE</t>
  </si>
  <si>
    <t>YEAR</t>
  </si>
  <si>
    <t>URL</t>
  </si>
  <si>
    <t>VENUE</t>
  </si>
  <si>
    <t>CHASE</t>
  </si>
  <si>
    <t>VENUE TYPE</t>
  </si>
  <si>
    <t>MISMATCH</t>
  </si>
  <si>
    <t>METHOD</t>
  </si>
  <si>
    <t>METHOD DETAILS</t>
  </si>
  <si>
    <t>SANER</t>
  </si>
  <si>
    <t>Total</t>
  </si>
  <si>
    <t>Agreement(n =22)</t>
  </si>
  <si>
    <t>CHI</t>
  </si>
  <si>
    <t>DATA SAMPLING</t>
  </si>
  <si>
    <t>DATA SAMPLING DETAILS</t>
  </si>
  <si>
    <t>DATA TYPE</t>
  </si>
  <si>
    <t>DATA SIZE</t>
  </si>
  <si>
    <t>DATA COLL</t>
  </si>
  <si>
    <t>REPLICABILITY</t>
  </si>
  <si>
    <t>LIMITATIONS</t>
  </si>
  <si>
    <t>DATA PROBLEM</t>
  </si>
  <si>
    <t>CrowdSoft</t>
  </si>
  <si>
    <t>GENERALIZATION PROBLEM</t>
  </si>
  <si>
    <t>TECHINAL PROBLEM</t>
  </si>
  <si>
    <t>GITHUB API LIMITATIONS</t>
  </si>
  <si>
    <t>Filtering</t>
  </si>
  <si>
    <t>CSI-SE</t>
  </si>
  <si>
    <t>ESEM</t>
  </si>
  <si>
    <t>THIRD PARTIES &amp; DATASETS LIMITATIONS</t>
  </si>
  <si>
    <t>AREA</t>
  </si>
  <si>
    <t>TOPICS</t>
  </si>
  <si>
    <t>CSMR</t>
  </si>
  <si>
    <t>An Empirical Study of API Stability and Adoption in the Android Ecosystem</t>
  </si>
  <si>
    <t>CSSE</t>
  </si>
  <si>
    <t>Agreement (%):</t>
  </si>
  <si>
    <t>ESEC/FSE</t>
  </si>
  <si>
    <t>http://web.cs.ucla.edu/~miryung/Publications/icsm2013-apiecosystem.pdf</t>
  </si>
  <si>
    <t>FSE</t>
  </si>
  <si>
    <t>SOURCE-STUDY</t>
  </si>
  <si>
    <t>ICDMW</t>
  </si>
  <si>
    <t>ICPC</t>
  </si>
  <si>
    <t>Supporting continuous integration by mashing-up software quality information</t>
  </si>
  <si>
    <t>http://ieeexplore.ieee.org/xpls/abs_all.jsp?arnumber=6747169&amp;tag=1</t>
  </si>
  <si>
    <t>SOURCE-TOOL/EVALUATION</t>
  </si>
  <si>
    <t>ICSME</t>
  </si>
  <si>
    <t>Collective Knowledge: Towards R&amp;D sustainability</t>
  </si>
  <si>
    <t>http://ieeexplore.ieee.org/stamp/stamp.jsp?tp=&amp;arnumber=7459430</t>
  </si>
  <si>
    <t>X</t>
  </si>
  <si>
    <t xml:space="preserve">ICSME </t>
  </si>
  <si>
    <t>Raking the Cocktail Party</t>
  </si>
  <si>
    <t>ICWSM</t>
  </si>
  <si>
    <t>Agreement (%)</t>
  </si>
  <si>
    <t>http://arxiv.org/abs/1407.5514</t>
  </si>
  <si>
    <t>IEEE Trans.</t>
  </si>
  <si>
    <t>MyWebRTC, a free do-it-yourself kit for secure real-time internet-communication</t>
  </si>
  <si>
    <t>http://ieeexplore.ieee.org/stamp/stamp.jsp?arnumber=7355058</t>
  </si>
  <si>
    <t>survey</t>
  </si>
  <si>
    <t>IEEM</t>
  </si>
  <si>
    <t>IEICE</t>
  </si>
  <si>
    <t>IISA</t>
  </si>
  <si>
    <t>Internetware</t>
  </si>
  <si>
    <t>probability sampling</t>
  </si>
  <si>
    <t>ISSRE</t>
  </si>
  <si>
    <t>IST</t>
  </si>
  <si>
    <t>IWESEP</t>
  </si>
  <si>
    <t>users</t>
  </si>
  <si>
    <t>L100</t>
  </si>
  <si>
    <t>IWPSEC</t>
  </si>
  <si>
    <t>Coder 2</t>
  </si>
  <si>
    <t>survey ref.16</t>
  </si>
  <si>
    <t>JOT</t>
  </si>
  <si>
    <t>More Common Than You Think: An In-depth Study of Casual Contributors</t>
  </si>
  <si>
    <t>Journal of Information Processing</t>
  </si>
  <si>
    <t>n =</t>
  </si>
  <si>
    <t>OTM</t>
  </si>
  <si>
    <t>PROFES</t>
  </si>
  <si>
    <t>https://www.ime.usp.br/~gerosa/papers/saner2016.pdf</t>
  </si>
  <si>
    <t>SAC</t>
  </si>
  <si>
    <t>SEKE</t>
  </si>
  <si>
    <t>Coder 1</t>
  </si>
  <si>
    <t>Agreement</t>
  </si>
  <si>
    <t>SERP</t>
  </si>
  <si>
    <t>TARGET-STUDY</t>
  </si>
  <si>
    <t>Y</t>
  </si>
  <si>
    <t>conference</t>
  </si>
  <si>
    <t>MISSING</t>
  </si>
  <si>
    <t>mixed</t>
  </si>
  <si>
    <t>metadata observation, survey (25.92% of response rate)</t>
  </si>
  <si>
    <t>non-probability sampling</t>
  </si>
  <si>
    <t>projects</t>
  </si>
  <si>
    <t>100-1K</t>
  </si>
  <si>
    <t>GitHubArchive,manual</t>
  </si>
  <si>
    <t>Social Informatics</t>
  </si>
  <si>
    <t>YES, link</t>
  </si>
  <si>
    <t>YES</t>
  </si>
  <si>
    <t>[1]</t>
  </si>
  <si>
    <t>SocialCom</t>
  </si>
  <si>
    <t>[1.1]</t>
  </si>
  <si>
    <t>When GitHub Meets CRAN: An Analysis of Inter-Repository Package Dependency Problems</t>
  </si>
  <si>
    <t>IEEE Software</t>
  </si>
  <si>
    <t>http://ieeexplore.ieee.org/stamp/stamp.jsp?arnumber=7476669</t>
  </si>
  <si>
    <t>N</t>
  </si>
  <si>
    <t>Continuous Integration in a Social-Coding World: Empirical Evidence from GitHub</t>
  </si>
  <si>
    <t>http://www.win.tue.nl/~aserebre/ICSME2014ERA.pdf</t>
  </si>
  <si>
    <t>TAKEN</t>
  </si>
  <si>
    <t>A matter of time - intrinsic or extrinsic - for diffusion in evolving complex networks</t>
  </si>
  <si>
    <t>http://ieeexplore.ieee.org/xpls/abs_all.jsp?arnumber=6785709</t>
  </si>
  <si>
    <t>Analyzing the social ties and structure of contributors in Open Source Software community</t>
  </si>
  <si>
    <t>http://dl.acm.org/citation.cfm?id=2492627</t>
  </si>
  <si>
    <t>WCRE</t>
  </si>
  <si>
    <t>NO</t>
  </si>
  <si>
    <t>metadata observation</t>
  </si>
  <si>
    <t>Po =</t>
  </si>
  <si>
    <t>simple random sample</t>
  </si>
  <si>
    <t>WI-IAT</t>
  </si>
  <si>
    <t>Total papers (must be 80):</t>
  </si>
  <si>
    <t>users,projects</t>
  </si>
  <si>
    <t>G1M,G1M</t>
  </si>
  <si>
    <t>GitHub API</t>
  </si>
  <si>
    <t>[3]</t>
  </si>
  <si>
    <t>[3.2][3.4]</t>
  </si>
  <si>
    <t>Assert Use in GitHub Projects</t>
  </si>
  <si>
    <t>http://dl.acm.org/citation.cfm?id=2818846</t>
  </si>
  <si>
    <t>Mining GitHub: Why Commit Stops -- Exploring the Relationship between Developer's Commit Pattern and File Version Evolution</t>
  </si>
  <si>
    <t>http://ieeexplore.ieee.org/xpls/abs_all.jsp?arnumber=6754372</t>
  </si>
  <si>
    <t>TurtleEditor: An Ontology-Aware Web-Editor for Collaborative Ontology Development</t>
  </si>
  <si>
    <t>http://ieeexplore.ieee.org/xpls/abs_all.jsp?arnumber=7439331&amp;tag=1</t>
  </si>
  <si>
    <t>Wait for It: Determinants of Pull Request Evaluation Latency on GitHub</t>
  </si>
  <si>
    <t>http://ieeexplore.ieee.org/stamp/stamp.jsp?arnumber=7180096</t>
  </si>
  <si>
    <t>Diversity/Heterogeneity</t>
  </si>
  <si>
    <t>GHTorrent</t>
  </si>
  <si>
    <t>[1][2]</t>
  </si>
  <si>
    <t>[1.1][2.4]</t>
  </si>
  <si>
    <t>A new strategy to defense against SSLStrip for Android</t>
  </si>
  <si>
    <t>http://ieeexplore.ieee.org/stamp/stamp.jsp?arnumber=6820349</t>
  </si>
  <si>
    <t>An open source tool to estimate mass and efficiency of wind turbine power take-off systems</t>
  </si>
  <si>
    <t>https://www.researchgate.net/publication/271467664_An_open_source_tool_to_estimate_mass_and_efficiency_of_wind_turbine_power_take-off_systems</t>
  </si>
  <si>
    <t>Forge++: The Changing Landscape of FLOSS Development</t>
  </si>
  <si>
    <t>http://ieeexplore.ieee.org/xpls/abs_all.jsp?arnumber=6759007</t>
  </si>
  <si>
    <t>DESCRIPTION/DISCUSSION</t>
  </si>
  <si>
    <t>Trends and behavior of developers in open collaborative software projects</t>
  </si>
  <si>
    <t>http://ieeexplore.ieee.org/xpl/articleDetails.jsp?reload=true&amp;arnumber=7059515</t>
  </si>
  <si>
    <t>100K-1M,G1M</t>
  </si>
  <si>
    <t>[1][2][3]</t>
  </si>
  <si>
    <t>[1.2][1.3][2.1][2.2][2.3][3.4][3.5]</t>
  </si>
  <si>
    <t>Advancing Android activity recognition service with Markov smoother</t>
  </si>
  <si>
    <t>http://ieeexplore.ieee.org/xpls/abs_all.jsp?arnumber=7133990</t>
  </si>
  <si>
    <t>How do you Feel Today? Buggy!</t>
  </si>
  <si>
    <t>https://www.researchgate.net/publication/265258816_How_do_you_Feel_Today_Buggy</t>
  </si>
  <si>
    <t>Location-Based Analysis of Developers and Technologies on GitHub</t>
  </si>
  <si>
    <t>http://ieeexplore.ieee.org/xpls/abs_all.jsp?arnumber=6844717</t>
  </si>
  <si>
    <t>TARGET-TOOL</t>
  </si>
  <si>
    <t>License Usage and Changes: A Large-Scale Study of Java Projects on GitHub</t>
  </si>
  <si>
    <t>http://www.cs.wm.edu/~denys/pubs/ICPC'15-LicensingStudyGitHub-CRC.pdf</t>
  </si>
  <si>
    <t>Pe =</t>
  </si>
  <si>
    <t>Boa: A language and infrastructure for analyzing ultra-large-scale software repositories</t>
  </si>
  <si>
    <t>http://dl.acm.org/citation.cfm?id=2486844</t>
  </si>
  <si>
    <t>Automatically Recommending Peer Reviewers in Modern Code Review</t>
  </si>
  <si>
    <t>http://ieeexplore.ieee.org/xpl/articleDetails.jsp?reload=true&amp;arnumber=7328331</t>
  </si>
  <si>
    <t>Energy-Bounded Caging: Formal Definition and 2-D Energy Lower Bound Algorithm Based on Weighted Alpha Shapes</t>
  </si>
  <si>
    <t>http://ieeexplore.ieee.org/stamp/stamp.jsp?arnumber=7384720</t>
  </si>
  <si>
    <t>Aduno: Real-time collaborative work design in a shared workspace</t>
  </si>
  <si>
    <t>http://ieeexplore.ieee.org/xpl/articleDetails.jsp?reload=true&amp;arnumber=6614751</t>
  </si>
  <si>
    <t>Crowdsourced bug triaging</t>
  </si>
  <si>
    <t>http://ieeexplore.ieee.org/xpls/abs_all.jsp?arnumber=7332503</t>
  </si>
  <si>
    <t>Sketching the distribution of transcriptomic features on RNA transcripts with Travis coordinates</t>
  </si>
  <si>
    <t>http://ieeexplore.ieee.org/xpls/abs_all.jsp?arnumber=7359904</t>
  </si>
  <si>
    <t>Kappa =</t>
  </si>
  <si>
    <t>The top 10 programming languages Spectrum??s 2014 ranking [DataFlow]</t>
  </si>
  <si>
    <t>http://ieeexplore.ieee.org/xpl/articleDetails.jsp?reload=true&amp;arnumber=6840816</t>
  </si>
  <si>
    <t>XSW: Accelerating Biological Database Search on Xeon Phi</t>
  </si>
  <si>
    <t>http://ieeexplore.ieee.org/xpls/abs_all.jsp?arnumber=6969484</t>
  </si>
  <si>
    <t>Big data analytics on large-scale socio-technical software engineering archives</t>
  </si>
  <si>
    <t>http://ieeexplore.ieee.org/xpls/abs_all.jsp?arnumber=7231398</t>
  </si>
  <si>
    <t>Biological Mutualistic Models Applied to Study Open Source Software Development</t>
  </si>
  <si>
    <t>http://ieeexplore.ieee.org/xpls/abs_all.jsp?arnumber=6511892</t>
  </si>
  <si>
    <t>1K-100K</t>
  </si>
  <si>
    <t>Classification</t>
  </si>
  <si>
    <t>[4]</t>
  </si>
  <si>
    <t>[4.1]</t>
  </si>
  <si>
    <t>A Exploratory Study of @-Mention in GitHub's Pull-Requests</t>
  </si>
  <si>
    <t>http://ieeexplore.ieee.org/xpls/abs_all.jsp?arnumber=7091329&amp;tag=1</t>
  </si>
  <si>
    <t>GitHubArchive,GHTorrent</t>
  </si>
  <si>
    <t>Work Practices and Challenges in Pull-Based Development: The Integrator's Perspective</t>
  </si>
  <si>
    <t>http://dl.acm.org/citation.cfm?id=2818800</t>
  </si>
  <si>
    <t>21 answers (8% answer rate). For the data collection phase, emailed integrators from 3,150 projects and received 749 answers (23% answer rate).</t>
  </si>
  <si>
    <t>Social sensor analytics: Making sense of network models in social media</t>
  </si>
  <si>
    <t>http://ieeexplore.ieee.org/xpl/articleDetails.jsp?reload=true&amp;arnumber=7165956</t>
  </si>
  <si>
    <t>A Large Scale Study of Multiple Programming Languages and Code Quality</t>
  </si>
  <si>
    <t>http://dl.acm.org/citation.cfm?id=2635922</t>
  </si>
  <si>
    <t>Workshop on open and original problems in software language engineering</t>
  </si>
  <si>
    <t>http://ieeexplore.ieee.org/xpls/abs_all.jsp?arnumber=6747223</t>
  </si>
  <si>
    <t>What effect does Distributed Version Control have on OSS project organization?</t>
  </si>
  <si>
    <t>http://ieeexplore.ieee.org/xpls/abs_all.jsp?arnumber=6607694</t>
  </si>
  <si>
    <t>Social Networking Meets Software Development: Perspectives from GitHub, MSDN, Stack Exchange, and TopCoder</t>
  </si>
  <si>
    <t>http://ieeexplore.ieee.org/xpls/abs_all.jsp?arnumber=6401114</t>
  </si>
  <si>
    <t>TARGET-DESCRIPTION</t>
  </si>
  <si>
    <t>Implementation aspects of speaker recognition using Python language and Raspberry Pi platform</t>
  </si>
  <si>
    <t>http://ieeexplore.ieee.org/xpls/abs_all.jsp?arnumber=7365153</t>
  </si>
  <si>
    <t>-</t>
  </si>
  <si>
    <t>A Study of the Characteristics of Developers' Activities in GitHub</t>
  </si>
  <si>
    <t>http://ieeexplore.ieee.org/xpls/abs_all.jsp?arnumber=6754343</t>
  </si>
  <si>
    <t>TARGET-SUDY</t>
  </si>
  <si>
    <t>longitudinal study</t>
  </si>
  <si>
    <t>L100,L100</t>
  </si>
  <si>
    <t>[3.1]</t>
  </si>
  <si>
    <t>Analysis of intercrossed open-source software repositories data in GitHub</t>
  </si>
  <si>
    <t>http://ieeexplore.ieee.org/stamp/stamp.jsp?arnumber=6637537</t>
  </si>
  <si>
    <t>What Makes an Open Source Code Popular on Git Hub?</t>
  </si>
  <si>
    <t>http://ieeexplore.ieee.org/xpls/abs_all.jsp?arnumber=7022684</t>
  </si>
  <si>
    <t>workshop</t>
  </si>
  <si>
    <t>100K-1M</t>
  </si>
  <si>
    <t>[2]</t>
  </si>
  <si>
    <t>[2.2]</t>
  </si>
  <si>
    <t>Towards a survival analysis of database framework usage in Java projects</t>
  </si>
  <si>
    <t>http://ieeexplore.ieee.org/xpls/abs_all.jsp?arnumber=7332512</t>
  </si>
  <si>
    <t>StoreSim: Optimizing Information Leakage in Multicloud Storage Services</t>
  </si>
  <si>
    <t>https://infoscience.epfl.ch/record/212799</t>
  </si>
  <si>
    <t>Identifying Utility Functions Using Random Forests</t>
  </si>
  <si>
    <t>http://www.win.tue.nl/~aserebre/SANER2016Tamara.pdf</t>
  </si>
  <si>
    <t>MeSHSim: An R/Bioconductor package for measuring semantic similarity over MeSH headings and MEDLINE documents</t>
  </si>
  <si>
    <t>http://ieeexplore.ieee.org/xpls/abs_all.jsp?arnumber=7260989</t>
  </si>
  <si>
    <t>Mining Developer Contribution in Open Source Software Using Visualization Techniques</t>
  </si>
  <si>
    <t>http://ieeexplore.ieee.org/xpls/abs_all.jsp?arnumber=6456216</t>
  </si>
  <si>
    <t>How Social and Communication Channels Shape and Challenge a Participatory Culture in Software Development</t>
  </si>
  <si>
    <t>http://alexeyza.com/pdf/tse2016.pdf</t>
  </si>
  <si>
    <t>journal</t>
  </si>
  <si>
    <t>21% and 16% response rates</t>
  </si>
  <si>
    <t>manual</t>
  </si>
  <si>
    <t>[2][3][4]</t>
  </si>
  <si>
    <t>[2.1][3.1][4.1][4.3]</t>
  </si>
  <si>
    <t>Extending Our Field's Reach</t>
  </si>
  <si>
    <t>https://www.computer.org/csdl/mags/so/2015/06/mso2015060004.pdf</t>
  </si>
  <si>
    <t>Parallelizing BLAST and SOM Algorithms with MapReduce-MPI Library</t>
  </si>
  <si>
    <t>http://ieeexplore.ieee.org/xpls/abs_all.jsp?arnumber=6008868</t>
  </si>
  <si>
    <t>An Exploratory Research of GitHub Based on Graph Model</t>
  </si>
  <si>
    <t>http://ieeexplore.ieee.org/xpl/articleDetails.jsp?reload=true&amp;arnumber=7314657</t>
  </si>
  <si>
    <t>OK</t>
  </si>
  <si>
    <t>Final Selection</t>
  </si>
  <si>
    <t>Data collection and analysis of GitHub repositories and users</t>
  </si>
  <si>
    <t>http://ieeexplore.ieee.org/xpl/articleDetails.jsp?reload=true&amp;arnumber=7388026</t>
  </si>
  <si>
    <t>simple random sample with selection criteria (sampling frame)</t>
  </si>
  <si>
    <t>1K-100K,1K-100K</t>
  </si>
  <si>
    <t>[2][3]</t>
  </si>
  <si>
    <t>[2.1][2.2][2.3][3.4]</t>
  </si>
  <si>
    <t>On the weight sparsity of multilayer perceptrons</t>
  </si>
  <si>
    <t>http://ieeexplore.ieee.org/xpls/abs_all.jsp?arnumber=7388096</t>
  </si>
  <si>
    <t>Monitoring user-system interactions through graph-based intrinsic dynamics analysis</t>
  </si>
  <si>
    <t>http://ieeexplore.ieee.org/xpls/abs_all.jsp?arnumber=6577695</t>
  </si>
  <si>
    <t>Data Mining Behavioral Transitions in Open Source Repositories</t>
  </si>
  <si>
    <t>http://ieeexplore.ieee.org/stamp/stamp.jsp?arnumber=7070450</t>
  </si>
  <si>
    <t>survey (59% response rate) ref.67</t>
  </si>
  <si>
    <t>A novel approach for estimating Truck Factors</t>
  </si>
  <si>
    <t>https://arxiv.org/abs/1604.06766</t>
  </si>
  <si>
    <t>[1.1][2.3]</t>
  </si>
  <si>
    <t>Efficient Drug-Pathway Association Analysis via Integrative Penalized Matrix Decomposition</t>
  </si>
  <si>
    <t>http://ieeexplore.ieee.org/xpls/abs_all.jsp?arnumber=7172456</t>
  </si>
  <si>
    <t>Defining the Stack for Service Delivery Models and Interoperability in the Internet of Things: A Practical Case With OpenIoT-VDK</t>
  </si>
  <si>
    <t>http://ieeexplore.ieee.org/xpls/abs_all.jsp?arnumber=7012040</t>
  </si>
  <si>
    <t>A network of Rails a graph dataset of Ruby on Rails and associated projects</t>
  </si>
  <si>
    <t>http://delivery.acm.org/10.1145/2490000/2487131/p229-wagstrom.pdf?ip=213.73.39.43&amp;id=2487131&amp;acc=ACTIVE%20SERVICE&amp;key=DD1EC5BCF38B3699%2E47238C40243806F7%2E4D4702B0C3E38B35%2E4D4702B0C3E38B35&amp;CFID=813132304&amp;CFTOKEN=98112896&amp;__acm__=1468597926_0801bbce2dda19875e13dc47c3822918</t>
  </si>
  <si>
    <t>Unveiling Exception Handling Bug Hazards in Android Based on GitHub and Google Code Issues</t>
  </si>
  <si>
    <t>http://dl.acm.org/citation.cfm?id=2820536</t>
  </si>
  <si>
    <t>A Generalized Lattice based Probabilistic Approach for Metagenomic Clustering</t>
  </si>
  <si>
    <t>http://ieeexplore.ieee.org/xpls/abs_all.jsp?arnumber=7465763</t>
  </si>
  <si>
    <t>Understanding software performance regressions using differential flame graphs</t>
  </si>
  <si>
    <t>http://ieeexplore.ieee.org/xpls/abs_all.jsp?arnumber=7081872</t>
  </si>
  <si>
    <t>GiLA: GitHub label analyzer</t>
  </si>
  <si>
    <t>http://ieeexplore.ieee.org/xpls/abs_all.jsp?arnumber=7081860</t>
  </si>
  <si>
    <t>A Data Set for Social Diversity Studies of GitHub Teams</t>
  </si>
  <si>
    <t>http://dl.acm.org/citation.cfm?id=2820601</t>
  </si>
  <si>
    <t>The Runos OpenFlow Controller</t>
  </si>
  <si>
    <t>https://www.computer.org/csdl/proceedings/ewsdn/2015/0180/00/0180a103.pdf</t>
  </si>
  <si>
    <t>Will They Like This? Evaluating Code Contributions with Language Models</t>
  </si>
  <si>
    <t>http://dl.acm.org/citation.cfm?id=2820539</t>
  </si>
  <si>
    <t>[1.1][2.3][2.4]</t>
  </si>
  <si>
    <t>PVLIB Python 2015</t>
  </si>
  <si>
    <t>http://ieeexplore.ieee.org/stamp/stamp.jsp?arnumber=7356005</t>
  </si>
  <si>
    <t>Power-Laws and Structure in Functional Programs</t>
  </si>
  <si>
    <t>http://ieeexplore.ieee.org/xpls/abs_all.jsp?arnumber=6822323</t>
  </si>
  <si>
    <t>Aviation analytics and the Internet of Things</t>
  </si>
  <si>
    <t>http://ieeexplore.ieee.org/xpls/abs_all.jsp?arnumber=7486327</t>
  </si>
  <si>
    <t>Understanding the Test Automation Culture of App Developers</t>
  </si>
  <si>
    <t>http://thomas-zimmermann.com/publications/files/kochhar-icst-2015.pdf</t>
  </si>
  <si>
    <t>Metadata Validation</t>
  </si>
  <si>
    <t>How do GitHub Users Feel with Pull-Based Development?</t>
  </si>
  <si>
    <t>https://www.researchgate.net/publication/299535858_How_Do_Github_Users_Feel_with_Pull-Based_Development</t>
  </si>
  <si>
    <t>11.8% response rate</t>
  </si>
  <si>
    <t>1K-100K,100-1K</t>
  </si>
  <si>
    <t>A graph-theoretical approach for motif discovery in protein sequences</t>
  </si>
  <si>
    <t>http://www.ncbi.nlm.nih.gov/pubmed/26841406</t>
  </si>
  <si>
    <t>TBIL: A Tagging-Based Approach to Identity Linkage Across Software Communities</t>
  </si>
  <si>
    <t>http://ieeexplore.ieee.org/xpls/abs_all.jsp?arnumber=7467283</t>
  </si>
  <si>
    <t>Role Distribution and Transformation in Open Source Software Project Teams</t>
  </si>
  <si>
    <t>http://ieeexplore.ieee.org/stamp/stamp.jsp?arnumber=7467291</t>
  </si>
  <si>
    <t>YES, dataset</t>
  </si>
  <si>
    <t>[2.3]</t>
  </si>
  <si>
    <t>Helping testers by fault-prone functionality prediction</t>
  </si>
  <si>
    <t>http://ieeexplore.ieee.org/xpls/abs_all.jsp?arnumber=7217084</t>
  </si>
  <si>
    <t>CodeExchange: Supporting Reformulation of Internet-Scale Code Queries in Context (T)</t>
  </si>
  <si>
    <t>http://ieeexplore.ieee.org/xpls/abs_all.jsp?arnumber=7371992</t>
  </si>
  <si>
    <t>Automatic and portable cloud deployment for scientific simulations</t>
  </si>
  <si>
    <t>http://ieeexplore.ieee.org/xpls/abs_all.jsp?arnumber=6903710</t>
  </si>
  <si>
    <t>Time-constrained requirements elicitation: reusing GitHub content</t>
  </si>
  <si>
    <t>http://ieeexplore.ieee.org/stamp/stamp.jsp?arnumber=7330171</t>
  </si>
  <si>
    <t>Tool Demo: Browsing Software Repositories</t>
  </si>
  <si>
    <t>http://cs.brown.edu/~spr/codebubbles/rebusdemoicsmfinal.pdf</t>
  </si>
  <si>
    <t>Git</t>
  </si>
  <si>
    <t>https://git-scm.com/</t>
  </si>
  <si>
    <t>Mining Energy-Aware Commits</t>
  </si>
  <si>
    <t>http://ieeexplore.ieee.org/xpl/articleDetails.jsp?reload=true&amp;arnumber=7180067</t>
  </si>
  <si>
    <t>An Empirical Study on the Usage of Mocking Frameworks in Software Testing</t>
  </si>
  <si>
    <t>http://ieeexplore.ieee.org/xpls/abs_all.jsp?arnumber=6958396</t>
  </si>
  <si>
    <t>Mining GitHub for Novel Change Metrics to Predict Buggy Files in Software Systems</t>
  </si>
  <si>
    <t>http://ieeexplore.ieee.org/xpl/articleDetails.jsp?tp=&amp;arnumber=7053796</t>
  </si>
  <si>
    <t>Got issues? Who cares about it? A large scale investigation of issue trackers from GitHub</t>
  </si>
  <si>
    <t>http://ieeexplore.ieee.org/xpls/abs_all.jsp?arnumber=6698918</t>
  </si>
  <si>
    <t>systematic random sample</t>
  </si>
  <si>
    <t>[1][3]</t>
  </si>
  <si>
    <t>[1.2][3.1][3.5]</t>
  </si>
  <si>
    <t>Collecting software defect data automatically from web site of open-source software</t>
  </si>
  <si>
    <t>http://ieeexplore.ieee.org/xpls/abs_all.jsp?arnumber=7107198</t>
  </si>
  <si>
    <t>Towards Building API Usage Example Metrics</t>
  </si>
  <si>
    <t>http://ieeexplore.ieee.org/xpls/abs_all.jsp?arnumber=7476684</t>
  </si>
  <si>
    <t>A Dataset for API Usage</t>
  </si>
  <si>
    <t>http://dl.acm.org/citation.cfm?id=2820599</t>
  </si>
  <si>
    <t>Building test suites in social coding sites by leveraging drive-by commits</t>
  </si>
  <si>
    <t>http://dl.acm.org/citation.cfm?id=2486964</t>
  </si>
  <si>
    <t>Non-parametric change point detection for spike trains</t>
  </si>
  <si>
    <t>https://www.researchgate.net/publication/292982370_Non-parametric_Change_Point_Detection_for_Spike_Trains</t>
  </si>
  <si>
    <t>Using GitHub in the classroom - a collaborative learning experience</t>
  </si>
  <si>
    <t>http://ieeexplore.ieee.org/xpls/abs_all.jsp?arnumber=7342358</t>
  </si>
  <si>
    <t>Detecting and Mitigating Secret-Key Leaks in Source Code Repositories</t>
  </si>
  <si>
    <t>http://ieeexplore.ieee.org/xpls/abs_all.jsp?arnumber=7180102</t>
  </si>
  <si>
    <t>The Story of SimH</t>
  </si>
  <si>
    <t>https://www.computer.org/csdl/mags/an/2015/03/man2015030078.pdf</t>
  </si>
  <si>
    <t>Software analytics study of Open-Source system survivability through social contagion</t>
  </si>
  <si>
    <t>http://ieeexplore.ieee.org/xpls/abs_all.jsp?arnumber=7385840</t>
  </si>
  <si>
    <t>[2.4]</t>
  </si>
  <si>
    <t>Fitting 3D Morphable Face Models using local features</t>
  </si>
  <si>
    <t>http://ieeexplore.ieee.org/xpls/abs_all.jsp?arnumber=7350989</t>
  </si>
  <si>
    <t>survey ref.106</t>
  </si>
  <si>
    <t>Forked and integrated variants in an open-source firmware project</t>
  </si>
  <si>
    <t>http://ieeexplore.ieee.org/xpls/abs_all.jsp?arnumber=7332461</t>
  </si>
  <si>
    <t>metadata observation, survey (response rate 18.3%, 15.2%)</t>
  </si>
  <si>
    <t>L100,100-1K</t>
  </si>
  <si>
    <t>[1.3]</t>
  </si>
  <si>
    <t>Automating multi-throw multilateral surgical suturing with a mechanical needle guide and sequential convex optimization</t>
  </si>
  <si>
    <t>http://goldberg.berkeley.edu/pubs/icra2016-final-suturing.pdf</t>
  </si>
  <si>
    <t>Visualizing time and geography of open source software with storygraph</t>
  </si>
  <si>
    <t>https://www.computer.org/csdl/proceedings/vissoft/2013/9999/00/06650532.pdf</t>
  </si>
  <si>
    <t>Does JavaScript software embrace classes?</t>
  </si>
  <si>
    <t>http://ieeexplore.ieee.org/xpl/articleDetails.jsp?reload=true&amp;arnumber=7081817</t>
  </si>
  <si>
    <t>TSC-DL: Unsupervised trajectory segmentation of multi-modal surgical demonstrations with Deep Learning</t>
  </si>
  <si>
    <t>http://berkeleyautomation.github.io/tsc-dl/</t>
  </si>
  <si>
    <t>Feature modeling and separation of concerns with FAMILIAR</t>
  </si>
  <si>
    <t>http://ieeexplore.ieee.org/xpls/abs_all.jsp?arnumber=6664179</t>
  </si>
  <si>
    <t>CloCom: Mining existing source code for automatic comment generation</t>
  </si>
  <si>
    <t>http://ieeexplore.ieee.org/xpls/abs_all.jsp?arnumber=7081848</t>
  </si>
  <si>
    <t>Analysis of Software Developer Activity on a Distributed Version Control System</t>
  </si>
  <si>
    <t>http://ieeexplore.ieee.org/xpls/abs_all.jsp?arnumber=7471284</t>
  </si>
  <si>
    <t>Open Source-Style Collaborative Development Practices in Commercial Projects Using GitHub</t>
  </si>
  <si>
    <t>http://ieeexplore.ieee.org/xpl/articleDetails.jsp?reload=true&amp;arnumber=7194607</t>
  </si>
  <si>
    <t>24% response rate</t>
  </si>
  <si>
    <t>[2][4]</t>
  </si>
  <si>
    <t>[2.1][4.2]</t>
  </si>
  <si>
    <t>StackOverflow and GitHub: Associations between Software Development and Crowdsourced Knowledge</t>
  </si>
  <si>
    <t>http://ieeexplore.ieee.org/xpls/abs_all.jsp?arnumber=6693332</t>
  </si>
  <si>
    <t>[4.3]</t>
  </si>
  <si>
    <t>Defending against the attack of the micro-clones</t>
  </si>
  <si>
    <t>http://ieeexplore.ieee.org/xpls/abs_all.jsp?arnumber=7503736</t>
  </si>
  <si>
    <t>Prototype of Kanban Tool and Preliminary Evaluation of Visualizing Method for Task Assignment</t>
  </si>
  <si>
    <t>http://ieeexplore.ieee.org/xpl/articleDetails.jsp?reload=true&amp;arnumber=7372311</t>
  </si>
  <si>
    <t>Briareus: Accelerating Python Applications with Cloud</t>
  </si>
  <si>
    <t>http://ieeexplore.ieee.org/stamp/stamp.jsp?arnumber=6651038</t>
  </si>
  <si>
    <t>A Large Scale Study of License Usage on GitHub</t>
  </si>
  <si>
    <t>http://ieeexplore.ieee.org/xpl/login.jsp?tp=&amp;arnumber=7203066&amp;url=http%3A%2F%2Fieeexplore.ieee.org%2Fxpls%2Fabs_all.jsp%3Farnumber%3D7203066</t>
  </si>
  <si>
    <t>Statistical analysis of popular open source software projects and their communities</t>
  </si>
  <si>
    <t>http://ieeexplore.ieee.org/xpl/login.jsp?tp=&amp;arnumber=7007913&amp;url=http%3A%2F%2Fieeexplore.ieee.org%2Fxpls%2Fabs_all.jsp%3Farnumber%3D7007913</t>
  </si>
  <si>
    <t>Orion: A Software Project Search Engine with Integrated Diverse Software Artifacts</t>
  </si>
  <si>
    <t>http://ieeexplore.ieee.org/xpl/login.jsp?tp=&amp;arnumber=6601829&amp;url=http%3A%2F%2Fieeexplore.ieee.org%2Fxpls%2Fabs_all.jsp%3Farnumber%3D6601829</t>
  </si>
  <si>
    <t>An Empirical Study of End-User Programmers in the Computer Music Community</t>
  </si>
  <si>
    <t>http://dl.acm.org/citation.cfm?id=2820554</t>
  </si>
  <si>
    <t>Safe software updates via multi-version execution</t>
  </si>
  <si>
    <t>http://dl.acm.org/citation.cfm?id=2486869</t>
  </si>
  <si>
    <t>The GHTorent dataset and tool suite</t>
  </si>
  <si>
    <t>http://dl.acm.org/citation.cfm?id=2487132</t>
  </si>
  <si>
    <t>survey ref.125</t>
  </si>
  <si>
    <t>Creating a shared understanding of testing culture on a social coding site</t>
  </si>
  <si>
    <t>http://ieeexplore.ieee.org/xpl/login.jsp?tp=&amp;arnumber=6606557&amp;url=http%3A%2F%2Fieeexplore.ieee.org%2Fxpls%2Fabs_all.jsp%3Farnumber%3D6606557</t>
  </si>
  <si>
    <t>interview, survey (14,2% of respondents)</t>
  </si>
  <si>
    <t>GitHubArchive</t>
  </si>
  <si>
    <t>[1][3][4]</t>
  </si>
  <si>
    <t>[1.1][3.1][4.2]</t>
  </si>
  <si>
    <t>How developers detect and fix performance bottlenecks in Android apps</t>
  </si>
  <si>
    <t>http://ieeexplore.ieee.org/xpl/login.jsp?tp=&amp;arnumber=7332486&amp;url=http%3A%2F%2Fieeexplore.ieee.org%2Fxpls%2Fabs_all.jsp%3Farnumber%3D7332486</t>
  </si>
  <si>
    <t>Ecosystems in GitHub and a Method for Ecosystem Identification Using Reference Coupling</t>
  </si>
  <si>
    <t>http://dl.acm.org/citation.cfm?id=2820544</t>
  </si>
  <si>
    <t>population</t>
  </si>
  <si>
    <t>Reviewer Recommender of Pull-Requests in GitHub</t>
  </si>
  <si>
    <t>https://www.semanticscholar.org/paper/Reviewer-Recommender-of-Pull-Requests-in-GitHub-Yu-Wang/dccb1f1d6490b44f930b2413d1a1aa1b471478df/pdf</t>
  </si>
  <si>
    <t>Latent Co-development Analysis Based Semantic Search for Large Code Repositories</t>
  </si>
  <si>
    <t>http://ieeexplore.ieee.org/xpl/login.jsp?tp=&amp;arnumber=6676910&amp;url=http%3A%2F%2Fieeexplore.ieee.org%2Fxpls%2Fabs_all.jsp%3Farnumber%3D6676910</t>
  </si>
  <si>
    <t>Finding next best views for autonomous UAV mapping through GPU-accelerated particle simulation</t>
  </si>
  <si>
    <t>http://ieeexplore.ieee.org/xpl/login.jsp?tp=&amp;arnumber=6696481&amp;url=http%3A%2F%2Fieeexplore.ieee.org%2Fxpls%2Fabs_all.jsp%3Farnumber%3D6696481</t>
  </si>
  <si>
    <t>Apiwave: Keeping track of API popularity and migration</t>
  </si>
  <si>
    <t>http://ieeexplore.ieee.org/xpl/login.jsp?tp=&amp;arnumber=7332478&amp;url=http%3A%2F%2Fieeexplore.ieee.org%2Fxpls%2Fabs_all.jsp%3Farnumber%3D7332478</t>
  </si>
  <si>
    <t>Understanding project dissemination on a social coding site</t>
  </si>
  <si>
    <t>http://ieeexplore.ieee.org/xpl/login.jsp?tp=&amp;arnumber=6671288&amp;url=http%3A%2F%2Fieeexplore.ieee.org%2Fxpls%2Fabs_all.jsp%3Farnumber%3D6671288</t>
  </si>
  <si>
    <t>100K-1M,1K-100K</t>
  </si>
  <si>
    <t>[3.1][3.2][3.4]</t>
  </si>
  <si>
    <t>Securing a Deployment Pipeline</t>
  </si>
  <si>
    <t>http://ieeexplore.ieee.org/xpl/login.jsp?tp=&amp;arnumber=7169443&amp;url=http%3A%2F%2Fieeexplore.ieee.org%2Fxpls%2Fabs_all.jsp%3Farnumber%3D7169443</t>
  </si>
  <si>
    <t>CodeHow: Effective Code Search Based on API Understanding and Extended Boolean Model (E)</t>
  </si>
  <si>
    <t>http://ieeexplore.ieee.org/xpl/login.jsp?tp=&amp;arnumber=7372014&amp;url=http%3A%2F%2Fieeexplore.ieee.org%2Fxpls%2Fabs_all.jsp%3Farnumber%3D7372014</t>
  </si>
  <si>
    <t>Network Structure of Social Coding in GitHub</t>
  </si>
  <si>
    <t>http://ieeexplore.ieee.org/xpl/login.jsp?tp=&amp;arnumber=6498480&amp;url=http%3A%2F%2Fieeexplore.ieee.org%2Fxpls%2Fabs_all.jsp%3Farnumber%3D6498480</t>
  </si>
  <si>
    <t>[4.2]</t>
  </si>
  <si>
    <t>GHTorrent: Github's data from a firehose</t>
  </si>
  <si>
    <t>http://ieeexplore.ieee.org/xpl/login.jsp?tp=&amp;arnumber=6224294&amp;url=http%3A%2F%2Fieeexplore.ieee.org%2Fxpls%2Fabs_all.jsp%3Farnumber%3D6224294</t>
  </si>
  <si>
    <t>A general purpose configurable navigation controller for micro aerial multirotor vehicles</t>
  </si>
  <si>
    <t>http://ieeexplore.ieee.org/xpl/login.jsp?tp=&amp;arnumber=6564733&amp;url=http%3A%2F%2Fieeexplore.ieee.org%2Fxpls%2Fabs_all.jsp%3Farnumber%3D6564733</t>
  </si>
  <si>
    <t>A historical dataset of software engineering conferences</t>
  </si>
  <si>
    <t>http://dl.acm.org/citation.cfm?id=2487153</t>
  </si>
  <si>
    <t>Forking and the Sustainability of the Developer Community Participation -- An Empirical Investigation on Outcomes and Reasons</t>
  </si>
  <si>
    <t>http://ieeexplore.ieee.org/xpl/login.jsp?tp=&amp;arnumber=7476634&amp;url=http%3A%2F%2Fieeexplore.ieee.org%2Fxpls%2Fabs_all.jsp%3Farnumber%3D7476634</t>
  </si>
  <si>
    <t>DORC: Distributed online route computation - Higher throughput, more privacy</t>
  </si>
  <si>
    <t>http://ieeexplore.ieee.org/xpl/login.jsp?tp=&amp;arnumber=6529512&amp;url=http%3A%2F%2Fieeexplore.ieee.org%2Fxpls%2Fabs_all.jsp%3Farnumber%3D6529512</t>
  </si>
  <si>
    <t>Who Should Review this Pull-Request: Reviewer Recommendation to Expedite Crowd Collaboration</t>
  </si>
  <si>
    <t>http://ieeexplore.ieee.org/xpl/login.jsp?tp=&amp;arnumber=7091328&amp;url=http%3A%2F%2Fieeexplore.ieee.org%2Fxpls%2Fabs_all.jsp%3Farnumber%3D7091328</t>
  </si>
  <si>
    <t>Mining Software Contracts for Software Evolution</t>
  </si>
  <si>
    <t>http://conferences.computer.org/icsme/2014/papers/6146a471.pdf</t>
  </si>
  <si>
    <t>What Is the Gist? Understanding the Use of Public Gists on GitHub</t>
  </si>
  <si>
    <t>http://dl.acm.org/citation.cfm?id=2820556</t>
  </si>
  <si>
    <t>Matching GitHub Developer Profiles to Job Advertisements</t>
  </si>
  <si>
    <t>http://dl.acm.org/citation.cfm?id=2820563</t>
  </si>
  <si>
    <t>On the Use of Context in Recommending Exception Handling Code Examples</t>
  </si>
  <si>
    <t>http://homepage.usask.ca/~masud.rahman/papers/masud-SCAM2014-6148a285.pdf</t>
  </si>
  <si>
    <t>Find your library experts</t>
  </si>
  <si>
    <t>https://www.semanticscholar.org/paper/Find-your-library-experts-Teyton-Falleri/b293a5077145b8f447d17c6ddf3fab3336acbb3d/pdf</t>
  </si>
  <si>
    <t>A Repository with 44 Years of Unix Evolution</t>
  </si>
  <si>
    <t>http://dl.acm.org/citation.cfm?id=2820588</t>
  </si>
  <si>
    <t>SOURCE-TOOL</t>
  </si>
  <si>
    <t>Towards an Empirical Analysis of .NET Framework and C# Language Features' Adoption</t>
  </si>
  <si>
    <t>http://ieeexplore.ieee.org/xpl/login.jsp?tp=&amp;arnumber=7424222&amp;url=http%3A%2F%2Fieeexplore.ieee.org%2Fxpls%2Fabs_all.jsp%3Farnumber%3D7424222</t>
  </si>
  <si>
    <t>KWIVER: An open source cross-platform video exploitation framework</t>
  </si>
  <si>
    <t>http://ieeexplore.ieee.org/xpl/login.jsp?tp=&amp;arnumber=7041910&amp;url=http%3A%2F%2Fieeexplore.ieee.org%2Fxpls%2Fabs_all.jsp%3Farnumber%3D7041910</t>
  </si>
  <si>
    <t>A use case of the simulation-based approach to mobile robot algorithm development</t>
  </si>
  <si>
    <t>http://ieeexplore.ieee.org/xpl/login.jsp?tp=&amp;arnumber=7423026&amp;url=http%3A%2F%2Fieeexplore.ieee.org%2Fxpls%2Fabs_all.jsp%3Farnumber%3D7423026</t>
  </si>
  <si>
    <t>When and why developers adopt and change software licenses</t>
  </si>
  <si>
    <t>http://ieeexplore.ieee.org/xpl/login.jsp?tp=&amp;arnumber=7332449&amp;url=http%3A%2F%2Fieeexplore.ieee.org%2Fxpls%2Fabs_all.jsp%3Farnumber%3D7332449</t>
  </si>
  <si>
    <t>SPARQL Queries over Source Code</t>
  </si>
  <si>
    <t>http://ieeexplore.ieee.org/xpl/login.jsp?tp=&amp;arnumber=7439313&amp;url=http%3A%2F%2Fieeexplore.ieee.org%2Fxpls%2Fabs_all.jsp%3Farnumber%3D7439313</t>
  </si>
  <si>
    <t>Leveraging Transparency</t>
  </si>
  <si>
    <t>http://ieeexplore.ieee.org/xpl/login.jsp?tp=&amp;arnumber=6357175&amp;url=http%3A%2F%2Fieeexplore.ieee.org%2Fxpls%2Fabs_all.jsp%3Farnumber%3D6357175</t>
  </si>
  <si>
    <t>Software, IEEE</t>
  </si>
  <si>
    <t>interview</t>
  </si>
  <si>
    <t>[1][2][3][4]</t>
  </si>
  <si>
    <t>[1.1][2.2][3.1][3.2][3.5][4.2]</t>
  </si>
  <si>
    <t>Open Source Resume (OSR): A Visualization Tool for Presenting OSS Biographies of Developers</t>
  </si>
  <si>
    <t>http://ieeexplore.ieee.org/xpl/login.jsp?tp=&amp;arnumber=7464554&amp;url=http%3A%2F%2Fieeexplore.ieee.org%2Fxpls%2Fabs_all.jsp%3Farnumber%3D7464554</t>
  </si>
  <si>
    <t>When It Breaks, It Breaks: How Ecosystem Developers Reason about the Stability of Dependencies</t>
  </si>
  <si>
    <t>http://ieeexplore.ieee.org/xpl/login.jsp?tp=&amp;arnumber=7426643&amp;url=http%3A%2F%2Fieeexplore.ieee.org%2Fxpls%2Fabs_all.jsp%3Farnumber%3D7426643</t>
  </si>
  <si>
    <t>https://www.computer.org/csdl/trans/ts/preprint/07498605-abs.html</t>
  </si>
  <si>
    <t>Prediction of the Complexity of Code Changes Based on Number of Open bugs, New Feature and Feature Improvement</t>
  </si>
  <si>
    <t>http://ieeexplore.ieee.org/xpl/login.jsp?tp=&amp;arnumber=6983889&amp;url=http%3A%2F%2Fieeexplore.ieee.org%2Fxpls%2Fabs_all.jsp%3Farnumber%3D6983889</t>
  </si>
  <si>
    <t>Bioacoustic approaches to biodiversity monitoring and conservation in Kenya</t>
  </si>
  <si>
    <t>http://ieeexplore.ieee.org/xpl/login.jsp?tp=&amp;arnumber=7190558&amp;url=http%3A%2F%2Fieeexplore.ieee.org%2Fxpls%2Fabs_all.jsp%3Farnumber%3D7190558</t>
  </si>
  <si>
    <t>Analyzing the State of Static Analysis: A Large-Scale Evaluation in Open Source Software</t>
  </si>
  <si>
    <t>http://ieeexplore.ieee.org/xpl/login.jsp?tp=&amp;arnumber=7476667&amp;url=http%3A%2F%2Fieeexplore.ieee.org%2Fxpls%2Fabs_all.jsp%3Farnumber%3D7476667</t>
  </si>
  <si>
    <t>SOA4DM: Applying an SOA Paradigm to Coordination in Humanitarian Disaster Response</t>
  </si>
  <si>
    <t>http://ieeexplore.ieee.org/xpl/login.jsp?tp=&amp;arnumber=7203004&amp;url=http%3A%2F%2Fieeexplore.ieee.org%2Fxpls%2Fabs_all.jsp%3Farnumber%3D7203004</t>
  </si>
  <si>
    <t>The GitHub Effect</t>
  </si>
  <si>
    <t>http://ieeexplore.ieee.org/xpls/abs_all.jsp?arnumber=7111895</t>
  </si>
  <si>
    <t>Normalizing kernels in the Billera-Holmes-Vogtmann treespace</t>
  </si>
  <si>
    <t>http://ieeexplore.ieee.org/xpl/login.jsp?tp=&amp;arnumber=7467520&amp;url=http%3A%2F%2Fieeexplore.ieee.org%2Fxpls%2Fabs_all.jsp%3Farnumber%3D7467520</t>
  </si>
  <si>
    <t>Popularity, Interoperability, and Impact of Programming Languages in 100,000 Open Source Projects</t>
  </si>
  <si>
    <t>http://ieeexplore.ieee.org/xpl/login.jsp?tp=&amp;arnumber=6649842&amp;url=http%3A%2F%2Fieeexplore.ieee.org%2Fxpls%2Fabs_all.jsp%3Farnumber%3D6649842</t>
  </si>
  <si>
    <t>A process to mining issues of software repositories</t>
  </si>
  <si>
    <t>http://ieeexplore.ieee.org/xpl/login.jsp?tp=&amp;arnumber=7170552&amp;url=http%3A%2F%2Fieeexplore.ieee.org%2Fxpls%2Fabs_all.jsp%3Farnumber%3D7170552</t>
  </si>
  <si>
    <t>ForenVisor: A Tool for Acquiring and Preserving Reliable Data in Cloud Live Forensics</t>
  </si>
  <si>
    <t>http://ieeexplore.ieee.org/xpl/login.jsp?tp=&amp;arnumber=7420687&amp;url=http%3A%2F%2Fieeexplore.ieee.org%2Fxpls%2Fabs_all.jsp%3Farnumber%3D7420687</t>
  </si>
  <si>
    <t>Exploring the use of labels to categorize issues in Open-Source Software projects</t>
  </si>
  <si>
    <t>http://ieeexplore.ieee.org/xpl/login.jsp?tp=&amp;arnumber=7081875&amp;url=http%3A%2F%2Fieeexplore.ieee.org%2Fxpls%2Fabs_all.jsp%3Farnumber%3D7081875</t>
  </si>
  <si>
    <t>G1M</t>
  </si>
  <si>
    <t>[1.2][2.1][2.4]</t>
  </si>
  <si>
    <t>Dex-Net 1.0: A cloud-based network of 3D objects for robust grasp planning using a Multi-Armed Bandit model with correlated rewards</t>
  </si>
  <si>
    <t>http://goldberg.berkeley.edu/pubs/icra16-submitted-Dex-Net.pdf</t>
  </si>
  <si>
    <t>Automatically Prioritizing Pull Requests</t>
  </si>
  <si>
    <t>http://dl.acm.org/citation.cfm?id=2820562</t>
  </si>
  <si>
    <t>Accelerating large-scale biological database search on Xeon Phi-based neo-heterogeneous architectures</t>
  </si>
  <si>
    <t>http://ieeexplore.ieee.org/xpl/login.jsp?tp=&amp;arnumber=7359735&amp;url=http%3A%2F%2Fieeexplore.ieee.org%2Fxpls%2Fabs_all.jsp%3Farnumber%3D7359735</t>
  </si>
  <si>
    <t>Developer Behavior and Sentiment from Data Mining Open Source Repositories</t>
  </si>
  <si>
    <t>http://ieeexplore.ieee.org/xpl/login.jsp?tp=&amp;arnumber=7427649&amp;url=http%3A%2F%2Fieeexplore.ieee.org%2Fxpls%2Fabs_all.jsp%3Farnumber%3D7427649</t>
  </si>
  <si>
    <t>Synthesizing Continuous Deployment Practices Used in Software Development</t>
  </si>
  <si>
    <t>http://ieeexplore.ieee.org/xpl/login.jsp?tp=&amp;arnumber=7284592&amp;url=http%3A%2F%2Fieeexplore.ieee.org%2Fxpls%2Fabs_all.jsp%3Farnumber%3D7284592</t>
  </si>
  <si>
    <t>An open-source hardware for electrical bioimpedance measurement</t>
  </si>
  <si>
    <t>http://ieeexplore.ieee.org/xpl/login.jsp?tp=&amp;arnumber=6376851&amp;url=http%3A%2F%2Fieeexplore.ieee.org%2Fxpls%2Fabs_all.jsp%3Farnumber%3D6376851</t>
  </si>
  <si>
    <t>A Multi-level Funneling Approach to Data Provenance Reconstruction</t>
  </si>
  <si>
    <t>http://ieeexplore.ieee.org/xpl/login.jsp?tp=&amp;arnumber=6972100&amp;url=http%3A%2F%2Fieeexplore.ieee.org%2Fxpls%2Fabs_all.jsp%3Farnumber%3D6972100</t>
  </si>
  <si>
    <t>A Generic Framework for Concept-Based Exploration of Semi-Structured Software Engineering Data</t>
  </si>
  <si>
    <t>http://ieeexplore.ieee.org/xpl/login.jsp?tp=&amp;arnumber=7372087&amp;url=http%3A%2F%2Fieeexplore.ieee.org%2Fxpls%2Fabs_all.jsp%3Farnumber%3D7372087</t>
  </si>
  <si>
    <t>Investigating and Projecting Population Structures in Open Source Software Projects: A Case Study of Projects in GitHub</t>
  </si>
  <si>
    <t>https://www.researchgate.net/publication/301760312_Investigating_and_Projecting_Population_Structures_in_Open_Source_Software_Projects_A_Case_Study_of_Projects_in_GitHub</t>
  </si>
  <si>
    <t>Understanding the popular users: Following, affiliation influence and leadership on GitHub</t>
  </si>
  <si>
    <t>http://www.sciencedirect.com/science/article/pii/S0950584915001688</t>
  </si>
  <si>
    <t>metadata observation, survey (20% response rate)</t>
  </si>
  <si>
    <t>Reviewer recommendation for pull-requests in GitHub: What can we learn from code review and bug assignment?</t>
  </si>
  <si>
    <t>http://www.sciencedirect.com/science/article/pii/S0950584916000069</t>
  </si>
  <si>
    <t>survey ref.175</t>
  </si>
  <si>
    <t>A Quick Introduction to Version Control with Git and GitHub</t>
  </si>
  <si>
    <t>http://journals.plos.org/ploscompbiol/article?id=10.1371/journal.pcbi.1004668</t>
  </si>
  <si>
    <t>Cooperation Prediction in GitHub Developers Network with Restricted Boltzmann Machine</t>
  </si>
  <si>
    <t>http://link.springer.com/chapter/10.1007/978-3-662-49390-8_9</t>
  </si>
  <si>
    <t>A Public Bug Database of GitHub Projects and Its Application in Bug Prediction</t>
  </si>
  <si>
    <t>http://link.springer.com/chapter/10.1007/978-3-319-42089-9_44</t>
  </si>
  <si>
    <t>Measuring user influence in GitHub: the million follower fallacy</t>
  </si>
  <si>
    <t>http://dl.acm.org/citation.cfm?id=2897663</t>
  </si>
  <si>
    <t>[2.1][3.1][3.2][4.1]</t>
  </si>
  <si>
    <t>EARec: leveraging expertise and authority for pull-request reviewer recommendation in GitHub</t>
  </si>
  <si>
    <t>http://dl.acm.org/citation.cfm?id=2897660</t>
  </si>
  <si>
    <t>CoRReCT: code reviewer recommendation in GitHub based on cross-project and technology experience</t>
  </si>
  <si>
    <t>http://dl.acm.org/citation.cfm?id=2889244</t>
  </si>
  <si>
    <t>Student experiences using GitHub in software engineering courses: a case study</t>
  </si>
  <si>
    <t>http://dl.acm.org/citation.cfm?id=2889195</t>
  </si>
  <si>
    <t xml:space="preserve">Do biases related to geographical location influence work-related decisions in GitHub? </t>
  </si>
  <si>
    <t>http://dl.acm.org/citation.cfm?id=2891035</t>
  </si>
  <si>
    <t>ICSE companion</t>
  </si>
  <si>
    <t>The sky is not the limit: multitasking across GitHub projects</t>
  </si>
  <si>
    <t>http://dl.acm.org/citation.cfm?id=2884875</t>
  </si>
  <si>
    <t>Findings from GitHub: methods, datasets and limitations</t>
  </si>
  <si>
    <t>http://dl.acm.org/citation.cfm?id=2901776</t>
  </si>
  <si>
    <t>Using dynamic and contextual features to predict issue lifetime in GitHub projects</t>
  </si>
  <si>
    <t>http://dl.acm.org/citation.cfm?id=2901751</t>
  </si>
  <si>
    <t>The relationship between commit message detail and defect proneness in Java projects on GitHub</t>
  </si>
  <si>
    <t>http://dl.acm.org/citation.cfm?id=2903496</t>
  </si>
  <si>
    <t>Evolution of the number of GitHub users in Spain</t>
  </si>
  <si>
    <t>http://arxiv.org/abs/1601.07862</t>
  </si>
  <si>
    <t>GitHub open source project recommendation system</t>
  </si>
  <si>
    <t>http://arxiv.org/abs/1602.02594</t>
  </si>
  <si>
    <t>On GitHub's Programming Languages</t>
  </si>
  <si>
    <t>http://arxiv.org/abs/1603.00431</t>
  </si>
  <si>
    <t>technical report</t>
  </si>
  <si>
    <t>[2.1][3.4][4.1]</t>
  </si>
  <si>
    <t>Initial and Eventual Software Quality Relating to Continuous Integration in GitHub</t>
  </si>
  <si>
    <t>http://arxiv.org/abs/1606.00521</t>
  </si>
  <si>
    <t>survey ref.193</t>
  </si>
  <si>
    <t>Understanding the Factors that Impact the Popularity of GitHub Repositories</t>
  </si>
  <si>
    <t>http://arxiv.org/abs/1606.04984</t>
  </si>
  <si>
    <t>metadata observation, survey (29.8% response rate)</t>
  </si>
  <si>
    <t>[1][2][4]</t>
  </si>
  <si>
    <t>[1.3][2.1][2.2][4.1]</t>
  </si>
  <si>
    <t>Anonymized e-mail interviews with R package maintainers active on CRAN and GitHub</t>
  </si>
  <si>
    <t>http://arxiv.org/abs/1606.05431</t>
  </si>
  <si>
    <t>Analysis of Test Driven Development on sentiment and coding activities in GitHub repositories</t>
  </si>
  <si>
    <t>https://peerj.com/preprints/1920/</t>
  </si>
  <si>
    <t>Oops, my tests broke the build: An analysis of Travis CI builds with GitHub</t>
  </si>
  <si>
    <t>https://peerj.com/preprints/1984/</t>
  </si>
  <si>
    <t>Introducing GitHub - A Non-Technical Guide</t>
  </si>
  <si>
    <t>https://books.google.es/books?hl=it&amp;lr=&amp;id=OhdOBQAAQBAJ&amp;oi=fnd&amp;pg=PR3&amp;dq=Introducing+GitHub+-+A+Non-Technical+Guide&amp;ots=LiJ7H4j1ZH&amp;sig=r4nWLwRFQOWsYG2v2IM7vtYb6Ds&amp;redir_esc=y#v=onepage&amp;q=Introducing%20GitHub%20-%20A%20Non-Technical%20Guide&amp;f=false</t>
  </si>
  <si>
    <t>https://www.computer.org/csdl/proceedings/iwesep/2016/1851/00/1851a007.pdf</t>
  </si>
  <si>
    <t>Sentiment Analysis in monitoring software development processes: An exploratory case study on GitHub's project issues</t>
  </si>
  <si>
    <t>http://www.sciencedirect.com/science/article/pii/S0164121215000485</t>
  </si>
  <si>
    <t>Diversity in Software Development Routines are Attractive: A Preliminary Analysis of GitHub Repositories</t>
  </si>
  <si>
    <t>http://aisel.aisnet.org/amcis2015/SystemsAnalysis/GeneralPresentations/7/</t>
  </si>
  <si>
    <t>GitHub's big data adaptor: an eclipse plugin</t>
  </si>
  <si>
    <t>http://dl.acm.org/citation.cfm?id=2886490</t>
  </si>
  <si>
    <t>survey ref.201</t>
  </si>
  <si>
    <t>Gender and Tenure Diversity in GitHub Teams</t>
  </si>
  <si>
    <t>http://dl.acm.org/citation.cfm?id=2702549</t>
  </si>
  <si>
    <t>survey (19% of respondents), metadata observation</t>
  </si>
  <si>
    <t>Diversity/Heterogeneity,longitudinal study</t>
  </si>
  <si>
    <t>[2.3][3.1]</t>
  </si>
  <si>
    <t>The Emergence of GitHub as a Collaborative Platform for Education</t>
  </si>
  <si>
    <t>http://dl.acm.org/citation.cfm?id=2675284</t>
  </si>
  <si>
    <t>The Rise of Curation on GitHub</t>
  </si>
  <si>
    <t>https://www.semanticscholar.org/paper/The-Rise-of-Curation-on-GitHub-Wu-Kropczynski/ba5832f29ba9a968dad546e8ba53a0ca8015d24f/pdf</t>
  </si>
  <si>
    <t>Characterization of Source Code Defects by Data Mining Conducted on GitHub</t>
  </si>
  <si>
    <t>http://link.springer.com/chapter/10.1007/978-3-319-21413-9_4</t>
  </si>
  <si>
    <t>Issue Dynamics in Github Projects</t>
  </si>
  <si>
    <t>http://link.springer.com/chapter/10.1007/978-3-319-26844-6_22</t>
  </si>
  <si>
    <t>[1.2]</t>
  </si>
  <si>
    <t>Steal This Courseware: FOSS, Github, Python, and OpenShift (Abstract Only)</t>
  </si>
  <si>
    <t>http://dl.acm.org/citation.cfm?id=2678305</t>
  </si>
  <si>
    <t>An empirical study of goto in C code from GitHub repositories</t>
  </si>
  <si>
    <t>http://dl.acm.org/citation.cfm?id=2786834</t>
  </si>
  <si>
    <t>Quality and productivity outcomes relating to continuous integration in GitHub</t>
  </si>
  <si>
    <t>http://dl.acm.org/citation.cfm?id=2786850</t>
  </si>
  <si>
    <t>Developer onboarding in GitHub: the role of prior social links and language experience</t>
  </si>
  <si>
    <t>http://dl.acm.org/citation.cfm?id=2786854</t>
  </si>
  <si>
    <t>100-1K,1K-100K</t>
  </si>
  <si>
    <t>[1.1][3.1]</t>
  </si>
  <si>
    <t>Tuning GitHub for SPL development: branching models &amp; repository operations for product engineers</t>
  </si>
  <si>
    <t>http://dl.acm.org/citation.cfm?id=2791083</t>
  </si>
  <si>
    <t>Requirements management in GitHub with a lean approach</t>
  </si>
  <si>
    <t>http://ceur-ws.org/Vol-1525/paper-12.pdf</t>
  </si>
  <si>
    <t>Use of GitHub as a platform for open collaboration on text documents</t>
  </si>
  <si>
    <t>http://dl.acm.org/citation.cfm?id=2789838</t>
  </si>
  <si>
    <t>Measuring the local GitHub developer community</t>
  </si>
  <si>
    <t>http://arxiv.org/abs/1501.06857</t>
  </si>
  <si>
    <t>On the Popularity of GitHub Applications: A Preliminary Note</t>
  </si>
  <si>
    <t>http://arxiv.org/abs/1507.00604</t>
  </si>
  <si>
    <t>Parameter-Free Probabilistic API Mining at GitHub Scale</t>
  </si>
  <si>
    <t>http://arxiv.org/abs/1512.05558</t>
  </si>
  <si>
    <t>What is the Truck Factor of popular GitHub applications? A first assessment</t>
  </si>
  <si>
    <t>https://peerj.com/preprints/1233/</t>
  </si>
  <si>
    <t>PeerJ PrePrints</t>
  </si>
  <si>
    <t>interview ref.217</t>
  </si>
  <si>
    <t>Modeling Distributed Collaboration on GitHub</t>
  </si>
  <si>
    <t>http://www.worldscientific.com/doi/pdf/10.1142/S0219525914500246</t>
  </si>
  <si>
    <t>DISCARDED</t>
  </si>
  <si>
    <t>metadata observation,interview</t>
  </si>
  <si>
    <t>GitMiner:</t>
  </si>
  <si>
    <t>Involvement, contribution and influence in GitHub and stack overflow</t>
  </si>
  <si>
    <t>http://dl.acm.org/citation.cfm?id=2735527</t>
  </si>
  <si>
    <t>[3][4]</t>
  </si>
  <si>
    <t>[3.2][4.3]</t>
  </si>
  <si>
    <t>Exploring the ecosystem of software developers on GitHub and other platforms</t>
  </si>
  <si>
    <t>http://dl.acm.org/citation.cfm?id=2556483</t>
  </si>
  <si>
    <t>metadata observation, interview</t>
  </si>
  <si>
    <t>[3.4][3.5][4.3]</t>
  </si>
  <si>
    <t>An empirical assessment of polyglot-ism in GitHub</t>
  </si>
  <si>
    <t>http://dl.acm.org/citation.cfm?id=2601269</t>
  </si>
  <si>
    <t>survey ref.219</t>
  </si>
  <si>
    <t>Patterns of folder use and project popularity: a case study of github repositories</t>
  </si>
  <si>
    <t>http://dl.acm.org/citation.cfm?id=2652564</t>
  </si>
  <si>
    <t>"May the fork be with you": novel metrics to analyze collaboration on GitHub</t>
  </si>
  <si>
    <t>http://dl.acm.org/citation.cfm?id=2593875</t>
  </si>
  <si>
    <t>Influence of social and technical factors for evaluating contribution in GitHub</t>
  </si>
  <si>
    <t>http://dl.acm.org/citation.cfm?id=2568315</t>
  </si>
  <si>
    <t>GitHub API,GitHubArchive</t>
  </si>
  <si>
    <t>Coding Together at Scale: GitHub as a Collaborative Social Network</t>
  </si>
  <si>
    <t>http://arxiv.org/abs/1407.2535</t>
  </si>
  <si>
    <t>[1.1][1.3][2.3][3.1][3.2][3.4]</t>
  </si>
  <si>
    <t>The promises and perils of mining GitHub</t>
  </si>
  <si>
    <t>http://dl.acm.org/citation.cfm?id=2597074</t>
  </si>
  <si>
    <t>A study of external community contribution to open-source projects on GitHub</t>
  </si>
  <si>
    <t>https://www.researchgate.net/profile/Senthil_Kumar_Kumarasamy_Mani/publication/266657799_A_study_of_external_community_contribution_to_open-source_projects_on_GitHub/links/548fb94e0cf225bf66a80433.pdf</t>
  </si>
  <si>
    <t>Understanding watchers on GitHub</t>
  </si>
  <si>
    <t>http://dl.acm.org/citation.cfm?id=2597114</t>
  </si>
  <si>
    <t>[3.5]</t>
  </si>
  <si>
    <t>Security and emotion: sentiment analysis of security discussions on GitHub</t>
  </si>
  <si>
    <t>https://www.researchgate.net/profile/Alexander_Serebrenik/publication/264799488_Security_and_emotion_Sentiment_analysis_of_security_discussions_on_GitHub/links/53f1cc770cf23733e815e2f7.pdf</t>
  </si>
  <si>
    <t>Sentiment analysis of commit comments in GitHub: an empirical study</t>
  </si>
  <si>
    <t>http://dl.acm.org/citation.cfm?id=2597118</t>
  </si>
  <si>
    <t>Co-evolution of project documentation and popularity within github</t>
  </si>
  <si>
    <t>http://dl.acm.org/citation.cfm?id=2597120</t>
  </si>
  <si>
    <t>An insight into the pull requests of GitHub</t>
  </si>
  <si>
    <t>http://dl.acm.org/citation.cfm?id=2597121</t>
  </si>
  <si>
    <t>1K-100K,100K-1M</t>
  </si>
  <si>
    <t>Lean GHTorrent: GitHub data on demand</t>
  </si>
  <si>
    <t>http://dl.acm.org/citation.cfm?id=2597126</t>
  </si>
  <si>
    <t>An Empirical Study of the Dynamics of GitHub Repository and Its Impact on Distributed Software Development</t>
  </si>
  <si>
    <t>http://link.springer.com/chapter/10.1007/978-3-662-45550-0_46#page-1</t>
  </si>
  <si>
    <t>Understanding the popularity of reporters and assignees in the Github</t>
  </si>
  <si>
    <t>https://www.researchgate.net/profile/Joicymara_Xavier/publication/264673002_Understanding_the_popularity_of_reporters_and_assignees_in_the_Github/links/53eadf0a0cf2dc24b3ce7691.pdf</t>
  </si>
  <si>
    <t>[3.3]</t>
  </si>
  <si>
    <t>Recommending relevant projects via user behaviour: an exploratory study on github</t>
  </si>
  <si>
    <t>http://dl.acm.org/citation.cfm?id=2666570</t>
  </si>
  <si>
    <t>Exploring the patterns of social behavior in GitHub</t>
  </si>
  <si>
    <t>http://dl.acm.org/citation.cfm?id=2666571</t>
  </si>
  <si>
    <t>[3.4][4.1]</t>
  </si>
  <si>
    <t>Investigating social media in GitHub's pull-requests: a case study on Ruby on Rails</t>
  </si>
  <si>
    <t>http://dl.acm.org/citation.cfm?id=2666572</t>
  </si>
  <si>
    <t>Let's talk about it: evaluating contributions through discussion in GitHub</t>
  </si>
  <si>
    <t>http://dl.acm.org/citation.cfm?id=2635882</t>
  </si>
  <si>
    <t>A large scale study of programming languages and code quality in github</t>
  </si>
  <si>
    <t>https://www.semanticscholar.org/paper/A-large-scale-study-of-programming-languages-and-Ray-Posnett/30b30b2da89e9a287f235cdec1d346de163e50c5/pdf</t>
  </si>
  <si>
    <t>interview ref.238</t>
  </si>
  <si>
    <t>GitHub Projects. Quality Analysis of Open-Source Software</t>
  </si>
  <si>
    <t>http://link.springer.com/chapter/10.1007/978-3-319-13734-6_6#page-1</t>
  </si>
  <si>
    <t>Google BigQuery,GitHub API</t>
  </si>
  <si>
    <t>[1.2][1.3][2.2][2.3][3.1][4.2]</t>
  </si>
  <si>
    <t>Population dynamics in open source communities: an ecological approach applied to github</t>
  </si>
  <si>
    <t>http://dl.acm.org/citation.cfm?id=2578843</t>
  </si>
  <si>
    <t>Three Metrics to Explore the Openness of GitHub projects</t>
  </si>
  <si>
    <t>http://arxiv.org/abs/1409.4253</t>
  </si>
  <si>
    <t>GitHub developers use rockstars to overcome overflow of news</t>
  </si>
  <si>
    <t>http://dl.acm.org/citation.cfm?id=2468381</t>
  </si>
  <si>
    <t>simple random sample with selection criteria</t>
  </si>
  <si>
    <t>[3.2]</t>
  </si>
  <si>
    <t>Performance and participation in open source software on GitHub</t>
  </si>
  <si>
    <t>http://dl.acm.org/citation.cfm?id=2468382</t>
  </si>
  <si>
    <t>Impression formation in online peer production: activity traces and personal profiles in github</t>
  </si>
  <si>
    <t>http://dl.acm.org/citation.cfm?id=2441792</t>
  </si>
  <si>
    <t>[1.1][2.4][3.1][3.3]</t>
  </si>
  <si>
    <t>Version Control with Git - Powerful Tools and Techniques for Collaborative Software Development: Covers GitHub, Second Edition</t>
  </si>
  <si>
    <t>https://books.google.fr/books?hl=it&amp;lr=&amp;id=aM7-Oxo3qdQC&amp;oi=fnd&amp;pg=PR3&amp;dq=Version+Control+with+Git+-+Powerful+Tools+and+Techniques+for+Collaborative+Software+Development:+Covers+GitHub,+Second+Edition&amp;ots=38zkPCSlug&amp;sig=TPCiWMTfL7_kq3KW6zjiq55IuzQ&amp;redir_esc=y#v=onepage&amp;q&amp;f=false</t>
  </si>
  <si>
    <t>Social coding in GitHub: transparency and collaboration in an open software repository</t>
  </si>
  <si>
    <t>http://dl.acm.org/citation.cfm?id=2145396</t>
  </si>
  <si>
    <t>semi-structured inteviews</t>
  </si>
  <si>
    <t>[1.1][1.3][2.1][2.2][3.1][3.2][3.5][4.2]</t>
  </si>
  <si>
    <t>Who to follow recommendation in large-scale online development communities</t>
  </si>
  <si>
    <t>http://www.sciencedirect.com/science/article/pii/S0950584913002322</t>
  </si>
  <si>
    <t>A new design for the implementation of isogeometric analysis in Octave and Matlab: GeoPDEs 3.0</t>
  </si>
  <si>
    <t>http://www.sciencedirect.com/science/article/pii/S0898122116302681</t>
  </si>
  <si>
    <t>NCBI Mass Sequence Downloader–Large dataset downloading made easy</t>
  </si>
  <si>
    <t>http://www.sciencedirect.com/science/article/pii/S2352711016300085</t>
  </si>
  <si>
    <t>An R package for reading EPANET files</t>
  </si>
  <si>
    <t>http://www.sciencedirect.com/science/article/pii/S1364815216302870</t>
  </si>
  <si>
    <t>The 2D shape structure dataset: A user annotated open access database</t>
  </si>
  <si>
    <t>http://www.sciencedirect.com/science/article/pii/S0097849316300528</t>
  </si>
  <si>
    <t>Arpeggio: A flexible PEG parser for Python</t>
  </si>
  <si>
    <t>http://www.sciencedirect.com/science/article/pii/S0950705115004761</t>
  </si>
  <si>
    <t>Computationally characterizing genomic pipelines using high-confident call sets</t>
  </si>
  <si>
    <t>http://www.sciencedirect.com/science/article/pii/S1877050916308778</t>
  </si>
  <si>
    <t>PARAVT: Parallel Voronoi tessellation code</t>
  </si>
  <si>
    <t>http://arxiv.org/abs/1601.06429</t>
  </si>
  <si>
    <t>Using Project-Based-Learning in a mobile application development course—An experience report</t>
  </si>
  <si>
    <t>http://www.sciencedirect.com/science/article/pii/S1045926X15000762</t>
  </si>
  <si>
    <t>Natural coordinate descent algorithm for L1-penalised regression in generalised linear models</t>
  </si>
  <si>
    <t>http://www.sciencedirect.com/science/article/pii/S0167947315002923</t>
  </si>
  <si>
    <t>Acceleration of isogeometric boundary element analysis through a black-box fast multipole method</t>
  </si>
  <si>
    <t>http://www.sciencedirect.com/science/article/pii/S0955799716300315</t>
  </si>
  <si>
    <t>ELMVIS+: Fast nonlinear visualization technique based on cosine distance and extreme learning machines</t>
  </si>
  <si>
    <t>http://www.sciencedirect.com/science/article/pii/S092523121630306X</t>
  </si>
  <si>
    <t>Gaussian process hyper-parameter estimation using Parallel Asymptotically Independent Markov Sampling</t>
  </si>
  <si>
    <t>http://www.sciencedirect.com/science/article/pii/S0167947316301311</t>
  </si>
  <si>
    <t>Solving the problem of incomplete data in medical diagnosis via interval modeling</t>
  </si>
  <si>
    <t>http://www.sciencedirect.com/science/article/pii/S1568494616302393</t>
  </si>
  <si>
    <t>Computing maximal cliques in link streams</t>
  </si>
  <si>
    <t>http://www.sciencedirect.com/science/article/pii/S0304397515008701</t>
  </si>
  <si>
    <t>CosmoBolognaLib: C++ libraries for cosmological calculations</t>
  </si>
  <si>
    <t>http://www.sciencedirect.com/science/article/pii/S2213133716300014</t>
  </si>
  <si>
    <t>Application note: An open-source JavaScript library to simulate dairy cows and young stock, their growth, requirements and diets</t>
  </si>
  <si>
    <t>http://www.sciencedirect.com/science/article/pii/S0168169915003427</t>
  </si>
  <si>
    <t>A Mixed Methods Approach to Mining Code Review Data: Examples and a Study of Multicommit Reviews and Pull Requests</t>
  </si>
  <si>
    <t>http://www.gousios.gr/pub/peer-reviews-mixed-methods.pdf</t>
  </si>
  <si>
    <t>Network regularised Cox regression and multiplex network models to predict disease comorbidities and survival of cancer</t>
  </si>
  <si>
    <t>http://www.sciencedirect.com/science/article/pii/S1476927115301407</t>
  </si>
  <si>
    <t>cosmoabc: Likelihood-free inference via Population Monte Carlo Approximate Bayesian Computation</t>
  </si>
  <si>
    <t>http://www.sciencedirect.com/science/article/pii/S2213133715000748</t>
  </si>
  <si>
    <t>Application skeletons: Construction and use in eScience</t>
  </si>
  <si>
    <t>http://www.sciencedirect.com/science/article/pii/S0167739X15003143</t>
  </si>
  <si>
    <t>Bisous model—Detecting filamentary patterns in point processes</t>
  </si>
  <si>
    <t>http://www.sciencedirect.com/science/article/pii/S2213133716300191</t>
  </si>
  <si>
    <t>ExonSuite: Algorithmically optimizing alternative gene splicing for the PUF proteins</t>
  </si>
  <si>
    <t>http://www.sciencedirect.com/science/article/pii/S0010482513001303</t>
  </si>
  <si>
    <t>A novel approach for nurse rerostering based on a parallel algorithm</t>
  </si>
  <si>
    <t>http://www.sciencedirect.com/science/article/pii/S0377221715010711</t>
  </si>
  <si>
    <t>A diagnostic tool for population models using non-compartmental analysis: The ncappc package for R</t>
  </si>
  <si>
    <t>http://www.sciencedirect.com/science/article/pii/S0169260715300262</t>
  </si>
  <si>
    <t>GalSim: The modular galaxy image simulation toolkit</t>
  </si>
  <si>
    <t>http://www.sciencedirect.com/science/article/pii/S221313371500013X</t>
  </si>
  <si>
    <t>Variable viscosity and density biofilm simulations using an immersed boundary method, part II: Experimental validation and the heterogeneous rheology-IBM</t>
  </si>
  <si>
    <t>http://arxiv.org/abs/1504.07326</t>
  </si>
  <si>
    <t>Segmentation of Geophysical Data: A Big Data Friendly Approach</t>
  </si>
  <si>
    <t>http://www.sciencedirect.com/science/article/pii/S1877050915017809</t>
  </si>
  <si>
    <t>Boa: An Enabling Language and Infrastructure for Ultra-Large-Scale MSR Studies</t>
  </si>
  <si>
    <t>Qualified Vector Match and Merge Algorithm (QVMMA) for DDoS Prevention and Mitigation</t>
  </si>
  <si>
    <t>http://www.sciencedirect.com/science/article/pii/S1877050916001381</t>
  </si>
  <si>
    <t>Parallel priority-flood depression filling for trillion cell digital elevation models on desktops or clusters</t>
  </si>
  <si>
    <t>http://www.sciencedirect.com/science/article/pii/S0098300416301704</t>
  </si>
  <si>
    <t>ComEst: A completeness estimator of source extraction on astronomical imaging</t>
  </si>
  <si>
    <t>http://www.sciencedirect.com/science/article/pii/S2213133716300397</t>
  </si>
  <si>
    <t>Monte Carlo method for calculating oxygen abundances and their uncertainties from strong-line flux measurements</t>
  </si>
  <si>
    <t>http://www.sciencedirect.com/science/article/pii/S2213133716300178</t>
  </si>
  <si>
    <t>Fusion of Tracking Techniques to Enhance Adaptive Real-time Tracking of Arbitrary Objects</t>
  </si>
  <si>
    <t>http://www.sciencedirect.com/science/article/pii/S1877050914014434</t>
  </si>
  <si>
    <t>Automated simplification of large symbolic expressions</t>
  </si>
  <si>
    <t>http://www.sciencedirect.com/science/article/pii/S074771711300117X</t>
  </si>
  <si>
    <t>ExoData: A Python package to handle large exoplanet catalogue data</t>
  </si>
  <si>
    <t>http://www.sciencedirect.com/science/article/pii/S0010465516301254</t>
  </si>
  <si>
    <t>Security-by-construction in web applications development via database annotations</t>
  </si>
  <si>
    <t>http://www.sciencedirect.com/science/article/pii/S0167404815001972</t>
  </si>
  <si>
    <t>Quantitative prediction of peptide binding affinity by using hybrid fuzzy support vector regression</t>
  </si>
  <si>
    <t>http://www.sciencedirect.com/science/article/pii/S1568494616300114</t>
  </si>
  <si>
    <t>Pinda: A Web service for detection and analysis of intraspecies gene duplication events</t>
  </si>
  <si>
    <t>http://www.sciencedirect.com/science/article/pii/S0169260713001788</t>
  </si>
  <si>
    <t>White hats versus vendors: the fight goes on</t>
  </si>
  <si>
    <t>http://www.sciencedirect.com/science/article/pii/S1361372315300944</t>
  </si>
  <si>
    <t>ProtoMD: A prototyping toolkit for multiscale molecular dynamics</t>
  </si>
  <si>
    <t>http://www.sciencedirect.com/science/article/pii/S0010465516300030</t>
  </si>
  <si>
    <t>HOPE: A Python just-in-time compiler for astrophysical computations</t>
  </si>
  <si>
    <t>http://www.sciencedirect.com/science/article/pii/S2213133714000687</t>
  </si>
  <si>
    <t>mr: A C++ library for the matching and running of the Standard Model parameters</t>
  </si>
  <si>
    <t>http://www.sciencedirect.com/science/article/pii/S0010465516301060</t>
  </si>
  <si>
    <t>Implementation of continuous image-adaptive finite element spaces without limitations on hanging sides and distribution of approximation orders</t>
  </si>
  <si>
    <t>http://www.sciencedirect.com/science/article/pii/S0898122115003193</t>
  </si>
  <si>
    <t>IODA: An input/output deep architecture for image labeling</t>
  </si>
  <si>
    <t>http://www.sciencedirect.com/science/article/pii/S0031320315001181</t>
  </si>
  <si>
    <t>L-PICOLA: A parallel code for fast dark matter simulation</t>
  </si>
  <si>
    <t>http://www.sciencedirect.com/science/article/pii/S2213133715000700</t>
  </si>
  <si>
    <t>Practical compressed string dictionaries</t>
  </si>
  <si>
    <t>http://www.sciencedirect.com/science/article/pii/S0306437915001672</t>
  </si>
  <si>
    <t>pyIAST: Ideal adsorbed solution theory (IAST) Python package</t>
  </si>
  <si>
    <t>http://www.sciencedirect.com/science/article/pii/S0010465515004403</t>
  </si>
  <si>
    <t>MOCCS: Clarifying DNA-binding motif ambiguity using ChIP-Seq data</t>
  </si>
  <si>
    <t>http://www.sciencedirect.com/science/article/pii/S1476927116300305</t>
  </si>
  <si>
    <t>An object oriented Python interface for atomistic simulations</t>
  </si>
  <si>
    <t>http://www.sciencedirect.com/science/article/pii/S0010465515003483</t>
  </si>
  <si>
    <t>A robust and efficient method for estimating enzyme complex abundance and metabolic flux from expression data</t>
  </si>
  <si>
    <t>http://www.sciencedirect.com/science/article/pii/S1476927115301079</t>
  </si>
  <si>
    <t>PrinCCes: Continuity-based geometric decomposition and systematic visualization of the void repertoire of proteins</t>
  </si>
  <si>
    <t>http://www.sciencedirect.com/science/article/pii/S1093326315300565</t>
  </si>
  <si>
    <t>OFF, Open source Finite volume Fluid dynamics code: A free, high-order solver based on parallel, modular, object-oriented Fortran API</t>
  </si>
  <si>
    <t>http://www.sciencedirect.com/science/article/pii/S0010465514001283</t>
  </si>
  <si>
    <t>Poisson–Boltzmann model for protein–surface electrostatic interactions and grid-convergence study using the PyGBe code</t>
  </si>
  <si>
    <t>http://www.sciencedirect.com/science/article/pii/S0010465515004579</t>
  </si>
  <si>
    <t>Efficient static checker for tainted variable attacks</t>
  </si>
  <si>
    <t>http://homepages.dcc.ufmg.br/~fernando/publications/papers/SBLP2010_rimsa.pdf</t>
  </si>
  <si>
    <t>Gene network coherence based on prior knowledge using direct and indirect relationships</t>
  </si>
  <si>
    <t>http://www.sciencedirect.com/science/article/pii/S1476927115000481</t>
  </si>
  <si>
    <t>A fast multigrid-based electromagnetic eigensolver for curved metal boundaries on the Yee mesh</t>
  </si>
  <si>
    <t>http://www.sciencedirect.com/science/article/pii/S0021999113004154</t>
  </si>
  <si>
    <t>An object-oriented implementation of a parallel Monte Carlo code for radiation transport</t>
  </si>
  <si>
    <t>http://www.sciencedirect.com/science/article/pii/S0010465515004555</t>
  </si>
  <si>
    <t>Designing service-based applications in the presence of non-functional properties: A mapping study</t>
  </si>
  <si>
    <t>http://www.sciencedirect.com/science/article/pii/S0950584915001573</t>
  </si>
  <si>
    <t>BIOMedical Search Engine Framework: Lightweight and customized implementation of domain-specific biomedical search engines</t>
  </si>
  <si>
    <t>http://www.sciencedirect.com/science/article/pii/S0169260715300560</t>
  </si>
  <si>
    <t>Exploring medical diagnostic performance using interactive, multi-parameter sourced receiver operating characteristic scatter plots</t>
  </si>
  <si>
    <t>http://www.sciencedirect.com/science/article/pii/S0010482514000237</t>
  </si>
  <si>
    <t>Three-dimensional point cloud plane segmentation in both structured and unstructured environments</t>
  </si>
  <si>
    <t>http://www.sciencedirect.com/science/article/pii/S0921889013001152</t>
  </si>
  <si>
    <t>CUDA-enabled Sparse Matrix–Vector Multiplication on GPUs using atomic operations</t>
  </si>
  <si>
    <t>http://www.sciencedirect.com/science/article/pii/S0167819113001178</t>
  </si>
  <si>
    <t>Robust inverse-consistent affine CT–MR registration in MRI-assisted and MRI-alone prostate radiation therapy</t>
  </si>
  <si>
    <t>http://www.sciencedirect.com/science/article/pii/S136184151500064X</t>
  </si>
  <si>
    <t>Social network analysis of biomedical research collaboration networks in a CTSA institution</t>
  </si>
  <si>
    <t>http://www.sciencedirect.com/science/article/pii/S1532046414000185</t>
  </si>
  <si>
    <t>SG2PS (structural geology to postscript converter) – A graphical solution for brittle structural data evaluation and paleostress calculation</t>
  </si>
  <si>
    <t>http://www.sciencedirect.com/science/article/pii/S0098300413003166</t>
  </si>
  <si>
    <t>In the pursuit of a semantic similarity metric based on UMLS annotations for articles in PubMed Central Open Access</t>
  </si>
  <si>
    <t>http://www.sciencedirect.com/science/article/pii/S1532046415001550</t>
  </si>
  <si>
    <t>Benchmark hydrogeophysical data from a physical seismic model</t>
  </si>
  <si>
    <t>http://www.sciencedirect.com/science/article/pii/S0098300412002865</t>
  </si>
  <si>
    <t>XtalOpt  version r9: An open-source evolutionary algorithm for crystal structure prediction</t>
  </si>
  <si>
    <t>http://www.sciencedirect.com/science/article/pii/S0010465515003690</t>
  </si>
  <si>
    <t>Monte Carlo simulation of X-ray imaging and spectroscopy experiments using quadric geometry and variance reduction techniques</t>
  </si>
  <si>
    <t>http://www.sciencedirect.com/science/article/pii/S0010465513003834</t>
  </si>
  <si>
    <t>Extended computational kernels in a massively parallel implementation of the Trotter–Suzuki approximation</t>
  </si>
  <si>
    <t>http://www.sciencedirect.com/science/article/pii/S0010465515002957</t>
  </si>
  <si>
    <t>CheMPS2: Improved DMRG-SCF routine and correlation functions</t>
  </si>
  <si>
    <t>http://www.sciencedirect.com/science/article/pii/S0010465515000168</t>
  </si>
  <si>
    <t>KMCLib: A general framework for lattice kinetic Monte Carlo (KMC) simulations</t>
  </si>
  <si>
    <t>http://www.sciencedirect.com/science/article/pii/S0010465514001519</t>
  </si>
  <si>
    <t>KMCLib 1.1: Extended random number support and technical updates to the KMCLib general framework for kinetic Monte-Carlo simulations</t>
  </si>
  <si>
    <t>http://www.sciencedirect.com/science/article/pii/S0010465515002611</t>
  </si>
  <si>
    <t>Montblanc1: GPU accelerated radio interferometer measurement equations in support of Bayesian inference for radio observations</t>
  </si>
  <si>
    <t>http://www.sciencedirect.com/science/article/pii/S2213133715000633</t>
  </si>
  <si>
    <t>Investigating the geography of open source software through github</t>
  </si>
  <si>
    <t>http://takhteyev.org/papers/Takhteyev-Hilts-2010.pdf</t>
  </si>
  <si>
    <t>Perceptions of Diversity on GitHub: A User Survey</t>
  </si>
  <si>
    <t>http://ieeexplore.ieee.org/xpl/login.jsp?tp=&amp;arnumber=7166088&amp;url=http%3A%2F%2Fieeexplore.ieee.org%2Fxpls%2Fabs_all.jsp%3Farnumber%3D7166088</t>
  </si>
  <si>
    <t xml:space="preserve"> slightly higher than 19%</t>
  </si>
  <si>
    <t>[2.3][2.4]</t>
  </si>
  <si>
    <t>the code-centric collaboration perspective: Evidence from github</t>
  </si>
  <si>
    <t>http://citeseerx.ist.psu.edu/viewdoc/download?doi=10.1.1.728.2463&amp;rep=rep1&amp;type=pdf</t>
  </si>
  <si>
    <t>A Study of Scala Repositories on Github</t>
  </si>
  <si>
    <t>http://citeseerx.ist.psu.edu/viewdoc/download?doi=10.1.1.634.9359&amp;rep=rep1&amp;type=pdf</t>
  </si>
  <si>
    <t>License usage and changes: A large scale study of Java projects on GitHub</t>
  </si>
  <si>
    <t>http://ieeexplore.ieee.org/xpl/login.jsp?tp=&amp;arnumber=7181450&amp;url=http%3A%2F%2Fieeexplore.ieee.org%2Fxpls%2Fabs_all.jsp%3Farnumber%3D7181450</t>
  </si>
  <si>
    <t>Rd2roxygen: Convert Rd to roxygen documentation. R package version 0.1-8</t>
  </si>
  <si>
    <t>http://citeseerx.ist.psu.edu/viewdoc/download?doi=10.1.1.190.9755&amp;rep=rep1&amp;type=pdf</t>
  </si>
  <si>
    <t>Predicting Acceptance of GitHub Pull Requests</t>
  </si>
  <si>
    <t>http://cs229.stanford.edu/proj2012/KhadkeTehShen-PredictingAcceptanceOfGitHubPullRequests.pdf</t>
  </si>
  <si>
    <t>The Relationship Between Folder Use and the Number of Forks: A Case Study on Github Repositories</t>
  </si>
  <si>
    <t>http://mockiene.com/papers/folder-short.pdf</t>
  </si>
  <si>
    <t>Visualizing Collaboration and Influence in the Open-Source Software Community</t>
  </si>
  <si>
    <t>http://dl.acm.org/citation.cfm?id=1985476</t>
  </si>
  <si>
    <t>Discovery of Technical Expertise from Open Source Code Repositories</t>
  </si>
  <si>
    <t>http://dl.acm.org/citation.cfm?id=2487832</t>
  </si>
  <si>
    <t>Risa: Building R objects from local ISA-Tab files</t>
  </si>
  <si>
    <t>http://bioc.ism.ac.jp/packages/2.14/bioc/vignettes/Risa/inst/doc/Risa.pdf</t>
  </si>
  <si>
    <t>Activity traces and signals in software developer recruitment and hiring</t>
  </si>
  <si>
    <t>http://dl.acm.org/citation.cfm?id=2441794</t>
  </si>
  <si>
    <t>32.5% of respondents</t>
  </si>
  <si>
    <t>[3.1][4.2]</t>
  </si>
  <si>
    <t>A Historical Dataset of Software Engineering Conferences</t>
  </si>
  <si>
    <t>Processing OWL2 ontologies using Thea: An application of logic programming</t>
  </si>
  <si>
    <t>http://dl.acm.org/citation.cfm?id=2890056</t>
  </si>
  <si>
    <t>Hosting Queryable and Highly Available Linked Data for Free</t>
  </si>
  <si>
    <t>http://dl.acm.org/citation.cfm?id=2878382</t>
  </si>
  <si>
    <t>Exploring Metaphorical Senses and Word Representations for Identifying Metonyms</t>
  </si>
  <si>
    <t>http://arxiv.org/abs/1508.04515</t>
  </si>
  <si>
    <t>Parallel typesetting for critical editions: the eledpar package</t>
  </si>
  <si>
    <t>http://ctan.mackichan.com/macros/latex/contrib/reledmac/reledpar.pdf</t>
  </si>
  <si>
    <t>Software Collaboration Networks</t>
  </si>
  <si>
    <t>http://link.springer.com/chapter/10.1007/978-3-642-30287-9_27#page-1</t>
  </si>
  <si>
    <t>Revisited: Testing Culture on a Social Coding Site</t>
  </si>
  <si>
    <t>http://leif.singer.is/papers/Pham2014.pdf</t>
  </si>
  <si>
    <t>TrTok: A Fast and Trainable Tokenizer for Natural Languages</t>
  </si>
  <si>
    <t>http://www.degruyter.com/view/j/pralin.2012.98.issue--1/v10108-012-0010-0/v10108-012-0010-0.xml</t>
  </si>
  <si>
    <t>An Algorithm for Resolution of Common Logic (Edition 2) Importation Implemented in OntoMaven</t>
  </si>
  <si>
    <t>http://s3.amazonaws.com/academia.edu.documents/46131851/Common_Logic_Importation_Resolution_Impl20160601-15896-6znvdw.pdf?AWSAccessKeyId=AKIAJ56TQJRTWSMTNPEA&amp;Expires=1468833141&amp;Signature=8V2nRahaoGHvK6TxKJRrARHpafs%3D&amp;response-content-disposition=inline%3B%20filename%3DCommon_Logic_Importation_Resolution_Impl.pdf</t>
  </si>
  <si>
    <t>Towards A Redefinition of Time in Information Networks?</t>
  </si>
  <si>
    <t>http://dl.acm.org/citation.cfm?id=2464498</t>
  </si>
  <si>
    <t>Software engineering at the speed of light: How developers stay current using twitter</t>
  </si>
  <si>
    <t>http://dl.acm.org/citation.cfm?id=2568305</t>
  </si>
  <si>
    <t>survey, interview (response rate: 23%)</t>
  </si>
  <si>
    <t>A Distributed Calibration Algorithm for Color and Range Camera Networks</t>
  </si>
  <si>
    <t>http://link.springer.com/chapter/10.1007/978-3-319-26054-9_16</t>
  </si>
  <si>
    <t>interview ref.345</t>
  </si>
  <si>
    <t>Mining Idioms from Source Code</t>
  </si>
  <si>
    <t>http://dl.acm.org/citation.cfm?id=2635901</t>
  </si>
  <si>
    <t>Social Forking in Open Source Software: An Empirical Study</t>
  </si>
  <si>
    <t>http://citeseerx.ist.psu.edu/viewdoc/download?doi=10.1.1.416.557&amp;rep=rep1&amp;type=pdf#page=50</t>
  </si>
  <si>
    <t>Towards Content-driven Reputation for Collaborative Code Repositories</t>
  </si>
  <si>
    <t>http://dl.acm.org/citation.cfm?id=2462950</t>
  </si>
  <si>
    <t>PAXOS Made Transparent</t>
  </si>
  <si>
    <t>http://dl.acm.org/citation.cfm?id=2815427</t>
  </si>
  <si>
    <t>Artic le Life &amp; Medical Sciences A Connectome Computation System for discovery science of brain</t>
  </si>
  <si>
    <t>http://link.springer.com/article/10.1007/s11434-014-0698-3</t>
  </si>
  <si>
    <t>Deep Sliding Shapes for Amodal 3D Object Detection in RGB-D Images</t>
  </si>
  <si>
    <t>http://arxiv.org/abs/1511.02300</t>
  </si>
  <si>
    <t>The Genesis of Pharo: The Complete History of Pharo with Git</t>
  </si>
  <si>
    <t>http://scg.unibe.ch/archive/projects/Lesk11a.pdf</t>
  </si>
  <si>
    <t>Prospects on ‘Open Source Software Development’ Education to Technical Education Students of India</t>
  </si>
  <si>
    <t>http://citeseerx.ist.psu.edu/viewdoc/download?doi=10.1.1.468.5933&amp;rep=rep1&amp;type=pdf</t>
  </si>
  <si>
    <t>AgreementMakerLight 2.0: Towards Efficient Large-Scale Ontology Matching</t>
  </si>
  <si>
    <t>http://dl.acm.org/citation.cfm?id=2878568</t>
  </si>
  <si>
    <t>Exploiting SNP Correlations within Random Forest for Genome-Wide Association Studies</t>
  </si>
  <si>
    <t>http://journals.plos.org/plosone/article?id=10.1371/journal.pone.0093379</t>
  </si>
  <si>
    <t>The Role of Best Practices to Appraise Open Source Software</t>
  </si>
  <si>
    <t>http://journal.ub.tu-berlin.de/eceasst/article/view/799</t>
  </si>
  <si>
    <t>Continuous Test Generation: Enhancing Continuous Integration with Automated Test Generation</t>
  </si>
  <si>
    <t>http://dl.acm.org/citation.cfm?id=2643002</t>
  </si>
  <si>
    <t>Open Access AXIOME: automated exploration of microbial diversity</t>
  </si>
  <si>
    <t>http://gigascience.biomedcentral.com/articles/10.1186/2047-217X-2-3</t>
  </si>
  <si>
    <t>Identifying Communities with Coherent and Opposing Views</t>
  </si>
  <si>
    <t>https://www.researchgate.net/profile/Roland_Geyer3/publication/224181720_A_case_for_smartphone_reuse_to_augment_elementary_school_education/links/00b7d5231f7038fdbc000000.pdf#page=38</t>
  </si>
  <si>
    <t>What Effect does Distributed Version Control have on OSS Project Organization?</t>
  </si>
  <si>
    <t>http://dl.acm.org/citation.cfm?id=2663368</t>
  </si>
  <si>
    <t>BugLocalizer: Integrated Tool Support for Bug Localization</t>
  </si>
  <si>
    <t>http://dl.acm.org/citation.cfm?id=2661678</t>
  </si>
  <si>
    <t>SOURCE-TOOL/HOSTING</t>
  </si>
  <si>
    <t>DupFinder: Integrated Tool Support for Duplicate Bug Report Detection</t>
  </si>
  <si>
    <t>http://dl.acm.org/citation.cfm?id=2648627</t>
  </si>
  <si>
    <t>PARROT: A Practical Runtime for Deterministic, Stable, and Reliable Threads</t>
  </si>
  <si>
    <t>http://dl.acm.org/citation.cfm?id=2522735</t>
  </si>
  <si>
    <t>Coordination and Efficiency in Decentralized Collaboration</t>
  </si>
  <si>
    <t>http://arxiv.org/abs/1503.07431</t>
  </si>
  <si>
    <t>VCCFinder: Finding Potential Vulnerabilities in Open-Source Projects to Assist Code Audits</t>
  </si>
  <si>
    <t>http://dl.acm.org/citation.cfm?id=2813604</t>
  </si>
  <si>
    <t>Learning Transfer: Does It Take Place in MOOCs? An Investigation into the Uptake of Functional Programming in Practice</t>
  </si>
  <si>
    <t>http://dl.acm.org/citation.cfm?id=2876035</t>
  </si>
  <si>
    <t>Examining programmer practices for locally handling exceptions</t>
  </si>
  <si>
    <t>http://dl.acm.org/citation.cfm?id=2903497</t>
  </si>
  <si>
    <t>Work practices and challenges in pull-based development: the contributor's perspective</t>
  </si>
  <si>
    <t>http://dl.acm.org/citation.cfm?id=2884826</t>
  </si>
  <si>
    <t>7% answer rate, 18% answer rate</t>
  </si>
  <si>
    <t>Impact of social features implemented in open collaboration platforms on volunteer self-organization: case study of open source software development</t>
  </si>
  <si>
    <t>http://dl.acm.org/citation.cfm?id=2491081</t>
  </si>
  <si>
    <t>http://search.ieice.org/bin/summary.php?id=e99-d_5_1304</t>
  </si>
  <si>
    <t>GitHub in the classroom: not just for group projects</t>
  </si>
  <si>
    <t>http://dl.acm.org/citation.cfm?id=2458551</t>
  </si>
  <si>
    <t>BDD by example: Russian bylina written in Gherkin language</t>
  </si>
  <si>
    <t>http://dl.acm.org/citation.cfm?id=2855678</t>
  </si>
  <si>
    <t>OpenHub: a scalable architecture for the analysis of software quality attributes</t>
  </si>
  <si>
    <t>http://dl.acm.org/citation.cfm?id=2597135</t>
  </si>
  <si>
    <t>Analysis of exception handling patterns in Java projects: an empirical study</t>
  </si>
  <si>
    <t>http://dl.acm.org/citation.cfm?id=2903499</t>
  </si>
  <si>
    <t>Judging a commit by its cover: correlating commit message entropy with build status on travis-CI</t>
  </si>
  <si>
    <t>http://dl.acm.org/citation.cfm?id=2903493</t>
  </si>
  <si>
    <t>Revision Control System (RCS) in computational sciences and engineering curriculum</t>
  </si>
  <si>
    <t>http://dl.acm.org/citation.cfm?id=2616576</t>
  </si>
  <si>
    <t>Revisiting the applicability of the pareto principle to core development teams in open source software projects</t>
  </si>
  <si>
    <t>http://dl.acm.org/citation.cfm?id=2804366</t>
  </si>
  <si>
    <t>Introduction to Node.js</t>
  </si>
  <si>
    <t>http://dl.acm.org/citation.cfm?id=2735554</t>
  </si>
  <si>
    <t>Introduction to debugging and monitoring Node.js</t>
  </si>
  <si>
    <t>http://dl.acm.org/citation.cfm?id=2886499</t>
  </si>
  <si>
    <t>Large scale, open cognitive collaboration of distributed crowds</t>
  </si>
  <si>
    <t>http://www.opensym.org/os2015/proceedings-files/c104-yan.pdf</t>
  </si>
  <si>
    <t>A dataset of simplified syntax trees for C#</t>
  </si>
  <si>
    <t>http://dl.acm.org/citation.cfm?id=2903507</t>
  </si>
  <si>
    <t>Software developers are humans, too!</t>
  </si>
  <si>
    <t>http://dl.acm.org/citation.cfm?id=2556833</t>
  </si>
  <si>
    <t>On the Development and Distribution of R Packages: An Empirical Analysis of the R Ecosystem</t>
  </si>
  <si>
    <t>http://dl.acm.org/citation.cfm?id=2797476</t>
  </si>
  <si>
    <t>WrapRec: an easy extension of recommender system libraries</t>
  </si>
  <si>
    <t>http://dl.acm.org/citation.cfm?id=2645717</t>
  </si>
  <si>
    <t>Open Sourcing the Classroom (Abstract Only)</t>
  </si>
  <si>
    <t>http://dl.acm.org/citation.cfm?id=2851052</t>
  </si>
  <si>
    <t>Accounting for Taste: Ranking Curators and Content in Social Networks</t>
  </si>
  <si>
    <t>http://dl.acm.org/citation.cfm?id=2858219</t>
  </si>
  <si>
    <t>Predicting the number of forks for open source software project</t>
  </si>
  <si>
    <t>http://dl.acm.org/citation.cfm?id=2627515</t>
  </si>
  <si>
    <t>A dataset for pull-based development research</t>
  </si>
  <si>
    <t>http://dl.acm.org/citation.cfm?id=2597122</t>
  </si>
  <si>
    <t>Teaching computing with the IPython notebook (abstract only)</t>
  </si>
  <si>
    <t>http://dl.acm.org/citation.cfm?id=2539011</t>
  </si>
  <si>
    <t>Herding in open source software development: an exploratory study</t>
  </si>
  <si>
    <t>http://dl.acm.org/citation.cfm?id=2441989</t>
  </si>
  <si>
    <t>Hands-on computing with Arduino</t>
  </si>
  <si>
    <t>http://dl.acm.org/citation.cfm?id=2184477</t>
  </si>
  <si>
    <t>Wikipedia Tools for Google Spreadsheets</t>
  </si>
  <si>
    <t>http://dl.acm.org/citation.cfm?id=2891112</t>
  </si>
  <si>
    <t>Finding security bugs in web applications using a catalog of access control patterns</t>
  </si>
  <si>
    <t>http://dl.acm.org/citation.cfm?id=2884836</t>
  </si>
  <si>
    <t>API as a social glue</t>
  </si>
  <si>
    <t>http://dl.acm.org/citation.cfm?id=2591115</t>
  </si>
  <si>
    <t>Human aspects, gamification, and social media in collaborative software engineering</t>
  </si>
  <si>
    <t>http://dl.acm.org/citation.cfm?id=2591091</t>
  </si>
  <si>
    <t>The challenges of sentiment detection in the social programmer ecosystem</t>
  </si>
  <si>
    <t>http://dl.acm.org/citation.cfm?id=2804387</t>
  </si>
  <si>
    <t>Demo: An Open-source Software Defined Platform for Collaborative and Energy-aware WiFi Offloading</t>
  </si>
  <si>
    <t>http://dl.acm.org/citation.cfm?id=2789174</t>
  </si>
  <si>
    <t>PoCoTo - an open source system for efficient interactive postcorrection of OCRed historical texts</t>
  </si>
  <si>
    <t>http://dl.acm.org/citation.cfm?id=2595197</t>
  </si>
  <si>
    <t>The Reality of an Associate Model: Comparing Partner Activity in the Eclipse Ecosystem</t>
  </si>
  <si>
    <t>http://dl.acm.org/citation.cfm?id=2642811</t>
  </si>
  <si>
    <t>Caffe: Convolutional Architecture for Fast Feature Embedding</t>
  </si>
  <si>
    <t>http://dl.acm.org/citation.cfm?id=2654889</t>
  </si>
  <si>
    <t>Impact of consecutive changes on later file versions</t>
  </si>
  <si>
    <t>http://dl.acm.org/citation.cfm?id=2627512</t>
  </si>
  <si>
    <t>Characteristics of sustainable OSS projects: a theoretical and empirical study</t>
  </si>
  <si>
    <t>http://dl.acm.org/citation.cfm?id=2819325</t>
  </si>
  <si>
    <t>[2.1][2.2][2.3][2.4]</t>
  </si>
  <si>
    <t>How developers use exception handling in Java?</t>
  </si>
  <si>
    <t>http://dl.acm.org/citation.cfm?id=2903500</t>
  </si>
  <si>
    <t>Jumping through hoops: why do Java developers struggle with cryptography APIs?</t>
  </si>
  <si>
    <t>http://dl.acm.org/citation.cfm?id=2884790</t>
  </si>
  <si>
    <t>An exploratory study of the pull-based software development model</t>
  </si>
  <si>
    <t>http://dl.acm.org/citation.cfm?id=2568260</t>
  </si>
  <si>
    <t>[1.1][2.1]</t>
  </si>
  <si>
    <t>Live API documentation</t>
  </si>
  <si>
    <t>http://dl.acm.org/citation.cfm?id=2568313</t>
  </si>
  <si>
    <t>Models of OSS project meta-information: a dataset of three forges</t>
  </si>
  <si>
    <t>http://dl.acm.org/citation.cfm?id=2597132</t>
  </si>
  <si>
    <t>A repository with 44 years of Unix evolution</t>
  </si>
  <si>
    <t>Distributed Leadership in OSS</t>
  </si>
  <si>
    <t>http://dl.acm.org/citation.cfm?id=2660435</t>
  </si>
  <si>
    <t>Software population pyramids: the current and the future of OSS development communities</t>
  </si>
  <si>
    <t>http://dl.acm.org/citation.cfm?id=2652565</t>
  </si>
  <si>
    <t>Macro Data for Micro Learning: Developing the FUN! Tool for Automated Assessment of Learning</t>
  </si>
  <si>
    <t>http://dl.acm.org/citation.cfm?id=2893422</t>
  </si>
  <si>
    <t>How android app developers manage power consumption?: an empirical study by mining power management commits</t>
  </si>
  <si>
    <t>http://dl.acm.org/citation.cfm?id=2901748</t>
  </si>
  <si>
    <t>Interactive Visualization of Quantitative Data with G2D3</t>
  </si>
  <si>
    <t>http://dl.acm.org/citation.cfm?id=2801066</t>
  </si>
  <si>
    <t>Social media and success in open source projects</t>
  </si>
  <si>
    <t>http://dl.acm.org/citation.cfm?id=2141583</t>
  </si>
  <si>
    <t>Summarizing and measuring development activity</t>
  </si>
  <si>
    <t>http://dl.acm.org/citation.cfm?id=2786827</t>
  </si>
  <si>
    <t>Simulating IBM Watson in the Classroom</t>
  </si>
  <si>
    <t>http://dl.acm.org/citation.cfm?id=2677287</t>
  </si>
  <si>
    <t>Data model evolution using object-NoSQL mappers: folklore or state-of-the-art?</t>
  </si>
  <si>
    <t>http://dl.acm.org/citation.cfm?id=2896827</t>
  </si>
  <si>
    <t>C4: creative coding for iOS</t>
  </si>
  <si>
    <t>http://dl.acm.org/citation.cfm?id=2460716</t>
  </si>
  <si>
    <t>Exploring a framework for identity and attribute linking across heterogeneous data systems</t>
  </si>
  <si>
    <t>http://dl.acm.org/citation.cfm?id=2896833</t>
  </si>
  <si>
    <t>The dispersion of build maintenance activity across maven lifecycle phases</t>
  </si>
  <si>
    <t>http://dl.acm.org/citation.cfm?id=2903498</t>
  </si>
  <si>
    <t>MORAP: a modular robotic arm platform for teaching and experimenting with equation-based modeling languages</t>
  </si>
  <si>
    <t>http://dl.acm.org/citation.cfm?id=2904085</t>
  </si>
  <si>
    <t>Learning to log: helping developers make informed logging decisions</t>
  </si>
  <si>
    <t>http://ieeexplore.ieee.org/xpl/login.jsp?tp=&amp;arnumber=7194593&amp;url=http%3A%2F%2Fieeexplore.ieee.org%2Fxpls%2Fabs_all.jsp%3Farnumber%3D7194593</t>
  </si>
  <si>
    <t>Exploring regular expression usage and context in Python</t>
  </si>
  <si>
    <t>http://kstolee.github.io/papers/ISSTA2016.pdf</t>
  </si>
  <si>
    <t>A look at the dynamics of the JavaScript package ecosystem</t>
  </si>
  <si>
    <t>http://dl.acm.org/citation.cfm?id=2901743</t>
  </si>
  <si>
    <t>A Classroom Tested Accessible Multimedia Resource for Engaging Underrepresented Students in Computing: The University of Maryland Curriculum In A Box</t>
  </si>
  <si>
    <t>http://dl.acm.org/citation.cfm?id=2691870</t>
  </si>
  <si>
    <t>Software architecture model driven reverse engineering approach to open source software development</t>
  </si>
  <si>
    <t>http://dl.acm.org/citation.cfm?id=2656440</t>
  </si>
  <si>
    <t>Monitoring bottlenecks in achieving release readiness: a retrospective case study across ten OSS projects</t>
  </si>
  <si>
    <t>http://dl.acm.org/citation.cfm?id=2652549</t>
  </si>
  <si>
    <t>Spatio-Temporal Modeling and Prediction of Visual Attention in Graphical User Interfaces</t>
  </si>
  <si>
    <t>http://dl.acm.org/citation.cfm?id=2858479</t>
  </si>
  <si>
    <t>Stage framework: an HTML5 and CSS3 framework for digital publishing</t>
  </si>
  <si>
    <t>http://dl.acm.org/citation.cfm?id=2502228</t>
  </si>
  <si>
    <t>Beyond the MOOC platform: gaining insights about learners from the social web</t>
  </si>
  <si>
    <t>http://dl.acm.org/citation.cfm?id=2908145</t>
  </si>
  <si>
    <t>Towards an automation of the traceability of bugs from development logs: a study based on open source software</t>
  </si>
  <si>
    <t>http://dl.acm.org/citation.cfm?id=2745833</t>
  </si>
  <si>
    <t>How does regression test prioritization perform in real-world software evolution?</t>
  </si>
  <si>
    <t>http://dl.acm.org/citation.cfm?id=2884874</t>
  </si>
  <si>
    <t>Analyzing developer sentiment in commit logs</t>
  </si>
  <si>
    <t>http://dl.acm.org/citation.cfm?id=2903501</t>
  </si>
  <si>
    <t>http://www.aaai.org/ocs/index.php/HCOMP/HCOMP15/paper/view/11622</t>
  </si>
  <si>
    <t>Capacitated team formation problem on social networks</t>
  </si>
  <si>
    <t>http://dl.acm.org/citation.cfm?id=2339690</t>
  </si>
  <si>
    <t>The GitHub Open Source Development Process</t>
  </si>
  <si>
    <t>http://kevinp.me/github-process-research/github-process-research.pdf</t>
  </si>
  <si>
    <t>unknown</t>
  </si>
  <si>
    <t>[2.1][2.3][4.2]</t>
  </si>
  <si>
    <t>Collaborative Topic Modeling for Recommending GitHub Repositories</t>
  </si>
  <si>
    <t>http://www.cs.cmu.edu/afs/cs/Web/People/norii/pub/github-ctr.pdf</t>
  </si>
  <si>
    <t>Collaboration on Social Media: Analyzing Successful Projects on Social Coding</t>
  </si>
  <si>
    <t>http://arxiv.org/abs/1408.6012</t>
  </si>
  <si>
    <t>arvix</t>
  </si>
  <si>
    <t>G1M,100K-1M</t>
  </si>
  <si>
    <t>GitHubArchive,GitHub API</t>
  </si>
  <si>
    <t>[2.1][2.2]</t>
  </si>
  <si>
    <t>The impact of social media on software engineering practices and tools</t>
  </si>
  <si>
    <t>http://dl.acm.org/citation.cfm?id=1882435</t>
  </si>
  <si>
    <t>An analysis of social network connect services</t>
  </si>
  <si>
    <t>http://arxiv.org/abs/1207.5545</t>
  </si>
  <si>
    <t>Web API Growing Pains: Stories from Client Developers and Their Code</t>
  </si>
  <si>
    <t>http://ieeexplore.ieee.org/xpl/login.jsp?tp=&amp;arnumber=6747228&amp;url=http%3A%2F%2Fieeexplore.ieee.org%2Fxpls%2Fabs_all.jsp%3Farnumber%3D6747228</t>
  </si>
  <si>
    <t>Bridging software communities through social networking</t>
  </si>
  <si>
    <t>https://www.researchgate.net/profile/Jan_Bosch/publication/260649475_Bridging_Software_Communities_through_Social_Networking/links/54cf76430cf24601c0937b7e.pdf</t>
  </si>
  <si>
    <t>Social Coding: Evaluating Github's Network using Weighted Community Detection</t>
  </si>
  <si>
    <t>https://www.semanticscholar.org/paper/Social-Coding-Evaluating-Github-s-Network-Using-Marrama-Low/8232b29c5b60d8e2e8a83f805eb731b93c7750d7/pdf</t>
  </si>
  <si>
    <t>Adoption of Software Testing in Open Source Projects--A Preliminary Study on 50,000 Projects</t>
  </si>
  <si>
    <t>http://ieeexplore.ieee.org/xpl/login.jsp?tp=&amp;arnumber=6498487&amp;url=http%3A%2F%2Fieeexplore.ieee.org%2Fxpls%2Fabs_all.jsp%3Farnumber%3D6498487</t>
  </si>
  <si>
    <t>An Empirical Study of Adoption of Software Testing in Open Source Projects</t>
  </si>
  <si>
    <t>http://ieeexplore.ieee.org/xpl/login.jsp?tp=&amp;arnumber=6605914&amp;url=http%3A%2F%2Fieeexplore.ieee.org%2Fxpls%2Fabs_all.jsp%3Farnumber%3D6605914</t>
  </si>
  <si>
    <t>A Decision Tree Based Approach to Filter Candidates for Software Engineering Jobs Using GitHub Data</t>
  </si>
  <si>
    <t>http://etd.library.vanderbilt.edu/available/etd-03232015-135032/</t>
  </si>
  <si>
    <t>Finding great software engineers with GitHub</t>
  </si>
  <si>
    <t>https://www.semanticscholar.org/paper/Finding-Great-Software-Engineers-with-Github-Group-Kunz-Root/c625c598a2a39982bef391eef46d6f4a522862ee/pdf</t>
  </si>
  <si>
    <t>Identifying the Network Characteristics of Contributors That Affect Performance in Open Collaboration: Focusing on the GitHub Open Source</t>
  </si>
  <si>
    <t>http://www.jsebs.org/jsebs/index.php/jsebs/article/view/152</t>
  </si>
  <si>
    <t>Using Formal Concept Analysis to study social coding in GitHub</t>
  </si>
  <si>
    <t>http://worldcomp-proceedings.com/proc/p2014/SER3309.pdf</t>
  </si>
  <si>
    <t>GitHubArchive,Google BigQuery</t>
  </si>
  <si>
    <t>Nuggets Miner: Assisting Developers by Harnessing the StackOverflow Crowd Knowledge and the GitHub Traceability</t>
  </si>
  <si>
    <t>http://lascam.facom.ufu.br/cms/userfiles/downloads/2014/CbsoftToolsEduardo2014preprint.pdf</t>
  </si>
  <si>
    <t>Combined methods, thick descriptions: Languages of collaboration on Github</t>
  </si>
  <si>
    <t>http://onlinelibrary.wiley.com/doi/10.1002/meet.14504901347/full</t>
  </si>
  <si>
    <t>Mining the Social Web: Data Mining Facebook, Twitter, LinkedIn, Google+, GitHub, and More</t>
  </si>
  <si>
    <t>https://books.google.fr/books?hl=it&amp;lr=&amp;id=_VkrAQAAQBAJ&amp;oi=fnd&amp;pg=PR4&amp;dq=Mining+the+Social+Web:+Data+Mining+Facebook,+Twitter,+LinkedIn,+Google%2B,+GitHub,+and+More&amp;ots=JqoytySshG&amp;sig=JOqXfwsLg47ubV_eCCAlrYO5r7U&amp;redir_esc=y</t>
  </si>
  <si>
    <t>GitHub: A tool for social data set development and verification in the cloud</t>
  </si>
  <si>
    <t>http://papers.ssrn.com/sol3/papers.cfm?abstract_id=2199367</t>
  </si>
  <si>
    <t>Git/GitHub, transparency, and legitimacy in quantitative research</t>
  </si>
  <si>
    <t>http://zmjones.com/static/papers/git.pdf</t>
  </si>
  <si>
    <t>Continuous integration for concurrent MOOSE framework and application development on GitHub</t>
  </si>
  <si>
    <t>http://openresearchsoftware.metajnl.com/articles/10.5334/jors.bx/</t>
  </si>
  <si>
    <t>An in-depth study of the promises and perils of mining GitHub</t>
  </si>
  <si>
    <t>http://link.springer.com/article/10.1007/s10664-015-9393-5</t>
  </si>
  <si>
    <t>[1.1][1.3][2.1][2.3][3.1][4.3]</t>
  </si>
  <si>
    <t>Introducing Open Collaboration in the Public Sector: The Case of Social Coding on Github</t>
  </si>
  <si>
    <t>http://papers.ssrn.com/sol3/papers.cfm?abstract_id=2497204</t>
  </si>
  <si>
    <t>Introducing GitHub: A Non-technical Guide</t>
  </si>
  <si>
    <t>https://books.google.fr/books?hl=it&amp;lr=&amp;id=OhdOBQAAQBAJ&amp;oi=fnd&amp;pg=PR3&amp;dq=Introducing+GitHub:+A+Non-technical+Guide&amp;ots=LiJ7J6iV6P&amp;sig=fPRfoEip1-rWUzAz62GWRSftmPc&amp;redir_esc=y#v=onepage&amp;q=Introducing%20GitHub%3A%20A%20Non-technical%20Guide&amp;f=false</t>
  </si>
  <si>
    <t>grlc Makes GitHub Taste Like Linked Data APIs</t>
  </si>
  <si>
    <t>http://datalegend.net/assets/paper7.pdf</t>
  </si>
  <si>
    <t>http://www.worldscientific.com/doi/abs/10.1142/S0219525914500246</t>
  </si>
  <si>
    <t>Linking accounts across social networks: the case of stackoverflow, github and twitter</t>
  </si>
  <si>
    <t>http://ceur-ws.org/Vol-1489/paper-05.pdf</t>
  </si>
  <si>
    <t>A Tie Strength Model For Reconstructing Collaboration Networks on GitHub A study of the Ruby on Rails project network</t>
  </si>
  <si>
    <t>http://dspace.library.uu.nl/handle/1874/298574</t>
  </si>
  <si>
    <t>Characterizing developers rework on github open source projects</t>
  </si>
  <si>
    <t>https://paginas.fe.up.pt/~prodei/dsie15/web/papers/proceedings.pdf#page=72</t>
  </si>
  <si>
    <t>Towards a collaborative learning platform: The use of github in computer science and software engineering courses</t>
  </si>
  <si>
    <t>http://dspace.library.uvic.ca:8080/handle/1828/6624</t>
  </si>
  <si>
    <t>Mining GitHub: Inside the R Community</t>
  </si>
  <si>
    <t>http://digitalcommons.brockport.edu/gradconf/2014/Schedule/133/</t>
  </si>
  <si>
    <t>Applying Link Prediction for Repository Recommendation on GitHub</t>
  </si>
  <si>
    <t>https://www.semanticscholar.org/paper/Applying-Link-Prediction-for-Repository-Lee-Chen/68ff7df3a23c44d0aeab3511eb1cc5d2c5596846/pdf</t>
  </si>
  <si>
    <t>Using JavaScript Static Checkers on GitHub Systems: A First Evaluation</t>
  </si>
  <si>
    <t>http://www.lbd.dcc.ufmg.br/colecoes/vem/2015/005.pdf</t>
  </si>
  <si>
    <t>Get down with GitHub</t>
  </si>
  <si>
    <t>http://www.phillipadsmith.com/2015/11/getting-down-with-github.html</t>
  </si>
  <si>
    <t>GitHub as your VCS</t>
  </si>
  <si>
    <t>http://link.springer.com/chapter/10.1007/978-1-4842-1718-4_4#page-1</t>
  </si>
  <si>
    <t>Git and GitHub for Librarians</t>
  </si>
  <si>
    <t>http://www.tandfonline.com/doi/abs/10.1080/01639269.2015.1062586#.V4yqf-uLTmE</t>
  </si>
  <si>
    <t>Can Developer-Module Networks Predict Failures in Open-Source GitHub Projects?</t>
  </si>
  <si>
    <t>http://plg.uwaterloo.ca/~migod/846/current/projects/04-MuscedereTuras-report.pdf</t>
  </si>
  <si>
    <t>Continuous integration in GITHUB: experiences with TRAVIS-CI</t>
  </si>
  <si>
    <t>https://pure.tue.nl/ws/files/3855750/621462246551620.pdf</t>
  </si>
  <si>
    <t>A Technicity of Collaboration Coordinating Distributed Software Development on GitHub</t>
  </si>
  <si>
    <t>https://www.fernandovandervlist.nl/papers/a-technicity-of-collaboration.html</t>
  </si>
  <si>
    <t>License usage and changes: a large-scale study on gitHub</t>
  </si>
  <si>
    <t>http://link.springer.com/article/10.1007/s10664-016-9438-4</t>
  </si>
  <si>
    <t>survey ref.473</t>
  </si>
  <si>
    <t>Why and how developers fork what from whom in GitHub</t>
  </si>
  <si>
    <t>http://link.springer.com/article/10.1007/s10664-016-9436-6</t>
  </si>
  <si>
    <t>metadata observation, survey (12,4% response rate)</t>
  </si>
  <si>
    <t>[1.3][2.2][3.4][4.3]</t>
  </si>
  <si>
    <t>Building Successful GitHub Communities</t>
  </si>
  <si>
    <t>http://adsabs.harvard.edu/abs/2014AGUFMIN23B3733S</t>
  </si>
  <si>
    <t>Exploring the Use of@-mention to Assist Software Development in GitHub</t>
  </si>
  <si>
    <t>https://www.researchgate.net/profile/Yang_Zhang178/publication/303407940_Exploring_the_Use_of_-mention_to_Assist_Software_Development_in_GitHub/links/5742584208aea45ee84a3951.pdf</t>
  </si>
  <si>
    <t>A Study on Career Analysis Technique of Open Source Developers with Focus on GitHub Case</t>
  </si>
  <si>
    <t>http://www.sersc.org/journals/IJSEIA/vol10_no6_2016/4.pdf</t>
  </si>
  <si>
    <t>Evolution of Digital Artifacts and Uncoordinated Knowledge Creation: The Case of Open Source Development at Github. com</t>
  </si>
  <si>
    <t>http://www.orgdna.net/wp-content/uploads/2015/07/Evolution-of-Digital-Artifacts.pdf</t>
  </si>
  <si>
    <t>Understanding "watchers" on GitHub</t>
  </si>
  <si>
    <t>Incentive Structure on Open Source Software Community: Case Study of GitHub</t>
  </si>
  <si>
    <t>http://ryosuzuki.org/working-paper.pdf</t>
  </si>
  <si>
    <t>Sharing environmental models: An Approach using GitHub repositories and Web Processing Services</t>
  </si>
  <si>
    <t>http://adsabs.harvard.edu/abs/2016EGUGA..18.6574S</t>
  </si>
  <si>
    <t>Automatic Labeling of Issues on Github–A Machine learning Approach</t>
  </si>
  <si>
    <t>http://www.cs.cmu.edu/~arunkaly/resources/Arunkaly_Final_Paper_ML.pdf</t>
  </si>
  <si>
    <t>Semantic Web Approach to the GitHub Database Processing</t>
  </si>
  <si>
    <t>http://search.proquest.com/openview/c46bdea34bd5ea2d9621bac971d3859f/1?pq-origsite=gscholar</t>
  </si>
  <si>
    <t>Networks of Collaborations Among Government Organizations on Github</t>
  </si>
  <si>
    <t>http://www.cs.cmu.edu/~arunkaly/resources/Arunkaly_Final_Paper_DNA.pdf</t>
  </si>
  <si>
    <t>Building a static website with Jekyll and GitHub Pages</t>
  </si>
  <si>
    <t>http://docs.lib.purdue.edu/lib_fsdocs/133/</t>
  </si>
  <si>
    <t>Ten Simple Rules for Taking Advantage of git and GitHub</t>
  </si>
  <si>
    <t>http://www.biorxiv.org/content/early/2016/05/13/048744.abstract</t>
  </si>
  <si>
    <t>Using Github Profiles in Software Developer Recruitment and Hiring</t>
  </si>
  <si>
    <t>http://repository.tudelft.nl/islandora/object/uuid:7179edff-b498-4c3b-900d-62d61f8665df?collection=education</t>
  </si>
  <si>
    <t>Attracting Contributions to your GitHub Project</t>
  </si>
  <si>
    <t>https://hal.inria.fr/hal-01257474/</t>
  </si>
  <si>
    <t>Using GitHub in the classroom-a collaborative learning experience</t>
  </si>
  <si>
    <t>http://ieeexplore.ieee.org/xpl/login.jsp?tp=&amp;arnumber=7342358&amp;url=http%3A%2F%2Fieeexplore.ieee.org%2Fxpls%2Fabs_all.jsp%3Farnumber%3D7342358</t>
  </si>
  <si>
    <t>Teaching Software Architecture: with GitHub!</t>
  </si>
  <si>
    <t>https://avandeursen.com/2013/12/30/teaching-software-architecture-with-github/</t>
  </si>
  <si>
    <t>GitHub essentials</t>
  </si>
  <si>
    <t>http://cds.cern.ch/record/2113619</t>
  </si>
  <si>
    <t>Recommending relevant GitHub repositories: a collaborative-filtering approach</t>
  </si>
  <si>
    <t>https://www.researchgate.net/profile/Mohamed_Amine_Ferrag/publication/276025159_Proceedings_of_the_2nd_International_Conference_on_Networking_and_Advanced_Systems/links/554dff3008ae93634ec6ff0d.pdf#page=51</t>
  </si>
  <si>
    <t>Building Tools with GitHub: Customize Your Workflow</t>
  </si>
  <si>
    <t>https://books.google.fr/books?hl=it&amp;lr=&amp;id=XNuJCwAAQBAJ&amp;oi=fnd&amp;pg=PR2&amp;dq=Building+Tools+with+GitHub:+Customize+Your+Workflow&amp;ots=dcdvEr00TG&amp;sig=R0dOlriks3MDFMdFDC0-ARQ6rkk&amp;redir_esc=y#v=onepage&amp;q=Building%20Tools%20with%20GitHub%3A%20Customize%20Your%20Workflow&amp;f=false</t>
  </si>
  <si>
    <t>Why We Refactor? Confessions of GitHub Contributors</t>
  </si>
  <si>
    <t>http://arxiv.org/abs/1607.02459</t>
  </si>
  <si>
    <t>Github users in Spain: a report on geographical distribution of open source production</t>
  </si>
  <si>
    <t>https://www.researchgate.net/profile/Juan_Merelo_Guervos/publication/281972638_Github_users_in_Spain_a_report_on_geographical_distribution_of_open_source_production/links/560036cd08aeba1d9f84bcc9.pdf</t>
  </si>
  <si>
    <t>Promoting reflection in agile software development teams using GitHub data</t>
  </si>
  <si>
    <t>https://brage.bibsys.no/xmlui//handle/11250/253492</t>
  </si>
  <si>
    <t>Who is forked on GitHub? Collaboration among Open Source developers</t>
  </si>
  <si>
    <t>https://ideas.repec.org/p/war/wpaper/2016-15.html</t>
  </si>
  <si>
    <t>web scraping:</t>
  </si>
  <si>
    <t>[1.3][2.2]</t>
  </si>
  <si>
    <t>Towards Understanding the Public Gists on GitHub</t>
  </si>
  <si>
    <t>http://dspace.library.uvic.ca:8080/bitstream/handle/1828/7222/Wang_Weiliang_MSc_2016.pdf?sequence=1&amp;isAllowed=y</t>
  </si>
  <si>
    <t>master thesis</t>
  </si>
  <si>
    <t>Roles in a Networked Software Development Ecosystem: A Case Study in GitHub</t>
  </si>
  <si>
    <t>http://digitalcommons.unl.edu/csetechreports/149/</t>
  </si>
  <si>
    <t>A guideline for requirements management in GitHub with lean approach</t>
  </si>
  <si>
    <t>https://tampub.uta.fi/bitstream/handle/10024/95846/GRADU-1404127019.pdf?sequence=1</t>
  </si>
  <si>
    <t>Assessing technical candidates on the social web</t>
  </si>
  <si>
    <t>http://ieeexplore.ieee.org/xpl/login.jsp?tp=&amp;arnumber=6336698&amp;url=http%3A%2F%2Fieeexplore.ieee.org%2Fxpls%2Fabs_all.jsp%3Farnumber%3D6336698</t>
  </si>
  <si>
    <t>Social Barriers Faced by Newcomers Placing Their First Contribution in Open Source Software Projects</t>
  </si>
  <si>
    <t>http://dl.acm.org/citation.cfm?id=2675215</t>
  </si>
  <si>
    <t>Do Open Source Software Projects Conduct Tests Enough?</t>
  </si>
  <si>
    <t>http://link.springer.com/chapter/10.1007/978-3-319-13835-0_32#page-1</t>
  </si>
  <si>
    <t>Developing an H-Index for OSS Developers</t>
  </si>
  <si>
    <t>http://dl.acm.org/citation.cfm?id=2664484</t>
  </si>
  <si>
    <t>The Code Following: What builds a following on Open Source Software?</t>
  </si>
  <si>
    <t>http://plg.uwaterloo.ca/~migod/846/2014-Winter/projects/JoseMadhur-CodeFollowing-report.pdf</t>
  </si>
  <si>
    <t>simple random sample with selection criteria (sampling frame)
</t>
  </si>
  <si>
    <t>100K-1M,100K-1M</t>
  </si>
  <si>
    <t>[2.2][3.2][4.1]</t>
  </si>
  <si>
    <t>EVOLUTION OF SOCIAL DEVELOPER NETWORK IN OSS: SURVEY</t>
  </si>
  <si>
    <t>http://esatjournals.net/ijret/2014v03/i04/IJRET20140304074.pdf</t>
  </si>
  <si>
    <t>Crowdsourced Knowledge Catalyzes Software Development</t>
  </si>
  <si>
    <t>https://pure.fundp.ac.be/ws/files/7368337/BENEVOL_2013_Abstracts.pdf#page=61</t>
  </si>
  <si>
    <t>Mining micro-practices from operational data</t>
  </si>
  <si>
    <t>http://dl.acm.org/citation.cfm?id=2666611</t>
  </si>
  <si>
    <t>An Empirical Analysis of the Utilization of Multiple Programming Languages in Open Source Projects</t>
  </si>
  <si>
    <t>http://dl.acm.org/citation.cfm?id=2745805</t>
  </si>
  <si>
    <t>Increasing the Responsiveness of Recommended Expert Collaborators for Online Open Projects</t>
  </si>
  <si>
    <t>http://dl.acm.org/citation.cfm?id=2662032</t>
  </si>
  <si>
    <t>Link prediction in directed social networks</t>
  </si>
  <si>
    <t>http://link.springer.com/article/10.1007/s13278-014-0157-9</t>
  </si>
  <si>
    <t>Mining Source Code Repositories at Massive Scale using Language Modeling</t>
  </si>
  <si>
    <t>http://dl.acm.org/citation.cfm?id=2487127</t>
  </si>
  <si>
    <t>Acceptance factors of pull requests in open-source projects</t>
  </si>
  <si>
    <t>http://dl.acm.org/citation.cfm?id=2695856</t>
  </si>
  <si>
    <t>Developers assignment for analyzing pull requests</t>
  </si>
  <si>
    <t>http://dl.acm.org/citation.cfm?id=2695884</t>
  </si>
  <si>
    <t>Social Media in Transparent Work Environments</t>
  </si>
  <si>
    <t>http://ieeexplore.ieee.org/xpl/login.jsp?tp=&amp;arnumber=6614733&amp;url=http%3A%2F%2Fieeexplore.ieee.org%2Fxpls%2Fabs_all.jsp%3Farnumber%3D6614733</t>
  </si>
  <si>
    <t>The (R)Evolution of Social Media in Software Engineering</t>
  </si>
  <si>
    <t>http://dl.acm.org/citation.cfm?id=2593887</t>
  </si>
  <si>
    <t>CoreDevRec: Automatic Core Member Recommendation for Contribution Evaluation</t>
  </si>
  <si>
    <t>http://link.springer.com/article/10.1007/s11390-015-1577-3#page-1</t>
  </si>
  <si>
    <t>A study on the geographical distribution of Brazil’s prestigious software developers</t>
  </si>
  <si>
    <t>http://jisajournal.springeropen.com/articles/10.1186/s13174-015-0032-6</t>
  </si>
  <si>
    <t>Empirical Software Linguistics: An Investigation of Code Reviews, Recommendations and Faults</t>
  </si>
  <si>
    <t>http://repository.tudelft.nl/assets/uuid:ff7acb60-a3e9-4f72-9c8d-bc65398d8d6a/thesis.pdf</t>
  </si>
  <si>
    <t>Towards a Survival Analysis of  Database Framework Usage in Java Projects</t>
  </si>
  <si>
    <t>http://ieeexplore.ieee.org/xpl/login.jsp?tp=&amp;arnumber=7332512&amp;url=http%3A%2F%2Fieeexplore.ieee.org%2Fxpls%2Fabs_all.jsp%3Farnumber%3D7332512</t>
  </si>
  <si>
    <t>Graph-Based Defect Prediction  of JavaScript Frameworks</t>
  </si>
  <si>
    <t>http://dare.uva.nl/cgi/arno/show.cgi?fid=546651</t>
  </si>
  <si>
    <t>Security Vulnerabilities in Open Source Projects</t>
  </si>
  <si>
    <t>http://plg.uwaterloo.ca/~migod/846/2014-Winter/projects/Aaron-OSSsecurityVulnerabilities-report.pdf</t>
  </si>
  <si>
    <t>Mining software repositories: measuring effectiveness and affectiveness in software systems</t>
  </si>
  <si>
    <t>http://veprints.unica.it/1106/</t>
  </si>
  <si>
    <t>Qualitative Repository Analysis with RepoGrams</t>
  </si>
  <si>
    <t>https://open.library.ubc.ca/collections/ubctheses/24/items/1.0166565</t>
  </si>
  <si>
    <t>Patches and Patchcords: An Analysis of How Computer Music End-user Programmers Develop Musical Code</t>
  </si>
  <si>
    <t>http://webdocs.cs.ualberta.ca/~hindle1/2014/musiccoders/</t>
  </si>
  <si>
    <t>MEASURING PATCH FLOW ON GITHUB</t>
  </si>
  <si>
    <t>http://citeseerx.ist.psu.edu/viewdoc/download?doi=10.1.1.701.9465&amp;rep=rep1&amp;type=pdf</t>
  </si>
  <si>
    <t>Improving the software testing skills of novices during onboarding through social transparency</t>
  </si>
  <si>
    <t>http://dl.acm.org/citation.cfm?id=2666604</t>
  </si>
  <si>
    <t>Communicating Software Testing Culture through Visualizing Testing Activity</t>
  </si>
  <si>
    <t>http://dl.acm.org/citation.cfm?id=2804382</t>
  </si>
  <si>
    <t>Assessing the Use of Eclipse MDE Technologies in Open-Source Software Projects</t>
  </si>
  <si>
    <t>https://www.semanticscholar.org/paper/Assessing-the-Use-of-Eclipse-MDE-Technologies-in-Kolovos-Matragkas/7f9a735742caca4110c1e856b871e52106f2d3bd/pdf</t>
  </si>
  <si>
    <t>The Making of Cloud Applications – An Empirical Study on Software Development for the Cloud</t>
  </si>
  <si>
    <t>http://dl.acm.org/citation.cfm?id=2786826</t>
  </si>
  <si>
    <t>Regulation as an Enabler for Collaborative Software Development</t>
  </si>
  <si>
    <t>http://dl.acm.org/citation.cfm?id=2819340</t>
  </si>
  <si>
    <t>Hackers on Forking</t>
  </si>
  <si>
    <t>http://dl.acm.org/citation.cfm?id=2641590</t>
  </si>
  <si>
    <t>Mutual Assessment in the Social Programmer Ecosystem: An Empirical Investigation of Developer Profile Aggregators</t>
  </si>
  <si>
    <t>http://dl.acm.org/citation.cfm?id=2441791</t>
  </si>
  <si>
    <t>Social Media for Software Engineering</t>
  </si>
  <si>
    <t>http://dl.acm.org/citation.cfm?id=1882370</t>
  </si>
  <si>
    <t>Towards the roles and motives of open source software developers</t>
  </si>
  <si>
    <t>http://l3d.cs.colorado.edu/~yunwen/papers/ICSE03.pdf</t>
  </si>
  <si>
    <t>Implicit coordination: a case study of the rails oss project</t>
  </si>
  <si>
    <t>http://link.springer.com/chapter/10.1007/978-3-319-17837-0_4#page-1</t>
  </si>
  <si>
    <t>The social developer: now, then, and tomorrow</t>
  </si>
  <si>
    <t>http://dl.acm.org/citation.cfm?id=2804388</t>
  </si>
  <si>
    <t>Proactive Detection of Collaboration Conflicts</t>
  </si>
  <si>
    <t>http://dl.acm.org/citation.cfm?id=2025139</t>
  </si>
  <si>
    <t>Measuring API Documentation on the Web</t>
  </si>
  <si>
    <t>http://dl.acm.org/citation.cfm?id=1984706</t>
  </si>
  <si>
    <t>An exploratory study of contribution barriers experienced by newcomers to open source software projects</t>
  </si>
  <si>
    <t>http://dl.acm.org/citation.cfm?id=2593732</t>
  </si>
  <si>
    <t>Suggesting Accurate Method and Class Names</t>
  </si>
  <si>
    <t>http://dl.acm.org/citation.cfm?id=2786849</t>
  </si>
  <si>
    <t>Position Paper: Are Refactoring Techniques Used by Developers? A Preliminary Empirical Analysis</t>
  </si>
  <si>
    <t>https://reftest2014.files.wordpress.com/2014/05/ortu_destefanis1.pdf</t>
  </si>
  <si>
    <t>Characterizing and Detecting Performance Bugs for Smartphone Applications</t>
  </si>
  <si>
    <t>http://dl.acm.org/citation.cfm?id=2568229</t>
  </si>
  <si>
    <t>Toward Deep Learning Software Repositories</t>
  </si>
  <si>
    <t>http://ieeexplore.ieee.org/xpl/login.jsp?tp=&amp;arnumber=7180092&amp;url=http%3A%2F%2Fieeexplore.ieee.org%2Fxpls%2Fabs_all.jsp%3Farnumber%3D7180092</t>
  </si>
  <si>
    <t>Popularity will NOT bring more contributions to your OSS project</t>
  </si>
  <si>
    <t>http://blog.jot.fm/2015/03/18/what-makes-an-unsuccessful-software-project/</t>
  </si>
  <si>
    <t>[1.3][2.1]</t>
  </si>
  <si>
    <t>Characterizing Energy-Aware Software Projects: Are They Different?</t>
  </si>
  <si>
    <t>http://dl.acm.org/citation.cfm?id=2903494</t>
  </si>
  <si>
    <t>Magnet or Sticky? Measuring Project Characteristics from the Perspective of Developer Attraction and Retention</t>
  </si>
  <si>
    <t>https://www.jstage.jst.go.jp/article/ipsjjip/24/2/24_339/_article</t>
  </si>
  <si>
    <t>Episodic volunteering in open source communities</t>
  </si>
  <si>
    <t>http://dl.acm.org/citation.cfm?id=2915972</t>
  </si>
  <si>
    <t>Usage, Costs, and Benefits of Continuous Integration in Open-Source Projects</t>
  </si>
  <si>
    <t>http://ir.library.oregonstate.edu/xmlui/handle/1957/58811</t>
  </si>
  <si>
    <t>The Effects and Antecedents of Conflict in Free and Open Source Software Development</t>
  </si>
  <si>
    <t>http://dl.acm.org/citation.cfm?id=2820018</t>
  </si>
  <si>
    <t>Judging a commit by its cover; or can a commit message predict build failure?</t>
  </si>
  <si>
    <t>https://peerj.com/preprints/1771/</t>
  </si>
  <si>
    <t>Mudslinging and Manners: Unpacking Conflict in Free and Open Source Software</t>
  </si>
  <si>
    <t>http://dl.acm.org/citation.cfm?id=2675254</t>
  </si>
  <si>
    <t>From Aristotle to Ringelmann: a large-scale analysis of team productivity and coordination in Open Source Software projects</t>
  </si>
  <si>
    <t>http://link.springer.com/article/10.1007/s10664-015-9406-4</t>
  </si>
  <si>
    <t>Analyzing test driven development based on GitHub evidence</t>
  </si>
  <si>
    <t>The Effect of 'Following' on Contributions to Open Source Communities</t>
  </si>
  <si>
    <t>http://papers.ssrn.com/sol3/papers.cfm?abstract_id=2678478</t>
  </si>
  <si>
    <t>GitHub Use in Public Administration in Canada: Early Experience with a New Collaboration Tool</t>
  </si>
  <si>
    <t>http://papers.ssrn.com/sol3/papers.cfm?abstract_id=2785874</t>
  </si>
  <si>
    <t>survey ref.555</t>
  </si>
  <si>
    <t>Geographical Bias in GitHub: Perceptions and Reality</t>
  </si>
  <si>
    <t>https://repository.iiitd.edu.in/jspui/handle/123456789/388</t>
  </si>
  <si>
    <t>uknown</t>
  </si>
  <si>
    <t>metadata observation, survey (17% response rate)</t>
  </si>
  <si>
    <t>Analyzing Factors Impacting Open-Source Project Aliveness</t>
  </si>
  <si>
    <t>http://plg.uwaterloo.ca/~migod/846/current/projects/01-ChenPortugal-report.pdf</t>
  </si>
  <si>
    <t>BOA:</t>
  </si>
  <si>
    <t>[2.1]</t>
  </si>
  <si>
    <t>Effectiveness of Conflict Management Strategies in Peer Review Process of Online Collaboration Projects</t>
  </si>
  <si>
    <t>http://dl.acm.org/citation.cfm?id=2819950</t>
  </si>
  <si>
    <t>License Usage Analysis and License Recommendation in Open Source Software Development</t>
  </si>
  <si>
    <t>https://kola.opus.hbz-nrw.de/files/1328/LOSSD.pdf</t>
  </si>
  <si>
    <t>Assisting developers with license compliance</t>
  </si>
  <si>
    <t>http://dl.acm.org/citation.cfm?id=2889259</t>
  </si>
  <si>
    <t>Does Technical Debt Lead to the Rejection of Pull Requests?</t>
  </si>
  <si>
    <t>http://arxiv.org/abs/1604.01450</t>
  </si>
  <si>
    <t>Remedying Knowledge Loss in Free/ Libre Open Source Software</t>
  </si>
  <si>
    <t>http://dl.acm.org/citation.cfm?id=2915976</t>
  </si>
  <si>
    <t>Understanding the API usage in Java</t>
  </si>
  <si>
    <t>http://www.sciencedirect.com/science/article/pii/S0950584916300027</t>
  </si>
  <si>
    <t>When, How, and Why Developers (Do Not) Test in Their IDEs</t>
  </si>
  <si>
    <t>http://dl.acm.org/citation.cfm?id=2786843</t>
  </si>
  <si>
    <t>Analysing the 'biodiversity' of open source ecosystems: the GitHub case</t>
  </si>
  <si>
    <t>http://dl.acm.org/citation.cfm?id=2597119</t>
  </si>
  <si>
    <t>Magnet or Sticky? An OSS Project-by-Project Typology</t>
  </si>
  <si>
    <t>http://posl.ait.kyushu-u.ac.jp/~kamei/publications/Yamashita_MSRChallenge2014.pdf</t>
  </si>
  <si>
    <t>Do Developers Discuss Design?</t>
  </si>
  <si>
    <t>http://msr2014.inf.usi.ch/preprints/Do%20developers%20discuss%20design.pdf</t>
  </si>
  <si>
    <t>On the influence of maintenance activity types on the issue resolution time</t>
  </si>
  <si>
    <t>http://dl.acm.org/citation.cfm?id=2639506</t>
  </si>
  <si>
    <t>Open Source Is a Continual Bugfixing by a Few</t>
  </si>
  <si>
    <t>http://link.springer.com/chapter/10.1007/978-3-319-10933-6_12</t>
  </si>
  <si>
    <t>The Role of Mentoring and Project Characteristics for Onboarding in Open Source Software Projects</t>
  </si>
  <si>
    <t>https://helda.helsinki.fi/bitstream/handle/10138/153194/esem2014.pdf?sequence=1</t>
  </si>
  <si>
    <t>YEARS</t>
  </si>
  <si>
    <t>WORKS</t>
  </si>
  <si>
    <t>TECH. REPORTS</t>
  </si>
  <si>
    <t>WORKSHOPS</t>
  </si>
  <si>
    <t>CONF. PAPERS</t>
  </si>
  <si>
    <t>JOUR. PAPERS</t>
  </si>
  <si>
    <t>OBSERVATIONS</t>
  </si>
  <si>
    <t>SURVEYS</t>
  </si>
  <si>
    <t>INTERVIEWS</t>
  </si>
  <si>
    <t>MIXED</t>
  </si>
  <si>
    <t>GHTORRENT</t>
  </si>
  <si>
    <t>GITHUB API</t>
  </si>
  <si>
    <t>GITHUBARCHIVE</t>
  </si>
  <si>
    <t>MANUAL</t>
  </si>
  <si>
    <t>OTHERS (BOA, GOOGLE BIG QUERY)</t>
  </si>
  <si>
    <t>PERCENTAGE</t>
  </si>
  <si>
    <t>CHECK_TOTAL</t>
  </si>
  <si>
    <t>CHECK_PERC</t>
  </si>
  <si>
    <t>DATASETS</t>
  </si>
  <si>
    <t>NUMBERS</t>
  </si>
  <si>
    <t>PROBLEMS</t>
  </si>
  <si>
    <t>USERS</t>
  </si>
  <si>
    <t>PROJECTS</t>
  </si>
  <si>
    <t>THIRD PARTIES</t>
  </si>
  <si>
    <t>BOTH</t>
  </si>
  <si>
    <t>DATA</t>
  </si>
  <si>
    <t>GENERALIZATION</t>
  </si>
  <si>
    <t>INFERENCES</t>
  </si>
  <si>
    <t>CHECK</t>
  </si>
  <si>
    <t>DATASETS                                                                                         USERS-PROJECTS</t>
  </si>
  <si>
    <t>&lt;100 PROJECTS</t>
  </si>
  <si>
    <t>100-1K PROJECTS</t>
  </si>
  <si>
    <t>1K-100K PROJECTS</t>
  </si>
  <si>
    <t>100K-1M PROJECTS</t>
  </si>
  <si>
    <t>&gt;1M PROJECTS</t>
  </si>
  <si>
    <t>DATASET USERS</t>
  </si>
  <si>
    <t>NUMBER</t>
  </si>
  <si>
    <t>DATASET PROJECTS</t>
  </si>
  <si>
    <t>&lt;100 USERS</t>
  </si>
  <si>
    <t>100-1K USERS</t>
  </si>
  <si>
    <t>License usage and changes: A largescale study of Java projects on GitHub</t>
  </si>
  <si>
    <t>1K-100K USERS</t>
  </si>
  <si>
    <t>100K-1M USERS</t>
  </si>
  <si>
    <t>&gt;1M USERS</t>
  </si>
  <si>
    <t>SAMPLING</t>
  </si>
  <si>
    <t>POPULATION</t>
  </si>
  <si>
    <t>PROBABILITY SAMPLING</t>
  </si>
  <si>
    <t>NON-PROBABILITY SAMPLING</t>
  </si>
  <si>
    <t>DIVERSITY</t>
  </si>
  <si>
    <t>LONGITUDINAL STUDIES</t>
  </si>
  <si>
    <t>REPLICABILITY EVOLUTION</t>
  </si>
  <si>
    <t>PERCENTAGE ALL</t>
  </si>
  <si>
    <t>PERCENTAGE YES</t>
  </si>
  <si>
    <t>LIMITATIONS EVOLUTION</t>
  </si>
  <si>
    <t>LONGITUDINAL EVOLUTION</t>
  </si>
  <si>
    <t>RESEARCH QUESTIONS CROSS ANALYSIS (BELOW)</t>
  </si>
  <si>
    <t>WORKS PER AREA</t>
  </si>
  <si>
    <t>WORKS PER TOPIC</t>
  </si>
  <si>
    <t>[1] Soft. Dev.</t>
  </si>
  <si>
    <t>[2] Projects</t>
  </si>
  <si>
    <t>[3] Users</t>
  </si>
  <si>
    <t>[4] Ecosystems</t>
  </si>
  <si>
    <t>% [1] Soft. Dev.</t>
  </si>
  <si>
    <t>% [2] Projects</t>
  </si>
  <si>
    <t>% [3] Users</t>
  </si>
  <si>
    <t>% [4] Ecosystems</t>
  </si>
  <si>
    <t>[1.1] Code contributions</t>
  </si>
  <si>
    <t>[1.2] Issues</t>
  </si>
  <si>
    <t>[1.3] Forking</t>
  </si>
  <si>
    <t>[2.1] Characterization</t>
  </si>
  <si>
    <t>[2.2] Popularity</t>
  </si>
  <si>
    <t>[2.3] Communities &amp; teams</t>
  </si>
  <si>
    <t>[2.4] Global discussions</t>
  </si>
  <si>
    <t>[3.1] Characterization</t>
  </si>
  <si>
    <t>[3.2] Rockstars</t>
  </si>
  <si>
    <t>[3.3] Issue reportes and assignees</t>
  </si>
  <si>
    <t>[3.4] Followers</t>
  </si>
  <si>
    <t>[3.5] Watchers</t>
  </si>
  <si>
    <t>[4.1] Characterization</t>
  </si>
  <si>
    <t>[4.2] Transparency</t>
  </si>
  <si>
    <t>[4.3] Relationship with other platforms</t>
  </si>
  <si>
    <t>AREAS &amp; EMPIRICAL METHODS</t>
  </si>
  <si>
    <t>% OBSERVATIONS</t>
  </si>
  <si>
    <t>% SURVEYS</t>
  </si>
  <si>
    <t>% INTERVIEWS</t>
  </si>
  <si>
    <t>% MIXED</t>
  </si>
  <si>
    <t>% CHECK</t>
  </si>
  <si>
    <t>AREAS &amp; SAMPLING</t>
  </si>
  <si>
    <t>PROBABILITY</t>
  </si>
  <si>
    <t>NON-PROBABILITY</t>
  </si>
  <si>
    <t>% POPULATION</t>
  </si>
  <si>
    <t>% PROBABILITY</t>
  </si>
  <si>
    <t>% NON-PROBABILITY</t>
  </si>
  <si>
    <t>AREAS &amp; LIMITATIONS</t>
  </si>
  <si>
    <t>% NO</t>
  </si>
  <si>
    <t>% YES</t>
  </si>
  <si>
    <t>% DATA</t>
  </si>
  <si>
    <t>% GENERALIZATION</t>
  </si>
  <si>
    <t>% INFERENCES</t>
  </si>
  <si>
    <t>AREAS &amp; REPLICABILITY</t>
  </si>
  <si>
    <t>% YES, dataset</t>
  </si>
  <si>
    <t>% YES, link</t>
  </si>
  <si>
    <t>~</t>
  </si>
  <si>
    <t>AREAS &amp; DATA COLLECTION</t>
  </si>
  <si>
    <t>% GHTORRENT</t>
  </si>
  <si>
    <t>% GITHUB API</t>
  </si>
  <si>
    <t>% GITHUBARCHIVE</t>
  </si>
  <si>
    <t>% MANUAL</t>
  </si>
  <si>
    <t>% OTHERS (BOA, GOOGLE BIG QUERY)</t>
  </si>
  <si>
    <t>http://search.proquest.com/openview/737f3c30e3af1d2b8f8e4157ad1cace9/1?pq-origsite=gscholar</t>
  </si>
  <si>
    <t>AREAS &amp; DIVERSITY</t>
  </si>
  <si>
    <t>AREAS &amp; PROBLEMS</t>
  </si>
  <si>
    <t>% THIRD PARTIES</t>
  </si>
  <si>
    <t>AREAS &amp; LONGITUDINAL STUDIES</t>
  </si>
  <si>
    <t>AREAS &amp; DATASETS</t>
  </si>
  <si>
    <t>% USERS</t>
  </si>
  <si>
    <t>% PROJECTS</t>
  </si>
  <si>
    <t>% BOTH</t>
  </si>
  <si>
    <t>USERS-PROJECTS</t>
  </si>
  <si>
    <t>All contributors are equal; some contributors are more equal than 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</si>
</sst>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"/>
  </numFmts>
  <fonts count="22">
    <font>
      <sz val="10.0"/>
      <color rgb="FF000000"/>
      <name val="Arial"/>
    </font>
    <font>
      <b/>
    </font>
    <font/>
    <font>
      <b/>
      <color rgb="FF000000"/>
      <name val="Arial"/>
    </font>
    <font>
      <b/>
      <color rgb="FF000000"/>
    </font>
    <font>
      <sz val="11.0"/>
      <color rgb="FF000000"/>
      <name val="Inconsolata"/>
    </font>
    <font>
      <name val="Arial"/>
    </font>
    <font>
      <b/>
      <name val="Arial"/>
    </font>
    <font>
      <u/>
      <color rgb="FF0000FF"/>
    </font>
    <font>
      <sz val="10.0"/>
      <name val="Arial"/>
    </font>
    <font>
      <color rgb="FF000000"/>
      <name val="Arial"/>
    </font>
    <font>
      <u/>
      <color rgb="FF0000FF"/>
    </font>
    <font>
      <color rgb="FF222222"/>
      <name val="Arial"/>
    </font>
    <font>
      <u/>
      <color rgb="FF0000FF"/>
    </font>
    <font>
      <sz val="10.0"/>
    </font>
    <font>
      <color rgb="FF000000"/>
    </font>
    <font>
      <b/>
      <sz val="11.0"/>
      <color rgb="FF000000"/>
      <name val="Arial"/>
    </font>
    <font>
      <sz val="11.0"/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3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666666"/>
        <bgColor rgb="FF666666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6FA8DC"/>
        <bgColor rgb="FF6FA8DC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674EA7"/>
        <bgColor rgb="FF674EA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33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0" xfId="0" applyAlignment="1" applyFill="1" applyFont="1">
      <alignment horizontal="center"/>
    </xf>
    <xf borderId="0" fillId="4" fontId="2" numFmtId="0" xfId="0" applyFill="1" applyFont="1"/>
    <xf borderId="0" fillId="5" fontId="1" numFmtId="0" xfId="0" applyAlignment="1" applyFill="1" applyFont="1">
      <alignment horizontal="center"/>
    </xf>
    <xf borderId="0" fillId="0" fontId="1" numFmtId="0" xfId="0" applyAlignment="1" applyFont="1">
      <alignment/>
    </xf>
    <xf borderId="0" fillId="2" fontId="1" numFmtId="0" xfId="0" applyAlignment="1" applyFont="1">
      <alignment horizontal="center"/>
    </xf>
    <xf borderId="0" fillId="5" fontId="1" numFmtId="0" xfId="0" applyAlignment="1" applyFont="1">
      <alignment horizontal="left"/>
    </xf>
    <xf borderId="0" fillId="6" fontId="1" numFmtId="0" xfId="0" applyAlignment="1" applyFill="1" applyFont="1">
      <alignment horizontal="center"/>
    </xf>
    <xf borderId="0" fillId="5" fontId="1" numFmtId="0" xfId="0" applyAlignment="1" applyFont="1">
      <alignment horizontal="right"/>
    </xf>
    <xf borderId="0" fillId="7" fontId="1" numFmtId="0" xfId="0" applyAlignment="1" applyFill="1" applyFont="1">
      <alignment horizontal="center"/>
    </xf>
    <xf borderId="0" fillId="8" fontId="3" numFmtId="0" xfId="0" applyAlignment="1" applyFill="1" applyFont="1">
      <alignment horizontal="left"/>
    </xf>
    <xf borderId="0" fillId="9" fontId="4" numFmtId="164" xfId="0" applyAlignment="1" applyFill="1" applyFont="1" applyNumberFormat="1">
      <alignment horizontal="center"/>
    </xf>
    <xf borderId="0" fillId="0" fontId="2" numFmtId="0" xfId="0" applyAlignment="1" applyFont="1">
      <alignment/>
    </xf>
    <xf borderId="0" fillId="10" fontId="2" numFmtId="0" xfId="0" applyFill="1" applyFont="1"/>
    <xf borderId="0" fillId="5" fontId="1" numFmtId="0" xfId="0" applyAlignment="1" applyFont="1">
      <alignment/>
    </xf>
    <xf borderId="0" fillId="11" fontId="1" numFmtId="0" xfId="0" applyAlignment="1" applyFill="1" applyFont="1">
      <alignment horizontal="center"/>
    </xf>
    <xf borderId="0" fillId="0" fontId="1" numFmtId="0" xfId="0" applyAlignment="1" applyFont="1">
      <alignment/>
    </xf>
    <xf borderId="0" fillId="3" fontId="1" numFmtId="0" xfId="0" applyAlignment="1" applyFont="1">
      <alignment horizontal="right"/>
    </xf>
    <xf borderId="0" fillId="8" fontId="5" numFmtId="0" xfId="0" applyFont="1"/>
    <xf borderId="0" fillId="12" fontId="2" numFmtId="0" xfId="0" applyFill="1" applyFont="1"/>
    <xf borderId="0" fillId="3" fontId="4" numFmtId="164" xfId="0" applyAlignment="1" applyFont="1" applyNumberFormat="1">
      <alignment horizontal="center"/>
    </xf>
    <xf borderId="0" fillId="13" fontId="2" numFmtId="0" xfId="0" applyFill="1" applyFont="1"/>
    <xf borderId="0" fillId="2" fontId="1" numFmtId="0" xfId="0" applyAlignment="1" applyFont="1">
      <alignment horizontal="right"/>
    </xf>
    <xf borderId="0" fillId="2" fontId="4" numFmtId="164" xfId="0" applyAlignment="1" applyFont="1" applyNumberFormat="1">
      <alignment horizontal="center"/>
    </xf>
    <xf borderId="0" fillId="5" fontId="4" numFmtId="164" xfId="0" applyAlignment="1" applyFont="1" applyNumberFormat="1">
      <alignment horizontal="center"/>
    </xf>
    <xf borderId="0" fillId="0" fontId="6" numFmtId="0" xfId="0" applyAlignment="1" applyFont="1">
      <alignment/>
    </xf>
    <xf borderId="0" fillId="6" fontId="4" numFmtId="164" xfId="0" applyAlignment="1" applyFont="1" applyNumberFormat="1">
      <alignment horizontal="center"/>
    </xf>
    <xf borderId="0" fillId="0" fontId="6" numFmtId="0" xfId="0" applyAlignment="1" applyFont="1">
      <alignment/>
    </xf>
    <xf borderId="0" fillId="6" fontId="1" numFmtId="0" xfId="0" applyAlignment="1" applyFont="1">
      <alignment horizontal="right"/>
    </xf>
    <xf borderId="0" fillId="8" fontId="7" numFmtId="0" xfId="0" applyAlignment="1" applyFont="1">
      <alignment/>
    </xf>
    <xf borderId="0" fillId="7" fontId="4" numFmtId="164" xfId="0" applyAlignment="1" applyFont="1" applyNumberFormat="1">
      <alignment horizontal="center"/>
    </xf>
    <xf borderId="0" fillId="0" fontId="7" numFmtId="0" xfId="0" applyAlignment="1" applyFont="1">
      <alignment/>
    </xf>
    <xf borderId="0" fillId="7" fontId="1" numFmtId="0" xfId="0" applyAlignment="1" applyFont="1">
      <alignment horizontal="right"/>
    </xf>
    <xf borderId="0" fillId="0" fontId="6" numFmtId="0" xfId="0" applyAlignment="1" applyFont="1">
      <alignment/>
    </xf>
    <xf borderId="0" fillId="0" fontId="7" numFmtId="0" xfId="0" applyAlignment="1" applyFont="1">
      <alignment/>
    </xf>
    <xf borderId="0" fillId="14" fontId="1" numFmtId="0" xfId="0" applyAlignment="1" applyFill="1" applyFont="1">
      <alignment horizontal="center"/>
    </xf>
    <xf borderId="0" fillId="12" fontId="2" numFmtId="0" xfId="0" applyAlignment="1" applyFont="1">
      <alignment/>
    </xf>
    <xf borderId="0" fillId="12" fontId="8" numFmtId="0" xfId="0" applyAlignment="1" applyFont="1">
      <alignment/>
    </xf>
    <xf borderId="0" fillId="3" fontId="4" numFmtId="10" xfId="0" applyAlignment="1" applyFont="1" applyNumberFormat="1">
      <alignment horizontal="center"/>
    </xf>
    <xf borderId="0" fillId="8" fontId="2" numFmtId="0" xfId="0" applyFont="1"/>
    <xf borderId="0" fillId="2" fontId="4" numFmtId="10" xfId="0" applyAlignment="1" applyFont="1" applyNumberFormat="1">
      <alignment horizontal="center"/>
    </xf>
    <xf borderId="0" fillId="12" fontId="2" numFmtId="0" xfId="0" applyAlignment="1" applyFont="1">
      <alignment/>
    </xf>
    <xf borderId="0" fillId="6" fontId="4" numFmtId="0" xfId="0" applyAlignment="1" applyFont="1">
      <alignment horizontal="center"/>
    </xf>
    <xf borderId="0" fillId="0" fontId="6" numFmtId="0" xfId="0" applyAlignment="1" applyFont="1">
      <alignment/>
    </xf>
    <xf borderId="0" fillId="6" fontId="4" numFmtId="10" xfId="0" applyAlignment="1" applyFont="1" applyNumberFormat="1">
      <alignment horizontal="center"/>
    </xf>
    <xf borderId="0" fillId="15" fontId="2" numFmtId="0" xfId="0" applyAlignment="1" applyFill="1" applyFont="1">
      <alignment/>
    </xf>
    <xf borderId="0" fillId="7" fontId="4" numFmtId="0" xfId="0" applyAlignment="1" applyFont="1">
      <alignment horizontal="center"/>
    </xf>
    <xf borderId="0" fillId="15" fontId="9" numFmtId="0" xfId="0" applyAlignment="1" applyFont="1">
      <alignment/>
    </xf>
    <xf borderId="0" fillId="15" fontId="2" numFmtId="0" xfId="0" applyFont="1"/>
    <xf borderId="0" fillId="7" fontId="4" numFmtId="10" xfId="0" applyAlignment="1" applyFont="1" applyNumberFormat="1">
      <alignment horizontal="center"/>
    </xf>
    <xf borderId="0" fillId="15" fontId="10" numFmtId="0" xfId="0" applyAlignment="1" applyFont="1">
      <alignment horizontal="left"/>
    </xf>
    <xf borderId="0" fillId="16" fontId="1" numFmtId="0" xfId="0" applyAlignment="1" applyFill="1" applyFont="1">
      <alignment horizontal="center"/>
    </xf>
    <xf borderId="0" fillId="17" fontId="2" numFmtId="0" xfId="0" applyAlignment="1" applyFill="1" applyFont="1">
      <alignment/>
    </xf>
    <xf borderId="0" fillId="0" fontId="1" numFmtId="0" xfId="0" applyAlignment="1" applyFont="1">
      <alignment horizontal="right"/>
    </xf>
    <xf borderId="0" fillId="17" fontId="2" numFmtId="0" xfId="0" applyAlignment="1" applyFont="1">
      <alignment/>
    </xf>
    <xf borderId="0" fillId="15" fontId="1" numFmtId="0" xfId="0" applyAlignment="1" applyFont="1">
      <alignment horizontal="center"/>
    </xf>
    <xf borderId="0" fillId="17" fontId="11" numFmtId="0" xfId="0" applyAlignment="1" applyFont="1">
      <alignment/>
    </xf>
    <xf borderId="0" fillId="15" fontId="1" numFmtId="0" xfId="0" applyAlignment="1" applyFont="1">
      <alignment horizontal="center"/>
    </xf>
    <xf borderId="0" fillId="17" fontId="2" numFmtId="0" xfId="0" applyFont="1"/>
    <xf borderId="0" fillId="3" fontId="4" numFmtId="0" xfId="0" applyAlignment="1" applyFont="1">
      <alignment horizontal="center"/>
    </xf>
    <xf borderId="0" fillId="8" fontId="2" numFmtId="0" xfId="0" applyAlignment="1" applyFont="1">
      <alignment/>
    </xf>
    <xf borderId="0" fillId="2" fontId="4" numFmtId="0" xfId="0" applyAlignment="1" applyFont="1">
      <alignment horizontal="center"/>
    </xf>
    <xf borderId="0" fillId="5" fontId="4" numFmtId="0" xfId="0" applyAlignment="1" applyFont="1">
      <alignment horizontal="center"/>
    </xf>
    <xf borderId="0" fillId="0" fontId="10" numFmtId="0" xfId="0" applyAlignment="1" applyFont="1">
      <alignment/>
    </xf>
    <xf borderId="0" fillId="0" fontId="1" numFmtId="0" xfId="0" applyFont="1"/>
    <xf borderId="0" fillId="17" fontId="9" numFmtId="0" xfId="0" applyAlignment="1" applyFont="1">
      <alignment/>
    </xf>
    <xf borderId="0" fillId="0" fontId="12" numFmtId="0" xfId="0" applyAlignment="1" applyFont="1">
      <alignment/>
    </xf>
    <xf borderId="0" fillId="17" fontId="0" numFmtId="0" xfId="0" applyAlignment="1" applyFont="1">
      <alignment/>
    </xf>
    <xf borderId="0" fillId="12" fontId="13" numFmtId="0" xfId="0" applyAlignment="1" applyFont="1">
      <alignment/>
    </xf>
    <xf borderId="0" fillId="17" fontId="9" numFmtId="0" xfId="0" applyAlignment="1" applyFont="1">
      <alignment/>
    </xf>
    <xf borderId="0" fillId="12" fontId="2" numFmtId="0" xfId="0" applyAlignment="1" applyFont="1">
      <alignment horizontal="center"/>
    </xf>
    <xf borderId="0" fillId="17" fontId="14" numFmtId="0" xfId="0" applyFont="1"/>
    <xf borderId="0" fillId="0" fontId="2" numFmtId="0" xfId="0" applyAlignment="1" applyFont="1">
      <alignment/>
    </xf>
    <xf borderId="0" fillId="0" fontId="15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16" fontId="1" numFmtId="0" xfId="0" applyAlignment="1" applyFont="1">
      <alignment horizontal="center" vertical="center"/>
    </xf>
    <xf borderId="0" fillId="12" fontId="2" numFmtId="0" xfId="0" applyAlignment="1" applyFont="1">
      <alignment horizontal="center"/>
    </xf>
    <xf borderId="0" fillId="17" fontId="6" numFmtId="0" xfId="0" applyAlignment="1" applyFont="1">
      <alignment/>
    </xf>
    <xf borderId="0" fillId="17" fontId="6" numFmtId="0" xfId="0" applyAlignment="1" applyFont="1">
      <alignment/>
    </xf>
    <xf borderId="0" fillId="17" fontId="10" numFmtId="0" xfId="0" applyAlignment="1" applyFont="1">
      <alignment horizontal="left"/>
    </xf>
    <xf borderId="0" fillId="17" fontId="6" numFmtId="0" xfId="0" applyAlignment="1" applyFont="1">
      <alignment/>
    </xf>
    <xf borderId="0" fillId="16" fontId="1" numFmtId="0" xfId="0" applyAlignment="1" applyFont="1">
      <alignment horizontal="right"/>
    </xf>
    <xf borderId="0" fillId="0" fontId="16" numFmtId="0" xfId="0" applyAlignment="1" applyFont="1">
      <alignment horizontal="right"/>
    </xf>
    <xf borderId="0" fillId="17" fontId="6" numFmtId="0" xfId="0" applyAlignment="1" applyFont="1">
      <alignment/>
    </xf>
    <xf borderId="0" fillId="0" fontId="17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17" fontId="10" numFmtId="0" xfId="0" applyAlignment="1" applyFont="1">
      <alignment horizontal="left"/>
    </xf>
    <xf borderId="0" fillId="16" fontId="1" numFmtId="0" xfId="0" applyAlignment="1" applyFont="1">
      <alignment/>
    </xf>
    <xf borderId="0" fillId="0" fontId="4" numFmtId="0" xfId="0" applyAlignment="1" applyFont="1">
      <alignment/>
    </xf>
    <xf borderId="0" fillId="0" fontId="6" numFmtId="0" xfId="0" applyAlignment="1" applyFont="1">
      <alignment horizontal="right"/>
    </xf>
    <xf borderId="0" fillId="17" fontId="10" numFmtId="0" xfId="0" applyAlignment="1" applyFont="1">
      <alignment/>
    </xf>
    <xf borderId="0" fillId="15" fontId="6" numFmtId="0" xfId="0" applyAlignment="1" applyFont="1">
      <alignment/>
    </xf>
    <xf borderId="0" fillId="17" fontId="12" numFmtId="0" xfId="0" applyAlignment="1" applyFont="1">
      <alignment/>
    </xf>
    <xf borderId="0" fillId="17" fontId="5" numFmtId="0" xfId="0" applyAlignment="1" applyFont="1">
      <alignment/>
    </xf>
    <xf borderId="0" fillId="12" fontId="10" numFmtId="0" xfId="0" applyAlignment="1" applyFont="1">
      <alignment horizontal="left"/>
    </xf>
    <xf borderId="0" fillId="17" fontId="10" numFmtId="0" xfId="0" applyAlignment="1" applyFont="1">
      <alignment/>
    </xf>
    <xf borderId="0" fillId="18" fontId="2" numFmtId="0" xfId="0" applyAlignment="1" applyFill="1" applyFont="1">
      <alignment/>
    </xf>
    <xf borderId="0" fillId="8" fontId="18" numFmtId="0" xfId="0" applyAlignment="1" applyFont="1">
      <alignment/>
    </xf>
    <xf borderId="0" fillId="0" fontId="19" numFmtId="0" xfId="0" applyAlignment="1" applyFont="1">
      <alignment/>
    </xf>
    <xf borderId="0" fillId="8" fontId="6" numFmtId="0" xfId="0" applyAlignment="1" applyFont="1">
      <alignment/>
    </xf>
    <xf borderId="0" fillId="8" fontId="3" numFmtId="0" xfId="0" applyAlignment="1" applyFont="1">
      <alignment horizontal="left"/>
    </xf>
    <xf borderId="0" fillId="8" fontId="16" numFmtId="0" xfId="0" applyAlignment="1" applyFont="1">
      <alignment horizontal="right"/>
    </xf>
    <xf borderId="0" fillId="8" fontId="7" numFmtId="0" xfId="0" applyAlignment="1" applyFont="1">
      <alignment horizontal="right"/>
    </xf>
    <xf borderId="0" fillId="8" fontId="6" numFmtId="0" xfId="0" applyAlignment="1" applyFont="1">
      <alignment horizontal="right"/>
    </xf>
    <xf borderId="0" fillId="8" fontId="17" numFmtId="0" xfId="0" applyAlignment="1" applyFont="1">
      <alignment horizontal="right"/>
    </xf>
    <xf borderId="0" fillId="8" fontId="1" numFmtId="0" xfId="0" applyAlignment="1" applyFont="1">
      <alignment/>
    </xf>
    <xf borderId="0" fillId="8" fontId="7" numFmtId="0" xfId="0" applyAlignment="1" applyFont="1">
      <alignment/>
    </xf>
    <xf borderId="0" fillId="19" fontId="1" numFmtId="0" xfId="0" applyAlignment="1" applyFill="1" applyFont="1">
      <alignment/>
    </xf>
    <xf borderId="0" fillId="19" fontId="3" numFmtId="0" xfId="0" applyAlignment="1" applyFont="1">
      <alignment horizontal="left"/>
    </xf>
    <xf borderId="0" fillId="20" fontId="1" numFmtId="0" xfId="0" applyAlignment="1" applyFill="1" applyFont="1">
      <alignment/>
    </xf>
    <xf borderId="0" fillId="14" fontId="1" numFmtId="0" xfId="0" applyAlignment="1" applyFont="1">
      <alignment/>
    </xf>
    <xf borderId="0" fillId="3" fontId="1" numFmtId="0" xfId="0" applyAlignment="1" applyFont="1">
      <alignment/>
    </xf>
    <xf borderId="0" fillId="19" fontId="0" numFmtId="0" xfId="0" applyFont="1"/>
    <xf borderId="0" fillId="19" fontId="2" numFmtId="0" xfId="0" applyFont="1"/>
    <xf borderId="0" fillId="20" fontId="2" numFmtId="0" xfId="0" applyFont="1"/>
    <xf borderId="0" fillId="14" fontId="2" numFmtId="0" xfId="0" applyFont="1"/>
    <xf borderId="0" fillId="3" fontId="2" numFmtId="0" xfId="0" applyFont="1"/>
    <xf borderId="0" fillId="21" fontId="1" numFmtId="0" xfId="0" applyAlignment="1" applyFill="1" applyFont="1">
      <alignment/>
    </xf>
    <xf borderId="0" fillId="12" fontId="1" numFmtId="0" xfId="0" applyAlignment="1" applyFont="1">
      <alignment/>
    </xf>
    <xf borderId="0" fillId="22" fontId="4" numFmtId="0" xfId="0" applyAlignment="1" applyFill="1" applyFont="1">
      <alignment/>
    </xf>
    <xf borderId="0" fillId="21" fontId="4" numFmtId="0" xfId="0" applyAlignment="1" applyFont="1">
      <alignment/>
    </xf>
    <xf borderId="0" fillId="21" fontId="1" numFmtId="0" xfId="0" applyAlignment="1" applyFont="1">
      <alignment horizontal="right"/>
    </xf>
    <xf borderId="0" fillId="21" fontId="2" numFmtId="0" xfId="0" applyFont="1"/>
    <xf borderId="0" fillId="22" fontId="1" numFmtId="0" xfId="0" applyAlignment="1" applyFont="1">
      <alignment/>
    </xf>
    <xf borderId="0" fillId="22" fontId="2" numFmtId="0" xfId="0" applyFont="1"/>
    <xf borderId="0" fillId="21" fontId="5" numFmtId="0" xfId="0" applyFont="1"/>
    <xf borderId="0" fillId="23" fontId="1" numFmtId="0" xfId="0" applyAlignment="1" applyFill="1" applyFont="1">
      <alignment/>
    </xf>
    <xf borderId="0" fillId="23" fontId="2" numFmtId="0" xfId="0" applyFont="1"/>
    <xf borderId="0" fillId="11" fontId="1" numFmtId="0" xfId="0" applyAlignment="1" applyFont="1">
      <alignment horizontal="left"/>
    </xf>
    <xf borderId="0" fillId="11" fontId="1" numFmtId="0" xfId="0" applyAlignment="1" applyFont="1">
      <alignment/>
    </xf>
    <xf borderId="0" fillId="11" fontId="1" numFmtId="0" xfId="0" applyAlignment="1" applyFont="1">
      <alignment horizontal="right"/>
    </xf>
    <xf borderId="0" fillId="11" fontId="2" numFmtId="0" xfId="0" applyFont="1"/>
    <xf borderId="0" fillId="16" fontId="5" numFmtId="0" xfId="0" applyFont="1"/>
    <xf borderId="0" fillId="16" fontId="2" numFmtId="0" xfId="0" applyFont="1"/>
    <xf borderId="0" fillId="14" fontId="1" numFmtId="0" xfId="0" applyAlignment="1" applyFont="1">
      <alignment horizontal="right"/>
    </xf>
    <xf borderId="0" fillId="14" fontId="5" numFmtId="0" xfId="0" applyFont="1"/>
    <xf borderId="0" fillId="11" fontId="16" numFmtId="0" xfId="0" applyAlignment="1" applyFont="1">
      <alignment horizontal="right"/>
    </xf>
    <xf borderId="0" fillId="16" fontId="16" numFmtId="0" xfId="0" applyAlignment="1" applyFont="1">
      <alignment horizontal="right"/>
    </xf>
    <xf borderId="0" fillId="14" fontId="16" numFmtId="0" xfId="0" applyAlignment="1" applyFont="1">
      <alignment horizontal="right"/>
    </xf>
    <xf borderId="0" fillId="11" fontId="7" numFmtId="0" xfId="0" applyAlignment="1" applyFont="1">
      <alignment horizontal="right"/>
    </xf>
    <xf borderId="0" fillId="11" fontId="6" numFmtId="0" xfId="0" applyAlignment="1" applyFont="1">
      <alignment/>
    </xf>
    <xf borderId="0" fillId="11" fontId="1" numFmtId="0" xfId="0" applyFont="1"/>
    <xf borderId="0" fillId="11" fontId="7" numFmtId="0" xfId="0" applyAlignment="1" applyFont="1">
      <alignment horizontal="right"/>
    </xf>
    <xf borderId="0" fillId="16" fontId="7" numFmtId="0" xfId="0" applyAlignment="1" applyFont="1">
      <alignment/>
    </xf>
    <xf borderId="0" fillId="16" fontId="6" numFmtId="0" xfId="0" applyAlignment="1" applyFont="1">
      <alignment/>
    </xf>
    <xf borderId="0" fillId="11" fontId="7" numFmtId="0" xfId="0" applyAlignment="1" applyFont="1">
      <alignment horizontal="right"/>
    </xf>
    <xf borderId="0" fillId="8" fontId="7" numFmtId="0" xfId="0" applyAlignment="1" applyFont="1">
      <alignment/>
    </xf>
    <xf borderId="0" fillId="5" fontId="2" numFmtId="0" xfId="0" applyAlignment="1" applyFont="1">
      <alignment/>
    </xf>
    <xf borderId="0" fillId="8" fontId="1" numFmtId="0" xfId="0" applyFont="1"/>
    <xf borderId="0" fillId="24" fontId="1" numFmtId="0" xfId="0" applyAlignment="1" applyFill="1" applyFont="1">
      <alignment horizontal="left"/>
    </xf>
    <xf borderId="0" fillId="24" fontId="1" numFmtId="0" xfId="0" applyAlignment="1" applyFont="1">
      <alignment/>
    </xf>
    <xf borderId="0" fillId="24" fontId="1" numFmtId="0" xfId="0" applyAlignment="1" applyFont="1">
      <alignment horizontal="right"/>
    </xf>
    <xf borderId="0" fillId="24" fontId="2" numFmtId="0" xfId="0" applyFont="1"/>
    <xf borderId="0" fillId="25" fontId="1" numFmtId="0" xfId="0" applyAlignment="1" applyFill="1" applyFont="1">
      <alignment/>
    </xf>
    <xf borderId="0" fillId="8" fontId="6" numFmtId="0" xfId="0" applyAlignment="1" applyFont="1">
      <alignment horizontal="right"/>
    </xf>
    <xf borderId="0" fillId="25" fontId="2" numFmtId="0" xfId="0" applyFont="1"/>
    <xf borderId="0" fillId="12" fontId="3" numFmtId="0" xfId="0" applyAlignment="1" applyFont="1">
      <alignment horizontal="left"/>
    </xf>
    <xf borderId="0" fillId="12" fontId="7" numFmtId="0" xfId="0" applyAlignment="1" applyFont="1">
      <alignment/>
    </xf>
    <xf borderId="0" fillId="22" fontId="3" numFmtId="0" xfId="0" applyAlignment="1" applyFont="1">
      <alignment horizontal="left"/>
    </xf>
    <xf borderId="0" fillId="12" fontId="7" numFmtId="0" xfId="0" applyAlignment="1" applyFont="1">
      <alignment horizontal="right"/>
    </xf>
    <xf borderId="0" fillId="12" fontId="7" numFmtId="0" xfId="0" applyAlignment="1" applyFont="1">
      <alignment horizontal="right"/>
    </xf>
    <xf borderId="0" fillId="12" fontId="6" numFmtId="0" xfId="0" applyAlignment="1" applyFont="1">
      <alignment/>
    </xf>
    <xf borderId="0" fillId="12" fontId="0" numFmtId="0" xfId="0" applyFont="1"/>
    <xf borderId="0" fillId="12" fontId="10" numFmtId="0" xfId="0" applyAlignment="1" applyFont="1">
      <alignment horizontal="right"/>
    </xf>
    <xf borderId="0" fillId="12" fontId="6" numFmtId="0" xfId="0" applyAlignment="1" applyFont="1">
      <alignment horizontal="right"/>
    </xf>
    <xf borderId="0" fillId="22" fontId="0" numFmtId="0" xfId="0" applyFont="1"/>
    <xf borderId="0" fillId="12" fontId="10" numFmtId="0" xfId="0" applyAlignment="1" applyFont="1">
      <alignment horizontal="left"/>
    </xf>
    <xf borderId="0" fillId="12" fontId="6" numFmtId="0" xfId="0" applyAlignment="1" applyFont="1">
      <alignment horizontal="right"/>
    </xf>
    <xf borderId="0" fillId="12" fontId="9" numFmtId="0" xfId="0" applyFont="1"/>
    <xf borderId="0" fillId="22" fontId="9" numFmtId="0" xfId="0" applyFont="1"/>
    <xf borderId="0" fillId="22" fontId="7" numFmtId="0" xfId="0" applyAlignment="1" applyFont="1">
      <alignment/>
    </xf>
    <xf borderId="0" fillId="22" fontId="6" numFmtId="0" xfId="0" applyAlignment="1" applyFont="1">
      <alignment horizontal="right"/>
    </xf>
    <xf borderId="0" fillId="12" fontId="7" numFmtId="0" xfId="0" applyAlignment="1" applyFont="1">
      <alignment horizontal="right"/>
    </xf>
    <xf borderId="0" fillId="8" fontId="7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6" fontId="2" numFmtId="0" xfId="0" applyFont="1"/>
    <xf borderId="0" fillId="6" fontId="1" numFmtId="0" xfId="0" applyAlignment="1" applyFont="1">
      <alignment/>
    </xf>
    <xf borderId="0" fillId="21" fontId="1" numFmtId="0" xfId="0" applyFont="1"/>
    <xf borderId="0" fillId="18" fontId="1" numFmtId="0" xfId="0" applyAlignment="1" applyFont="1">
      <alignment/>
    </xf>
    <xf borderId="0" fillId="18" fontId="2" numFmtId="0" xfId="0" applyFont="1"/>
    <xf borderId="0" fillId="26" fontId="1" numFmtId="0" xfId="0" applyAlignment="1" applyFill="1" applyFont="1">
      <alignment/>
    </xf>
    <xf borderId="0" fillId="27" fontId="1" numFmtId="0" xfId="0" applyAlignment="1" applyFill="1" applyFont="1">
      <alignment/>
    </xf>
    <xf borderId="0" fillId="26" fontId="2" numFmtId="0" xfId="0" applyFont="1"/>
    <xf borderId="0" fillId="28" fontId="1" numFmtId="0" xfId="0" applyAlignment="1" applyFill="1" applyFont="1">
      <alignment/>
    </xf>
    <xf borderId="0" fillId="28" fontId="2" numFmtId="0" xfId="0" applyFont="1"/>
    <xf borderId="0" fillId="13" fontId="1" numFmtId="0" xfId="0" applyAlignment="1" applyFont="1">
      <alignment/>
    </xf>
    <xf borderId="0" fillId="29" fontId="1" numFmtId="0" xfId="0" applyAlignment="1" applyFill="1" applyFont="1">
      <alignment/>
    </xf>
    <xf borderId="0" fillId="7" fontId="2" numFmtId="0" xfId="0" applyAlignment="1" applyFont="1">
      <alignment/>
    </xf>
    <xf borderId="0" fillId="7" fontId="1" numFmtId="0" xfId="0" applyAlignment="1" applyFont="1">
      <alignment/>
    </xf>
    <xf borderId="0" fillId="29" fontId="2" numFmtId="0" xfId="0" applyFont="1"/>
    <xf borderId="0" fillId="7" fontId="2" numFmtId="0" xfId="0" applyFont="1"/>
    <xf borderId="0" fillId="30" fontId="1" numFmtId="0" xfId="0" applyAlignment="1" applyFill="1" applyFont="1">
      <alignment/>
    </xf>
    <xf borderId="0" fillId="30" fontId="2" numFmtId="0" xfId="0" applyFont="1"/>
    <xf borderId="0" fillId="31" fontId="1" numFmtId="0" xfId="0" applyAlignment="1" applyFill="1" applyFont="1">
      <alignment/>
    </xf>
    <xf borderId="0" fillId="31" fontId="1" numFmtId="0" xfId="0" applyAlignment="1" applyFont="1">
      <alignment horizontal="right"/>
    </xf>
    <xf borderId="0" fillId="31" fontId="16" numFmtId="0" xfId="0" applyAlignment="1" applyFont="1">
      <alignment horizontal="right"/>
    </xf>
    <xf borderId="0" fillId="31" fontId="2" numFmtId="0" xfId="0" applyFont="1"/>
    <xf borderId="0" fillId="32" fontId="1" numFmtId="0" xfId="0" applyAlignment="1" applyFill="1" applyFont="1">
      <alignment/>
    </xf>
    <xf borderId="0" fillId="32" fontId="1" numFmtId="0" xfId="0" applyAlignment="1" applyFont="1">
      <alignment horizontal="right"/>
    </xf>
    <xf borderId="0" fillId="32" fontId="16" numFmtId="0" xfId="0" applyAlignment="1" applyFont="1">
      <alignment horizontal="right"/>
    </xf>
    <xf borderId="0" fillId="32" fontId="2" numFmtId="0" xfId="0" applyFont="1"/>
    <xf borderId="0" fillId="33" fontId="1" numFmtId="0" xfId="0" applyAlignment="1" applyFill="1" applyFont="1">
      <alignment/>
    </xf>
    <xf borderId="0" fillId="33" fontId="1" numFmtId="0" xfId="0" applyAlignment="1" applyFont="1">
      <alignment horizontal="left"/>
    </xf>
    <xf borderId="0" fillId="33" fontId="1" numFmtId="0" xfId="0" applyAlignment="1" applyFont="1">
      <alignment horizontal="right"/>
    </xf>
    <xf borderId="0" fillId="33" fontId="2" numFmtId="0" xfId="0" applyFont="1"/>
    <xf borderId="0" fillId="33" fontId="16" numFmtId="0" xfId="0" applyAlignment="1" applyFont="1">
      <alignment horizontal="right"/>
    </xf>
    <xf borderId="0" fillId="8" fontId="20" numFmtId="0" xfId="0" applyAlignment="1" applyFont="1">
      <alignment/>
    </xf>
    <xf borderId="0" fillId="8" fontId="2" numFmtId="0" xfId="0" applyAlignment="1" applyFont="1">
      <alignment horizontal="center"/>
    </xf>
    <xf borderId="0" fillId="8" fontId="2" numFmtId="0" xfId="0" applyAlignment="1" applyFont="1">
      <alignment horizontal="center"/>
    </xf>
    <xf borderId="0" fillId="0" fontId="21" numFmtId="0" xfId="0" applyAlignment="1" applyFont="1">
      <alignment/>
    </xf>
    <xf borderId="0" fillId="33" fontId="7" numFmtId="0" xfId="0" applyAlignment="1" applyFont="1">
      <alignment horizontal="right"/>
    </xf>
    <xf borderId="0" fillId="33" fontId="6" numFmtId="0" xfId="0" applyAlignment="1" applyFont="1">
      <alignment/>
    </xf>
    <xf borderId="0" fillId="6" fontId="1" numFmtId="0" xfId="0" applyAlignment="1" applyFont="1">
      <alignment horizontal="left"/>
    </xf>
    <xf borderId="0" fillId="6" fontId="16" numFmtId="0" xfId="0" applyAlignment="1" applyFont="1">
      <alignment horizontal="right"/>
    </xf>
    <xf borderId="0" fillId="6" fontId="7" numFmtId="0" xfId="0" applyAlignment="1" applyFont="1">
      <alignment horizontal="right"/>
    </xf>
    <xf borderId="0" fillId="6" fontId="6" numFmtId="0" xfId="0" applyAlignment="1" applyFont="1">
      <alignment/>
    </xf>
    <xf borderId="0" fillId="9" fontId="1" numFmtId="0" xfId="0" applyAlignment="1" applyFont="1">
      <alignment/>
    </xf>
    <xf borderId="0" fillId="9" fontId="1" numFmtId="0" xfId="0" applyAlignment="1" applyFont="1">
      <alignment horizontal="left"/>
    </xf>
    <xf borderId="0" fillId="9" fontId="1" numFmtId="0" xfId="0" applyAlignment="1" applyFont="1">
      <alignment horizontal="right"/>
    </xf>
    <xf borderId="0" fillId="0" fontId="10" numFmtId="0" xfId="0" applyAlignment="1" applyFont="1">
      <alignment horizontal="left"/>
    </xf>
    <xf borderId="0" fillId="9" fontId="2" numFmtId="0" xfId="0" applyFont="1"/>
    <xf borderId="0" fillId="9" fontId="16" numFmtId="0" xfId="0" applyAlignment="1" applyFont="1">
      <alignment horizontal="right"/>
    </xf>
    <xf borderId="0" fillId="9" fontId="7" numFmtId="0" xfId="0" applyAlignment="1" applyFont="1">
      <alignment horizontal="right"/>
    </xf>
    <xf borderId="0" fillId="9" fontId="6" numFmtId="0" xfId="0" applyAlignment="1" applyFont="1">
      <alignment/>
    </xf>
    <xf borderId="0" fillId="5" fontId="2" numFmtId="0" xfId="0" applyFont="1"/>
    <xf borderId="0" fillId="5" fontId="16" numFmtId="0" xfId="0" applyAlignment="1" applyFont="1">
      <alignment horizontal="right"/>
    </xf>
    <xf borderId="0" fillId="5" fontId="7" numFmtId="0" xfId="0" applyAlignment="1" applyFont="1">
      <alignment horizontal="right"/>
    </xf>
    <xf borderId="0" fillId="5" fontId="6" numFmtId="0" xfId="0" applyAlignment="1" applyFont="1">
      <alignment/>
    </xf>
    <xf borderId="0" fillId="8" fontId="10" numFmtId="0" xfId="0" applyAlignment="1" applyFont="1">
      <alignment horizontal="left"/>
    </xf>
    <xf borderId="0" fillId="0" fontId="15" numFmtId="0" xfId="0" applyAlignment="1" applyFont="1">
      <alignment horizontal="center"/>
    </xf>
    <xf borderId="0" fillId="0" fontId="2" numFmtId="0" xfId="0" applyAlignment="1" applyFont="1">
      <alignment/>
    </xf>
  </cellXfs>
  <cellStyles count="1">
    <cellStyle xfId="0" name="Normal" builtinId="0"/>
  </cellStyles>
  <dxfs count="3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B6D7A8"/>
          <bgColor rgb="FFB6D7A8"/>
        </patternFill>
      </fill>
      <alignment/>
      <border>
        <left/>
        <right/>
        <top/>
        <bottom/>
      </border>
    </dxf>
    <dxf>
      <font/>
      <fill>
        <patternFill patternType="solid">
          <fgColor rgb="FFF4CCCC"/>
          <bgColor rgb="FFF4CCC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aisel.aisnet.org/amcis2015/SystemsAnalysis/GeneralPresentations/7/" TargetMode="External"/><Relationship Id="rId194" Type="http://schemas.openxmlformats.org/officeDocument/2006/relationships/hyperlink" Target="https://www.semanticscholar.org/paper/The-Rise-of-Curation-on-GitHub-Wu-Kropczynski/ba5832f29ba9a968dad546e8ba53a0ca8015d24f/pdf" TargetMode="External"/><Relationship Id="rId193" Type="http://schemas.openxmlformats.org/officeDocument/2006/relationships/hyperlink" Target="http://dl.acm.org/citation.cfm?id=2675284" TargetMode="External"/><Relationship Id="rId192" Type="http://schemas.openxmlformats.org/officeDocument/2006/relationships/hyperlink" Target="http://dl.acm.org/citation.cfm?id=2702549" TargetMode="External"/><Relationship Id="rId191" Type="http://schemas.openxmlformats.org/officeDocument/2006/relationships/hyperlink" Target="http://dl.acm.org/citation.cfm?id=2886490" TargetMode="External"/><Relationship Id="rId187" Type="http://schemas.openxmlformats.org/officeDocument/2006/relationships/hyperlink" Target="https://peerj.com/preprints/1984/" TargetMode="External"/><Relationship Id="rId186" Type="http://schemas.openxmlformats.org/officeDocument/2006/relationships/hyperlink" Target="https://peerj.com/preprints/1920/" TargetMode="External"/><Relationship Id="rId185" Type="http://schemas.openxmlformats.org/officeDocument/2006/relationships/hyperlink" Target="http://arxiv.org/abs/1606.05431" TargetMode="External"/><Relationship Id="rId184" Type="http://schemas.openxmlformats.org/officeDocument/2006/relationships/hyperlink" Target="http://arxiv.org/abs/1606.04984" TargetMode="External"/><Relationship Id="rId189" Type="http://schemas.openxmlformats.org/officeDocument/2006/relationships/hyperlink" Target="http://www.sciencedirect.com/science/article/pii/S0164121215000485" TargetMode="External"/><Relationship Id="rId188" Type="http://schemas.openxmlformats.org/officeDocument/2006/relationships/hyperlink" Target="https://books.google.es/books?hl=it&amp;lr=&amp;id=OhdOBQAAQBAJ&amp;oi=fnd&amp;pg=PR3&amp;dq=Introducing+GitHub+-+A+Non-Technical+Guide&amp;ots=LiJ7H4j1ZH&amp;sig=r4nWLwRFQOWsYG2v2IM7vtYb6Ds&amp;redir_esc=y" TargetMode="External"/><Relationship Id="rId183" Type="http://schemas.openxmlformats.org/officeDocument/2006/relationships/hyperlink" Target="http://arxiv.org/abs/1606.00521" TargetMode="External"/><Relationship Id="rId182" Type="http://schemas.openxmlformats.org/officeDocument/2006/relationships/hyperlink" Target="http://arxiv.org/abs/1603.00431" TargetMode="External"/><Relationship Id="rId181" Type="http://schemas.openxmlformats.org/officeDocument/2006/relationships/hyperlink" Target="http://arxiv.org/abs/1602.02594" TargetMode="External"/><Relationship Id="rId180" Type="http://schemas.openxmlformats.org/officeDocument/2006/relationships/hyperlink" Target="http://arxiv.org/abs/1601.07862" TargetMode="External"/><Relationship Id="rId176" Type="http://schemas.openxmlformats.org/officeDocument/2006/relationships/hyperlink" Target="http://dl.acm.org/citation.cfm?id=2884875" TargetMode="External"/><Relationship Id="rId297" Type="http://schemas.openxmlformats.org/officeDocument/2006/relationships/hyperlink" Target="http://www.sciencedirect.com/science/article/pii/S0950584915001573" TargetMode="External"/><Relationship Id="rId175" Type="http://schemas.openxmlformats.org/officeDocument/2006/relationships/hyperlink" Target="http://dl.acm.org/citation.cfm?id=2891035" TargetMode="External"/><Relationship Id="rId296" Type="http://schemas.openxmlformats.org/officeDocument/2006/relationships/hyperlink" Target="http://www.sciencedirect.com/science/article/pii/S0010465515004555" TargetMode="External"/><Relationship Id="rId174" Type="http://schemas.openxmlformats.org/officeDocument/2006/relationships/hyperlink" Target="http://dl.acm.org/citation.cfm?id=2889195" TargetMode="External"/><Relationship Id="rId295" Type="http://schemas.openxmlformats.org/officeDocument/2006/relationships/hyperlink" Target="http://www.sciencedirect.com/science/article/pii/S0021999113004154" TargetMode="External"/><Relationship Id="rId173" Type="http://schemas.openxmlformats.org/officeDocument/2006/relationships/hyperlink" Target="http://dl.acm.org/citation.cfm?id=2889244" TargetMode="External"/><Relationship Id="rId294" Type="http://schemas.openxmlformats.org/officeDocument/2006/relationships/hyperlink" Target="http://www.sciencedirect.com/science/article/pii/S1476927115000481" TargetMode="External"/><Relationship Id="rId179" Type="http://schemas.openxmlformats.org/officeDocument/2006/relationships/hyperlink" Target="http://dl.acm.org/citation.cfm?id=2903496" TargetMode="External"/><Relationship Id="rId178" Type="http://schemas.openxmlformats.org/officeDocument/2006/relationships/hyperlink" Target="http://dl.acm.org/citation.cfm?id=2901751" TargetMode="External"/><Relationship Id="rId299" Type="http://schemas.openxmlformats.org/officeDocument/2006/relationships/hyperlink" Target="http://www.sciencedirect.com/science/article/pii/S0010482514000237" TargetMode="External"/><Relationship Id="rId177" Type="http://schemas.openxmlformats.org/officeDocument/2006/relationships/hyperlink" Target="http://dl.acm.org/citation.cfm?id=2901776" TargetMode="External"/><Relationship Id="rId298" Type="http://schemas.openxmlformats.org/officeDocument/2006/relationships/hyperlink" Target="http://www.sciencedirect.com/science/article/pii/S0169260715300560" TargetMode="External"/><Relationship Id="rId198" Type="http://schemas.openxmlformats.org/officeDocument/2006/relationships/hyperlink" Target="http://dl.acm.org/citation.cfm?id=2786834" TargetMode="External"/><Relationship Id="rId197" Type="http://schemas.openxmlformats.org/officeDocument/2006/relationships/hyperlink" Target="http://dl.acm.org/citation.cfm?id=2678305" TargetMode="External"/><Relationship Id="rId196" Type="http://schemas.openxmlformats.org/officeDocument/2006/relationships/hyperlink" Target="http://link.springer.com/chapter/10.1007/978-3-319-26844-6_22" TargetMode="External"/><Relationship Id="rId195" Type="http://schemas.openxmlformats.org/officeDocument/2006/relationships/hyperlink" Target="http://link.springer.com/chapter/10.1007/978-3-319-21413-9_4" TargetMode="External"/><Relationship Id="rId199" Type="http://schemas.openxmlformats.org/officeDocument/2006/relationships/hyperlink" Target="http://dl.acm.org/citation.cfm?id=2786850" TargetMode="External"/><Relationship Id="rId150" Type="http://schemas.openxmlformats.org/officeDocument/2006/relationships/hyperlink" Target="http://ieeexplore.ieee.org/xpl/login.jsp?tp=&amp;arnumber=7203004&amp;url=http%3A%2F%2Fieeexplore.ieee.org%2Fxpls%2Fabs_all.jsp%3Farnumber%3D7203004" TargetMode="External"/><Relationship Id="rId271" Type="http://schemas.openxmlformats.org/officeDocument/2006/relationships/hyperlink" Target="http://www.sciencedirect.com/science/article/pii/S2213133716300178" TargetMode="External"/><Relationship Id="rId392" Type="http://schemas.openxmlformats.org/officeDocument/2006/relationships/hyperlink" Target="http://dl.acm.org/citation.cfm?id=2627512" TargetMode="External"/><Relationship Id="rId270" Type="http://schemas.openxmlformats.org/officeDocument/2006/relationships/hyperlink" Target="http://www.sciencedirect.com/science/article/pii/S2213133716300397" TargetMode="External"/><Relationship Id="rId391" Type="http://schemas.openxmlformats.org/officeDocument/2006/relationships/hyperlink" Target="http://dl.acm.org/citation.cfm?id=2654889" TargetMode="External"/><Relationship Id="rId390" Type="http://schemas.openxmlformats.org/officeDocument/2006/relationships/hyperlink" Target="http://dl.acm.org/citation.cfm?id=264281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eb.cs.ucla.edu/~miryung/Publications/icsm2013-apiecosystem.pdf" TargetMode="External"/><Relationship Id="rId3" Type="http://schemas.openxmlformats.org/officeDocument/2006/relationships/hyperlink" Target="http://ieeexplore.ieee.org/xpls/abs_all.jsp?arnumber=6747169&amp;tag=1" TargetMode="External"/><Relationship Id="rId149" Type="http://schemas.openxmlformats.org/officeDocument/2006/relationships/hyperlink" Target="http://ieeexplore.ieee.org/xpl/login.jsp?tp=&amp;arnumber=7476667&amp;url=http%3A%2F%2Fieeexplore.ieee.org%2Fxpls%2Fabs_all.jsp%3Farnumber%3D7476667" TargetMode="External"/><Relationship Id="rId4" Type="http://schemas.openxmlformats.org/officeDocument/2006/relationships/hyperlink" Target="http://ieeexplore.ieee.org/stamp/stamp.jsp?tp=&amp;arnumber=7459430" TargetMode="External"/><Relationship Id="rId148" Type="http://schemas.openxmlformats.org/officeDocument/2006/relationships/hyperlink" Target="http://ieeexplore.ieee.org/xpl/login.jsp?tp=&amp;arnumber=7190558&amp;url=http%3A%2F%2Fieeexplore.ieee.org%2Fxpls%2Fabs_all.jsp%3Farnumber%3D7190558" TargetMode="External"/><Relationship Id="rId269" Type="http://schemas.openxmlformats.org/officeDocument/2006/relationships/hyperlink" Target="http://www.sciencedirect.com/science/article/pii/S0098300416301704" TargetMode="External"/><Relationship Id="rId9" Type="http://schemas.openxmlformats.org/officeDocument/2006/relationships/hyperlink" Target="http://www.win.tue.nl/~aserebre/ICSME2014ERA.pdf" TargetMode="External"/><Relationship Id="rId143" Type="http://schemas.openxmlformats.org/officeDocument/2006/relationships/hyperlink" Target="http://ieeexplore.ieee.org/xpl/login.jsp?tp=&amp;arnumber=7439313&amp;url=http%3A%2F%2Fieeexplore.ieee.org%2Fxpls%2Fabs_all.jsp%3Farnumber%3D7439313" TargetMode="External"/><Relationship Id="rId264" Type="http://schemas.openxmlformats.org/officeDocument/2006/relationships/hyperlink" Target="http://www.sciencedirect.com/science/article/pii/S221313371500013X" TargetMode="External"/><Relationship Id="rId385" Type="http://schemas.openxmlformats.org/officeDocument/2006/relationships/hyperlink" Target="http://dl.acm.org/citation.cfm?id=2591115" TargetMode="External"/><Relationship Id="rId142" Type="http://schemas.openxmlformats.org/officeDocument/2006/relationships/hyperlink" Target="http://ieeexplore.ieee.org/xpl/login.jsp?tp=&amp;arnumber=7332449&amp;url=http%3A%2F%2Fieeexplore.ieee.org%2Fxpls%2Fabs_all.jsp%3Farnumber%3D7332449" TargetMode="External"/><Relationship Id="rId263" Type="http://schemas.openxmlformats.org/officeDocument/2006/relationships/hyperlink" Target="http://www.sciencedirect.com/science/article/pii/S0169260715300262" TargetMode="External"/><Relationship Id="rId384" Type="http://schemas.openxmlformats.org/officeDocument/2006/relationships/hyperlink" Target="http://dl.acm.org/citation.cfm?id=2884836" TargetMode="External"/><Relationship Id="rId141" Type="http://schemas.openxmlformats.org/officeDocument/2006/relationships/hyperlink" Target="http://ieeexplore.ieee.org/xpl/login.jsp?tp=&amp;arnumber=7423026&amp;url=http%3A%2F%2Fieeexplore.ieee.org%2Fxpls%2Fabs_all.jsp%3Farnumber%3D7423026" TargetMode="External"/><Relationship Id="rId262" Type="http://schemas.openxmlformats.org/officeDocument/2006/relationships/hyperlink" Target="http://www.sciencedirect.com/science/article/pii/S0377221715010711" TargetMode="External"/><Relationship Id="rId383" Type="http://schemas.openxmlformats.org/officeDocument/2006/relationships/hyperlink" Target="http://dl.acm.org/citation.cfm?id=2891112" TargetMode="External"/><Relationship Id="rId140" Type="http://schemas.openxmlformats.org/officeDocument/2006/relationships/hyperlink" Target="http://ieeexplore.ieee.org/xpl/login.jsp?tp=&amp;arnumber=7041910&amp;url=http%3A%2F%2Fieeexplore.ieee.org%2Fxpls%2Fabs_all.jsp%3Farnumber%3D7041910" TargetMode="External"/><Relationship Id="rId261" Type="http://schemas.openxmlformats.org/officeDocument/2006/relationships/hyperlink" Target="http://www.sciencedirect.com/science/article/pii/S0010482513001303" TargetMode="External"/><Relationship Id="rId382" Type="http://schemas.openxmlformats.org/officeDocument/2006/relationships/hyperlink" Target="http://dl.acm.org/citation.cfm?id=2184477" TargetMode="External"/><Relationship Id="rId5" Type="http://schemas.openxmlformats.org/officeDocument/2006/relationships/hyperlink" Target="http://arxiv.org/abs/1407.5514" TargetMode="External"/><Relationship Id="rId147" Type="http://schemas.openxmlformats.org/officeDocument/2006/relationships/hyperlink" Target="http://ieeexplore.ieee.org/xpl/login.jsp?tp=&amp;arnumber=6983889&amp;url=http%3A%2F%2Fieeexplore.ieee.org%2Fxpls%2Fabs_all.jsp%3Farnumber%3D6983889" TargetMode="External"/><Relationship Id="rId268" Type="http://schemas.openxmlformats.org/officeDocument/2006/relationships/hyperlink" Target="http://www.sciencedirect.com/science/article/pii/S1877050916001381" TargetMode="External"/><Relationship Id="rId389" Type="http://schemas.openxmlformats.org/officeDocument/2006/relationships/hyperlink" Target="http://dl.acm.org/citation.cfm?id=2595197" TargetMode="External"/><Relationship Id="rId6" Type="http://schemas.openxmlformats.org/officeDocument/2006/relationships/hyperlink" Target="http://ieeexplore.ieee.org/stamp/stamp.jsp?arnumber=7355058" TargetMode="External"/><Relationship Id="rId146" Type="http://schemas.openxmlformats.org/officeDocument/2006/relationships/hyperlink" Target="http://ieeexplore.ieee.org/xpl/login.jsp?tp=&amp;arnumber=7426643&amp;url=http%3A%2F%2Fieeexplore.ieee.org%2Fxpls%2Fabs_all.jsp%3Farnumber%3D7426643" TargetMode="External"/><Relationship Id="rId267" Type="http://schemas.openxmlformats.org/officeDocument/2006/relationships/hyperlink" Target="http://dl.acm.org/citation.cfm?id=2486844" TargetMode="External"/><Relationship Id="rId388" Type="http://schemas.openxmlformats.org/officeDocument/2006/relationships/hyperlink" Target="http://dl.acm.org/citation.cfm?id=2789174" TargetMode="External"/><Relationship Id="rId7" Type="http://schemas.openxmlformats.org/officeDocument/2006/relationships/hyperlink" Target="https://www.ime.usp.br/~gerosa/papers/saner2016.pdf" TargetMode="External"/><Relationship Id="rId145" Type="http://schemas.openxmlformats.org/officeDocument/2006/relationships/hyperlink" Target="http://ieeexplore.ieee.org/xpl/login.jsp?tp=&amp;arnumber=7464554&amp;url=http%3A%2F%2Fieeexplore.ieee.org%2Fxpls%2Fabs_all.jsp%3Farnumber%3D7464554" TargetMode="External"/><Relationship Id="rId266" Type="http://schemas.openxmlformats.org/officeDocument/2006/relationships/hyperlink" Target="http://www.sciencedirect.com/science/article/pii/S1877050915017809" TargetMode="External"/><Relationship Id="rId387" Type="http://schemas.openxmlformats.org/officeDocument/2006/relationships/hyperlink" Target="http://dl.acm.org/citation.cfm?id=2804387" TargetMode="External"/><Relationship Id="rId8" Type="http://schemas.openxmlformats.org/officeDocument/2006/relationships/hyperlink" Target="http://ieeexplore.ieee.org/stamp/stamp.jsp?arnumber=7476669" TargetMode="External"/><Relationship Id="rId144" Type="http://schemas.openxmlformats.org/officeDocument/2006/relationships/hyperlink" Target="http://ieeexplore.ieee.org/xpl/login.jsp?tp=&amp;arnumber=6357175&amp;url=http%3A%2F%2Fieeexplore.ieee.org%2Fxpls%2Fabs_all.jsp%3Farnumber%3D6357175" TargetMode="External"/><Relationship Id="rId265" Type="http://schemas.openxmlformats.org/officeDocument/2006/relationships/hyperlink" Target="http://arxiv.org/abs/1504.07326" TargetMode="External"/><Relationship Id="rId386" Type="http://schemas.openxmlformats.org/officeDocument/2006/relationships/hyperlink" Target="http://dl.acm.org/citation.cfm?id=2591091" TargetMode="External"/><Relationship Id="rId260" Type="http://schemas.openxmlformats.org/officeDocument/2006/relationships/hyperlink" Target="http://www.sciencedirect.com/science/article/pii/S2213133716300191" TargetMode="External"/><Relationship Id="rId381" Type="http://schemas.openxmlformats.org/officeDocument/2006/relationships/hyperlink" Target="http://dl.acm.org/citation.cfm?id=2441989" TargetMode="External"/><Relationship Id="rId380" Type="http://schemas.openxmlformats.org/officeDocument/2006/relationships/hyperlink" Target="http://dl.acm.org/citation.cfm?id=2539011" TargetMode="External"/><Relationship Id="rId139" Type="http://schemas.openxmlformats.org/officeDocument/2006/relationships/hyperlink" Target="http://ieeexplore.ieee.org/xpl/login.jsp?tp=&amp;arnumber=7424222&amp;url=http%3A%2F%2Fieeexplore.ieee.org%2Fxpls%2Fabs_all.jsp%3Farnumber%3D7424222" TargetMode="External"/><Relationship Id="rId138" Type="http://schemas.openxmlformats.org/officeDocument/2006/relationships/hyperlink" Target="http://dl.acm.org/citation.cfm?id=2820588" TargetMode="External"/><Relationship Id="rId259" Type="http://schemas.openxmlformats.org/officeDocument/2006/relationships/hyperlink" Target="http://www.sciencedirect.com/science/article/pii/S0167739X15003143" TargetMode="External"/><Relationship Id="rId137" Type="http://schemas.openxmlformats.org/officeDocument/2006/relationships/hyperlink" Target="https://www.semanticscholar.org/paper/Find-your-library-experts-Teyton-Falleri/b293a5077145b8f447d17c6ddf3fab3336acbb3d/pdf" TargetMode="External"/><Relationship Id="rId258" Type="http://schemas.openxmlformats.org/officeDocument/2006/relationships/hyperlink" Target="http://www.sciencedirect.com/science/article/pii/S2213133715000748" TargetMode="External"/><Relationship Id="rId379" Type="http://schemas.openxmlformats.org/officeDocument/2006/relationships/hyperlink" Target="http://dl.acm.org/citation.cfm?id=2597122" TargetMode="External"/><Relationship Id="rId132" Type="http://schemas.openxmlformats.org/officeDocument/2006/relationships/hyperlink" Target="http://ieeexplore.ieee.org/xpl/login.jsp?tp=&amp;arnumber=7091328&amp;url=http%3A%2F%2Fieeexplore.ieee.org%2Fxpls%2Fabs_all.jsp%3Farnumber%3D7091328" TargetMode="External"/><Relationship Id="rId253" Type="http://schemas.openxmlformats.org/officeDocument/2006/relationships/hyperlink" Target="http://www.sciencedirect.com/science/article/pii/S0304397515008701" TargetMode="External"/><Relationship Id="rId374" Type="http://schemas.openxmlformats.org/officeDocument/2006/relationships/hyperlink" Target="http://dl.acm.org/citation.cfm?id=2797476" TargetMode="External"/><Relationship Id="rId495" Type="http://schemas.openxmlformats.org/officeDocument/2006/relationships/hyperlink" Target="http://esatjournals.net/ijret/2014v03/i04/IJRET20140304074.pdf" TargetMode="External"/><Relationship Id="rId131" Type="http://schemas.openxmlformats.org/officeDocument/2006/relationships/hyperlink" Target="http://ieeexplore.ieee.org/xpl/login.jsp?tp=&amp;arnumber=6529512&amp;url=http%3A%2F%2Fieeexplore.ieee.org%2Fxpls%2Fabs_all.jsp%3Farnumber%3D6529512" TargetMode="External"/><Relationship Id="rId252" Type="http://schemas.openxmlformats.org/officeDocument/2006/relationships/hyperlink" Target="http://www.sciencedirect.com/science/article/pii/S1568494616302393" TargetMode="External"/><Relationship Id="rId373" Type="http://schemas.openxmlformats.org/officeDocument/2006/relationships/hyperlink" Target="http://dl.acm.org/citation.cfm?id=2556833" TargetMode="External"/><Relationship Id="rId494" Type="http://schemas.openxmlformats.org/officeDocument/2006/relationships/hyperlink" Target="http://plg.uwaterloo.ca/~migod/846/2014-Winter/projects/JoseMadhur-CodeFollowing-report.pdf" TargetMode="External"/><Relationship Id="rId130" Type="http://schemas.openxmlformats.org/officeDocument/2006/relationships/hyperlink" Target="http://ieeexplore.ieee.org/xpl/login.jsp?tp=&amp;arnumber=7476634&amp;url=http%3A%2F%2Fieeexplore.ieee.org%2Fxpls%2Fabs_all.jsp%3Farnumber%3D7476634" TargetMode="External"/><Relationship Id="rId251" Type="http://schemas.openxmlformats.org/officeDocument/2006/relationships/hyperlink" Target="http://www.sciencedirect.com/science/article/pii/S0167947316301311" TargetMode="External"/><Relationship Id="rId372" Type="http://schemas.openxmlformats.org/officeDocument/2006/relationships/hyperlink" Target="http://dl.acm.org/citation.cfm?id=2903507" TargetMode="External"/><Relationship Id="rId493" Type="http://schemas.openxmlformats.org/officeDocument/2006/relationships/hyperlink" Target="http://dl.acm.org/citation.cfm?id=2664484" TargetMode="External"/><Relationship Id="rId250" Type="http://schemas.openxmlformats.org/officeDocument/2006/relationships/hyperlink" Target="http://www.sciencedirect.com/science/article/pii/S092523121630306X" TargetMode="External"/><Relationship Id="rId371" Type="http://schemas.openxmlformats.org/officeDocument/2006/relationships/hyperlink" Target="http://www.opensym.org/os2015/proceedings-files/c104-yan.pdf" TargetMode="External"/><Relationship Id="rId492" Type="http://schemas.openxmlformats.org/officeDocument/2006/relationships/hyperlink" Target="http://link.springer.com/chapter/10.1007/978-3-319-13835-0_32" TargetMode="External"/><Relationship Id="rId136" Type="http://schemas.openxmlformats.org/officeDocument/2006/relationships/hyperlink" Target="http://homepage.usask.ca/~masud.rahman/papers/masud-SCAM2014-6148a285.pdf" TargetMode="External"/><Relationship Id="rId257" Type="http://schemas.openxmlformats.org/officeDocument/2006/relationships/hyperlink" Target="http://www.sciencedirect.com/science/article/pii/S1476927115301407" TargetMode="External"/><Relationship Id="rId378" Type="http://schemas.openxmlformats.org/officeDocument/2006/relationships/hyperlink" Target="http://dl.acm.org/citation.cfm?id=2627515" TargetMode="External"/><Relationship Id="rId499" Type="http://schemas.openxmlformats.org/officeDocument/2006/relationships/hyperlink" Target="http://dl.acm.org/citation.cfm?id=2662032" TargetMode="External"/><Relationship Id="rId135" Type="http://schemas.openxmlformats.org/officeDocument/2006/relationships/hyperlink" Target="http://dl.acm.org/citation.cfm?id=2820563" TargetMode="External"/><Relationship Id="rId256" Type="http://schemas.openxmlformats.org/officeDocument/2006/relationships/hyperlink" Target="http://www.gousios.gr/pub/peer-reviews-mixed-methods.pdf" TargetMode="External"/><Relationship Id="rId377" Type="http://schemas.openxmlformats.org/officeDocument/2006/relationships/hyperlink" Target="http://dl.acm.org/citation.cfm?id=2858219" TargetMode="External"/><Relationship Id="rId498" Type="http://schemas.openxmlformats.org/officeDocument/2006/relationships/hyperlink" Target="http://dl.acm.org/citation.cfm?id=2745805" TargetMode="External"/><Relationship Id="rId134" Type="http://schemas.openxmlformats.org/officeDocument/2006/relationships/hyperlink" Target="http://dl.acm.org/citation.cfm?id=2820556" TargetMode="External"/><Relationship Id="rId255" Type="http://schemas.openxmlformats.org/officeDocument/2006/relationships/hyperlink" Target="http://www.sciencedirect.com/science/article/pii/S0168169915003427" TargetMode="External"/><Relationship Id="rId376" Type="http://schemas.openxmlformats.org/officeDocument/2006/relationships/hyperlink" Target="http://dl.acm.org/citation.cfm?id=2851052" TargetMode="External"/><Relationship Id="rId497" Type="http://schemas.openxmlformats.org/officeDocument/2006/relationships/hyperlink" Target="http://dl.acm.org/citation.cfm?id=2666611" TargetMode="External"/><Relationship Id="rId133" Type="http://schemas.openxmlformats.org/officeDocument/2006/relationships/hyperlink" Target="http://conferences.computer.org/icsme/2014/papers/6146a471.pdf" TargetMode="External"/><Relationship Id="rId254" Type="http://schemas.openxmlformats.org/officeDocument/2006/relationships/hyperlink" Target="http://www.sciencedirect.com/science/article/pii/S2213133716300014" TargetMode="External"/><Relationship Id="rId375" Type="http://schemas.openxmlformats.org/officeDocument/2006/relationships/hyperlink" Target="http://dl.acm.org/citation.cfm?id=2645717" TargetMode="External"/><Relationship Id="rId496" Type="http://schemas.openxmlformats.org/officeDocument/2006/relationships/hyperlink" Target="https://pure.fundp.ac.be/ws/files/7368337/BENEVOL_2013_Abstracts.pdf" TargetMode="External"/><Relationship Id="rId172" Type="http://schemas.openxmlformats.org/officeDocument/2006/relationships/hyperlink" Target="http://dl.acm.org/citation.cfm?id=2897660" TargetMode="External"/><Relationship Id="rId293" Type="http://schemas.openxmlformats.org/officeDocument/2006/relationships/hyperlink" Target="http://homepages.dcc.ufmg.br/~fernando/publications/papers/SBLP2010_rimsa.pdf" TargetMode="External"/><Relationship Id="rId171" Type="http://schemas.openxmlformats.org/officeDocument/2006/relationships/hyperlink" Target="http://dl.acm.org/citation.cfm?id=2897663" TargetMode="External"/><Relationship Id="rId292" Type="http://schemas.openxmlformats.org/officeDocument/2006/relationships/hyperlink" Target="http://www.sciencedirect.com/science/article/pii/S0010465515004579" TargetMode="External"/><Relationship Id="rId170" Type="http://schemas.openxmlformats.org/officeDocument/2006/relationships/hyperlink" Target="http://link.springer.com/chapter/10.1007/978-3-319-42089-9_44" TargetMode="External"/><Relationship Id="rId291" Type="http://schemas.openxmlformats.org/officeDocument/2006/relationships/hyperlink" Target="http://www.sciencedirect.com/science/article/pii/S0010465514001283" TargetMode="External"/><Relationship Id="rId290" Type="http://schemas.openxmlformats.org/officeDocument/2006/relationships/hyperlink" Target="http://www.sciencedirect.com/science/article/pii/S1093326315300565" TargetMode="External"/><Relationship Id="rId165" Type="http://schemas.openxmlformats.org/officeDocument/2006/relationships/hyperlink" Target="https://www.researchgate.net/publication/301760312_Investigating_and_Projecting_Population_Structures_in_Open_Source_Software_Projects_A_Case_Study_of_Projects_in_GitHub" TargetMode="External"/><Relationship Id="rId286" Type="http://schemas.openxmlformats.org/officeDocument/2006/relationships/hyperlink" Target="http://www.sciencedirect.com/science/article/pii/S0010465515004403" TargetMode="External"/><Relationship Id="rId164" Type="http://schemas.openxmlformats.org/officeDocument/2006/relationships/hyperlink" Target="http://ieeexplore.ieee.org/xpl/login.jsp?tp=&amp;arnumber=7372087&amp;url=http%3A%2F%2Fieeexplore.ieee.org%2Fxpls%2Fabs_all.jsp%3Farnumber%3D7372087" TargetMode="External"/><Relationship Id="rId285" Type="http://schemas.openxmlformats.org/officeDocument/2006/relationships/hyperlink" Target="http://www.sciencedirect.com/science/article/pii/S0306437915001672" TargetMode="External"/><Relationship Id="rId163" Type="http://schemas.openxmlformats.org/officeDocument/2006/relationships/hyperlink" Target="http://ieeexplore.ieee.org/xpl/login.jsp?tp=&amp;arnumber=6972100&amp;url=http%3A%2F%2Fieeexplore.ieee.org%2Fxpls%2Fabs_all.jsp%3Farnumber%3D6972100" TargetMode="External"/><Relationship Id="rId284" Type="http://schemas.openxmlformats.org/officeDocument/2006/relationships/hyperlink" Target="http://www.sciencedirect.com/science/article/pii/S2213133715000700" TargetMode="External"/><Relationship Id="rId162" Type="http://schemas.openxmlformats.org/officeDocument/2006/relationships/hyperlink" Target="http://ieeexplore.ieee.org/xpl/login.jsp?tp=&amp;arnumber=6376851&amp;url=http%3A%2F%2Fieeexplore.ieee.org%2Fxpls%2Fabs_all.jsp%3Farnumber%3D6376851" TargetMode="External"/><Relationship Id="rId283" Type="http://schemas.openxmlformats.org/officeDocument/2006/relationships/hyperlink" Target="http://www.sciencedirect.com/science/article/pii/S0031320315001181" TargetMode="External"/><Relationship Id="rId169" Type="http://schemas.openxmlformats.org/officeDocument/2006/relationships/hyperlink" Target="http://link.springer.com/chapter/10.1007/978-3-662-49390-8_9" TargetMode="External"/><Relationship Id="rId168" Type="http://schemas.openxmlformats.org/officeDocument/2006/relationships/hyperlink" Target="http://journals.plos.org/ploscompbiol/article?id=10.1371/journal.pcbi.1004668" TargetMode="External"/><Relationship Id="rId289" Type="http://schemas.openxmlformats.org/officeDocument/2006/relationships/hyperlink" Target="http://www.sciencedirect.com/science/article/pii/S1476927115301079" TargetMode="External"/><Relationship Id="rId167" Type="http://schemas.openxmlformats.org/officeDocument/2006/relationships/hyperlink" Target="http://www.sciencedirect.com/science/article/pii/S0950584916000069" TargetMode="External"/><Relationship Id="rId288" Type="http://schemas.openxmlformats.org/officeDocument/2006/relationships/hyperlink" Target="http://www.sciencedirect.com/science/article/pii/S0010465515003483" TargetMode="External"/><Relationship Id="rId166" Type="http://schemas.openxmlformats.org/officeDocument/2006/relationships/hyperlink" Target="http://www.sciencedirect.com/science/article/pii/S0950584915001688" TargetMode="External"/><Relationship Id="rId287" Type="http://schemas.openxmlformats.org/officeDocument/2006/relationships/hyperlink" Target="http://www.sciencedirect.com/science/article/pii/S1476927116300305" TargetMode="External"/><Relationship Id="rId161" Type="http://schemas.openxmlformats.org/officeDocument/2006/relationships/hyperlink" Target="http://ieeexplore.ieee.org/xpl/login.jsp?tp=&amp;arnumber=7284592&amp;url=http%3A%2F%2Fieeexplore.ieee.org%2Fxpls%2Fabs_all.jsp%3Farnumber%3D7284592" TargetMode="External"/><Relationship Id="rId282" Type="http://schemas.openxmlformats.org/officeDocument/2006/relationships/hyperlink" Target="http://www.sciencedirect.com/science/article/pii/S0898122115003193" TargetMode="External"/><Relationship Id="rId160" Type="http://schemas.openxmlformats.org/officeDocument/2006/relationships/hyperlink" Target="http://ieeexplore.ieee.org/xpl/login.jsp?tp=&amp;arnumber=7427649&amp;url=http%3A%2F%2Fieeexplore.ieee.org%2Fxpls%2Fabs_all.jsp%3Farnumber%3D7427649" TargetMode="External"/><Relationship Id="rId281" Type="http://schemas.openxmlformats.org/officeDocument/2006/relationships/hyperlink" Target="http://www.sciencedirect.com/science/article/pii/S0010465516301060" TargetMode="External"/><Relationship Id="rId280" Type="http://schemas.openxmlformats.org/officeDocument/2006/relationships/hyperlink" Target="http://www.sciencedirect.com/science/article/pii/S2213133714000687" TargetMode="External"/><Relationship Id="rId159" Type="http://schemas.openxmlformats.org/officeDocument/2006/relationships/hyperlink" Target="http://ieeexplore.ieee.org/xpl/login.jsp?tp=&amp;arnumber=7359735&amp;url=http%3A%2F%2Fieeexplore.ieee.org%2Fxpls%2Fabs_all.jsp%3Farnumber%3D7359735" TargetMode="External"/><Relationship Id="rId154" Type="http://schemas.openxmlformats.org/officeDocument/2006/relationships/hyperlink" Target="http://ieeexplore.ieee.org/xpl/login.jsp?tp=&amp;arnumber=7170552&amp;url=http%3A%2F%2Fieeexplore.ieee.org%2Fxpls%2Fabs_all.jsp%3Farnumber%3D7170552" TargetMode="External"/><Relationship Id="rId275" Type="http://schemas.openxmlformats.org/officeDocument/2006/relationships/hyperlink" Target="http://www.sciencedirect.com/science/article/pii/S0167404815001972" TargetMode="External"/><Relationship Id="rId396" Type="http://schemas.openxmlformats.org/officeDocument/2006/relationships/hyperlink" Target="http://dl.acm.org/citation.cfm?id=2568260" TargetMode="External"/><Relationship Id="rId153" Type="http://schemas.openxmlformats.org/officeDocument/2006/relationships/hyperlink" Target="http://ieeexplore.ieee.org/xpl/login.jsp?tp=&amp;arnumber=6649842&amp;url=http%3A%2F%2Fieeexplore.ieee.org%2Fxpls%2Fabs_all.jsp%3Farnumber%3D6649842" TargetMode="External"/><Relationship Id="rId274" Type="http://schemas.openxmlformats.org/officeDocument/2006/relationships/hyperlink" Target="http://www.sciencedirect.com/science/article/pii/S0010465516301254" TargetMode="External"/><Relationship Id="rId395" Type="http://schemas.openxmlformats.org/officeDocument/2006/relationships/hyperlink" Target="http://dl.acm.org/citation.cfm?id=2884790" TargetMode="External"/><Relationship Id="rId152" Type="http://schemas.openxmlformats.org/officeDocument/2006/relationships/hyperlink" Target="http://ieeexplore.ieee.org/xpl/login.jsp?tp=&amp;arnumber=7467520&amp;url=http%3A%2F%2Fieeexplore.ieee.org%2Fxpls%2Fabs_all.jsp%3Farnumber%3D7467520" TargetMode="External"/><Relationship Id="rId273" Type="http://schemas.openxmlformats.org/officeDocument/2006/relationships/hyperlink" Target="http://www.sciencedirect.com/science/article/pii/S074771711300117X" TargetMode="External"/><Relationship Id="rId394" Type="http://schemas.openxmlformats.org/officeDocument/2006/relationships/hyperlink" Target="http://dl.acm.org/citation.cfm?id=2903500" TargetMode="External"/><Relationship Id="rId151" Type="http://schemas.openxmlformats.org/officeDocument/2006/relationships/hyperlink" Target="http://ieeexplore.ieee.org/xpls/abs_all.jsp?arnumber=7111895" TargetMode="External"/><Relationship Id="rId272" Type="http://schemas.openxmlformats.org/officeDocument/2006/relationships/hyperlink" Target="http://www.sciencedirect.com/science/article/pii/S1877050914014434" TargetMode="External"/><Relationship Id="rId393" Type="http://schemas.openxmlformats.org/officeDocument/2006/relationships/hyperlink" Target="http://dl.acm.org/citation.cfm?id=2819325" TargetMode="External"/><Relationship Id="rId158" Type="http://schemas.openxmlformats.org/officeDocument/2006/relationships/hyperlink" Target="http://dl.acm.org/citation.cfm?id=2820562" TargetMode="External"/><Relationship Id="rId279" Type="http://schemas.openxmlformats.org/officeDocument/2006/relationships/hyperlink" Target="http://www.sciencedirect.com/science/article/pii/S0010465516300030" TargetMode="External"/><Relationship Id="rId157" Type="http://schemas.openxmlformats.org/officeDocument/2006/relationships/hyperlink" Target="http://goldberg.berkeley.edu/pubs/icra16-submitted-Dex-Net.pdf" TargetMode="External"/><Relationship Id="rId278" Type="http://schemas.openxmlformats.org/officeDocument/2006/relationships/hyperlink" Target="http://www.sciencedirect.com/science/article/pii/S1361372315300944" TargetMode="External"/><Relationship Id="rId399" Type="http://schemas.openxmlformats.org/officeDocument/2006/relationships/hyperlink" Target="http://dl.acm.org/citation.cfm?id=2820588" TargetMode="External"/><Relationship Id="rId156" Type="http://schemas.openxmlformats.org/officeDocument/2006/relationships/hyperlink" Target="http://ieeexplore.ieee.org/xpl/login.jsp?tp=&amp;arnumber=7081875&amp;url=http%3A%2F%2Fieeexplore.ieee.org%2Fxpls%2Fabs_all.jsp%3Farnumber%3D7081875" TargetMode="External"/><Relationship Id="rId277" Type="http://schemas.openxmlformats.org/officeDocument/2006/relationships/hyperlink" Target="http://www.sciencedirect.com/science/article/pii/S0169260713001788" TargetMode="External"/><Relationship Id="rId398" Type="http://schemas.openxmlformats.org/officeDocument/2006/relationships/hyperlink" Target="http://dl.acm.org/citation.cfm?id=2597132" TargetMode="External"/><Relationship Id="rId155" Type="http://schemas.openxmlformats.org/officeDocument/2006/relationships/hyperlink" Target="http://ieeexplore.ieee.org/xpl/login.jsp?tp=&amp;arnumber=7420687&amp;url=http%3A%2F%2Fieeexplore.ieee.org%2Fxpls%2Fabs_all.jsp%3Farnumber%3D7420687" TargetMode="External"/><Relationship Id="rId276" Type="http://schemas.openxmlformats.org/officeDocument/2006/relationships/hyperlink" Target="http://www.sciencedirect.com/science/article/pii/S1568494616300114" TargetMode="External"/><Relationship Id="rId397" Type="http://schemas.openxmlformats.org/officeDocument/2006/relationships/hyperlink" Target="http://dl.acm.org/citation.cfm?id=2568313" TargetMode="External"/><Relationship Id="rId40" Type="http://schemas.openxmlformats.org/officeDocument/2006/relationships/hyperlink" Target="http://ieeexplore.ieee.org/xpls/abs_all.jsp?arnumber=6401114" TargetMode="External"/><Relationship Id="rId42" Type="http://schemas.openxmlformats.org/officeDocument/2006/relationships/hyperlink" Target="http://ieeexplore.ieee.org/xpls/abs_all.jsp?arnumber=6754343" TargetMode="External"/><Relationship Id="rId41" Type="http://schemas.openxmlformats.org/officeDocument/2006/relationships/hyperlink" Target="http://ieeexplore.ieee.org/xpls/abs_all.jsp?arnumber=7365153" TargetMode="External"/><Relationship Id="rId44" Type="http://schemas.openxmlformats.org/officeDocument/2006/relationships/hyperlink" Target="http://ieeexplore.ieee.org/xpls/abs_all.jsp?arnumber=7022684" TargetMode="External"/><Relationship Id="rId43" Type="http://schemas.openxmlformats.org/officeDocument/2006/relationships/hyperlink" Target="http://ieeexplore.ieee.org/stamp/stamp.jsp?arnumber=6637537" TargetMode="External"/><Relationship Id="rId46" Type="http://schemas.openxmlformats.org/officeDocument/2006/relationships/hyperlink" Target="https://infoscience.epfl.ch/record/212799" TargetMode="External"/><Relationship Id="rId45" Type="http://schemas.openxmlformats.org/officeDocument/2006/relationships/hyperlink" Target="http://ieeexplore.ieee.org/xpls/abs_all.jsp?arnumber=7332512" TargetMode="External"/><Relationship Id="rId509" Type="http://schemas.openxmlformats.org/officeDocument/2006/relationships/hyperlink" Target="http://ieeexplore.ieee.org/xpl/login.jsp?tp=&amp;arnumber=7332512&amp;url=http%3A%2F%2Fieeexplore.ieee.org%2Fxpls%2Fabs_all.jsp%3Farnumber%3D7332512" TargetMode="External"/><Relationship Id="rId508" Type="http://schemas.openxmlformats.org/officeDocument/2006/relationships/hyperlink" Target="http://repository.tudelft.nl/assets/uuid:ff7acb60-a3e9-4f72-9c8d-bc65398d8d6a/thesis.pdf" TargetMode="External"/><Relationship Id="rId503" Type="http://schemas.openxmlformats.org/officeDocument/2006/relationships/hyperlink" Target="http://dl.acm.org/citation.cfm?id=2695884" TargetMode="External"/><Relationship Id="rId502" Type="http://schemas.openxmlformats.org/officeDocument/2006/relationships/hyperlink" Target="http://dl.acm.org/citation.cfm?id=2695856" TargetMode="External"/><Relationship Id="rId501" Type="http://schemas.openxmlformats.org/officeDocument/2006/relationships/hyperlink" Target="http://dl.acm.org/citation.cfm?id=2487127" TargetMode="External"/><Relationship Id="rId500" Type="http://schemas.openxmlformats.org/officeDocument/2006/relationships/hyperlink" Target="http://link.springer.com/article/10.1007/s13278-014-0157-9" TargetMode="External"/><Relationship Id="rId507" Type="http://schemas.openxmlformats.org/officeDocument/2006/relationships/hyperlink" Target="http://jisajournal.springeropen.com/articles/10.1186/s13174-015-0032-6" TargetMode="External"/><Relationship Id="rId506" Type="http://schemas.openxmlformats.org/officeDocument/2006/relationships/hyperlink" Target="http://link.springer.com/article/10.1007/s11390-015-1577-3" TargetMode="External"/><Relationship Id="rId505" Type="http://schemas.openxmlformats.org/officeDocument/2006/relationships/hyperlink" Target="http://dl.acm.org/citation.cfm?id=2593887" TargetMode="External"/><Relationship Id="rId504" Type="http://schemas.openxmlformats.org/officeDocument/2006/relationships/hyperlink" Target="http://ieeexplore.ieee.org/xpl/login.jsp?tp=&amp;arnumber=6614733&amp;url=http%3A%2F%2Fieeexplore.ieee.org%2Fxpls%2Fabs_all.jsp%3Farnumber%3D6614733" TargetMode="External"/><Relationship Id="rId48" Type="http://schemas.openxmlformats.org/officeDocument/2006/relationships/hyperlink" Target="http://ieeexplore.ieee.org/xpls/abs_all.jsp?arnumber=7260989" TargetMode="External"/><Relationship Id="rId47" Type="http://schemas.openxmlformats.org/officeDocument/2006/relationships/hyperlink" Target="http://www.win.tue.nl/~aserebre/SANER2016Tamara.pdf" TargetMode="External"/><Relationship Id="rId49" Type="http://schemas.openxmlformats.org/officeDocument/2006/relationships/hyperlink" Target="http://ieeexplore.ieee.org/xpls/abs_all.jsp?arnumber=6456216" TargetMode="External"/><Relationship Id="rId31" Type="http://schemas.openxmlformats.org/officeDocument/2006/relationships/hyperlink" Target="http://ieeexplore.ieee.org/xpls/abs_all.jsp?arnumber=6969484" TargetMode="External"/><Relationship Id="rId30" Type="http://schemas.openxmlformats.org/officeDocument/2006/relationships/hyperlink" Target="http://ieeexplore.ieee.org/xpl/articleDetails.jsp?reload=true&amp;arnumber=6840816" TargetMode="External"/><Relationship Id="rId33" Type="http://schemas.openxmlformats.org/officeDocument/2006/relationships/hyperlink" Target="http://ieeexplore.ieee.org/xpls/abs_all.jsp?arnumber=6511892" TargetMode="External"/><Relationship Id="rId32" Type="http://schemas.openxmlformats.org/officeDocument/2006/relationships/hyperlink" Target="http://ieeexplore.ieee.org/xpls/abs_all.jsp?arnumber=7231398" TargetMode="External"/><Relationship Id="rId35" Type="http://schemas.openxmlformats.org/officeDocument/2006/relationships/hyperlink" Target="http://dl.acm.org/citation.cfm?id=2818800" TargetMode="External"/><Relationship Id="rId34" Type="http://schemas.openxmlformats.org/officeDocument/2006/relationships/hyperlink" Target="http://ieeexplore.ieee.org/xpls/abs_all.jsp?arnumber=7091329&amp;tag=1" TargetMode="External"/><Relationship Id="rId37" Type="http://schemas.openxmlformats.org/officeDocument/2006/relationships/hyperlink" Target="http://dl.acm.org/citation.cfm?id=2635922" TargetMode="External"/><Relationship Id="rId36" Type="http://schemas.openxmlformats.org/officeDocument/2006/relationships/hyperlink" Target="http://ieeexplore.ieee.org/xpl/articleDetails.jsp?reload=true&amp;arnumber=7165956" TargetMode="External"/><Relationship Id="rId39" Type="http://schemas.openxmlformats.org/officeDocument/2006/relationships/hyperlink" Target="http://ieeexplore.ieee.org/xpls/abs_all.jsp?arnumber=6607694" TargetMode="External"/><Relationship Id="rId38" Type="http://schemas.openxmlformats.org/officeDocument/2006/relationships/hyperlink" Target="http://ieeexplore.ieee.org/xpls/abs_all.jsp?arnumber=6747223" TargetMode="External"/><Relationship Id="rId20" Type="http://schemas.openxmlformats.org/officeDocument/2006/relationships/hyperlink" Target="http://ieeexplore.ieee.org/xpls/abs_all.jsp?arnumber=7133990" TargetMode="External"/><Relationship Id="rId22" Type="http://schemas.openxmlformats.org/officeDocument/2006/relationships/hyperlink" Target="http://ieeexplore.ieee.org/xpls/abs_all.jsp?arnumber=6844717" TargetMode="External"/><Relationship Id="rId21" Type="http://schemas.openxmlformats.org/officeDocument/2006/relationships/hyperlink" Target="https://www.researchgate.net/publication/265258816_How_do_you_Feel_Today_Buggy" TargetMode="External"/><Relationship Id="rId24" Type="http://schemas.openxmlformats.org/officeDocument/2006/relationships/hyperlink" Target="http://dl.acm.org/citation.cfm?id=2486844" TargetMode="External"/><Relationship Id="rId23" Type="http://schemas.openxmlformats.org/officeDocument/2006/relationships/hyperlink" Target="http://www.cs.wm.edu/~denys/pubs/ICPC'15-LicensingStudyGitHub-CRC.pdf" TargetMode="External"/><Relationship Id="rId409" Type="http://schemas.openxmlformats.org/officeDocument/2006/relationships/hyperlink" Target="http://dl.acm.org/citation.cfm?id=2460716" TargetMode="External"/><Relationship Id="rId404" Type="http://schemas.openxmlformats.org/officeDocument/2006/relationships/hyperlink" Target="http://dl.acm.org/citation.cfm?id=2801066" TargetMode="External"/><Relationship Id="rId525" Type="http://schemas.openxmlformats.org/officeDocument/2006/relationships/hyperlink" Target="http://link.springer.com/chapter/10.1007/978-3-319-17837-0_4" TargetMode="External"/><Relationship Id="rId403" Type="http://schemas.openxmlformats.org/officeDocument/2006/relationships/hyperlink" Target="http://dl.acm.org/citation.cfm?id=2901748" TargetMode="External"/><Relationship Id="rId524" Type="http://schemas.openxmlformats.org/officeDocument/2006/relationships/hyperlink" Target="http://l3d.cs.colorado.edu/~yunwen/papers/ICSE03.pdf" TargetMode="External"/><Relationship Id="rId402" Type="http://schemas.openxmlformats.org/officeDocument/2006/relationships/hyperlink" Target="http://dl.acm.org/citation.cfm?id=2893422" TargetMode="External"/><Relationship Id="rId523" Type="http://schemas.openxmlformats.org/officeDocument/2006/relationships/hyperlink" Target="http://dl.acm.org/citation.cfm?id=1882370" TargetMode="External"/><Relationship Id="rId401" Type="http://schemas.openxmlformats.org/officeDocument/2006/relationships/hyperlink" Target="http://dl.acm.org/citation.cfm?id=2652565" TargetMode="External"/><Relationship Id="rId522" Type="http://schemas.openxmlformats.org/officeDocument/2006/relationships/hyperlink" Target="http://dl.acm.org/citation.cfm?id=2441791" TargetMode="External"/><Relationship Id="rId408" Type="http://schemas.openxmlformats.org/officeDocument/2006/relationships/hyperlink" Target="http://dl.acm.org/citation.cfm?id=2896827" TargetMode="External"/><Relationship Id="rId529" Type="http://schemas.openxmlformats.org/officeDocument/2006/relationships/hyperlink" Target="http://dl.acm.org/citation.cfm?id=2593732" TargetMode="External"/><Relationship Id="rId407" Type="http://schemas.openxmlformats.org/officeDocument/2006/relationships/hyperlink" Target="http://dl.acm.org/citation.cfm?id=2677287" TargetMode="External"/><Relationship Id="rId528" Type="http://schemas.openxmlformats.org/officeDocument/2006/relationships/hyperlink" Target="http://dl.acm.org/citation.cfm?id=1984706" TargetMode="External"/><Relationship Id="rId406" Type="http://schemas.openxmlformats.org/officeDocument/2006/relationships/hyperlink" Target="http://dl.acm.org/citation.cfm?id=2786827" TargetMode="External"/><Relationship Id="rId527" Type="http://schemas.openxmlformats.org/officeDocument/2006/relationships/hyperlink" Target="http://dl.acm.org/citation.cfm?id=2025139" TargetMode="External"/><Relationship Id="rId405" Type="http://schemas.openxmlformats.org/officeDocument/2006/relationships/hyperlink" Target="http://dl.acm.org/citation.cfm?id=2141583" TargetMode="External"/><Relationship Id="rId526" Type="http://schemas.openxmlformats.org/officeDocument/2006/relationships/hyperlink" Target="http://dl.acm.org/citation.cfm?id=2804388" TargetMode="External"/><Relationship Id="rId26" Type="http://schemas.openxmlformats.org/officeDocument/2006/relationships/hyperlink" Target="http://ieeexplore.ieee.org/stamp/stamp.jsp?arnumber=7384720" TargetMode="External"/><Relationship Id="rId25" Type="http://schemas.openxmlformats.org/officeDocument/2006/relationships/hyperlink" Target="http://ieeexplore.ieee.org/xpl/articleDetails.jsp?reload=true&amp;arnumber=7328331" TargetMode="External"/><Relationship Id="rId28" Type="http://schemas.openxmlformats.org/officeDocument/2006/relationships/hyperlink" Target="http://ieeexplore.ieee.org/xpls/abs_all.jsp?arnumber=7332503" TargetMode="External"/><Relationship Id="rId27" Type="http://schemas.openxmlformats.org/officeDocument/2006/relationships/hyperlink" Target="http://ieeexplore.ieee.org/xpl/articleDetails.jsp?reload=true&amp;arnumber=6614751" TargetMode="External"/><Relationship Id="rId400" Type="http://schemas.openxmlformats.org/officeDocument/2006/relationships/hyperlink" Target="http://dl.acm.org/citation.cfm?id=2660435" TargetMode="External"/><Relationship Id="rId521" Type="http://schemas.openxmlformats.org/officeDocument/2006/relationships/hyperlink" Target="http://dl.acm.org/citation.cfm?id=2641590" TargetMode="External"/><Relationship Id="rId29" Type="http://schemas.openxmlformats.org/officeDocument/2006/relationships/hyperlink" Target="http://ieeexplore.ieee.org/xpls/abs_all.jsp?arnumber=7359904" TargetMode="External"/><Relationship Id="rId520" Type="http://schemas.openxmlformats.org/officeDocument/2006/relationships/hyperlink" Target="http://dl.acm.org/citation.cfm?id=2819340" TargetMode="External"/><Relationship Id="rId11" Type="http://schemas.openxmlformats.org/officeDocument/2006/relationships/hyperlink" Target="http://dl.acm.org/citation.cfm?id=2492627" TargetMode="External"/><Relationship Id="rId10" Type="http://schemas.openxmlformats.org/officeDocument/2006/relationships/hyperlink" Target="http://ieeexplore.ieee.org/xpls/abs_all.jsp?arnumber=6785709" TargetMode="External"/><Relationship Id="rId13" Type="http://schemas.openxmlformats.org/officeDocument/2006/relationships/hyperlink" Target="http://ieeexplore.ieee.org/xpls/abs_all.jsp?arnumber=6754372" TargetMode="External"/><Relationship Id="rId12" Type="http://schemas.openxmlformats.org/officeDocument/2006/relationships/hyperlink" Target="http://dl.acm.org/citation.cfm?id=2818846" TargetMode="External"/><Relationship Id="rId519" Type="http://schemas.openxmlformats.org/officeDocument/2006/relationships/hyperlink" Target="http://dl.acm.org/citation.cfm?id=2786826" TargetMode="External"/><Relationship Id="rId514" Type="http://schemas.openxmlformats.org/officeDocument/2006/relationships/hyperlink" Target="http://webdocs.cs.ualberta.ca/~hindle1/2014/musiccoders/" TargetMode="External"/><Relationship Id="rId513" Type="http://schemas.openxmlformats.org/officeDocument/2006/relationships/hyperlink" Target="https://open.library.ubc.ca/collections/ubctheses/24/items/1.0166565" TargetMode="External"/><Relationship Id="rId512" Type="http://schemas.openxmlformats.org/officeDocument/2006/relationships/hyperlink" Target="http://veprints.unica.it/1106/" TargetMode="External"/><Relationship Id="rId511" Type="http://schemas.openxmlformats.org/officeDocument/2006/relationships/hyperlink" Target="http://plg.uwaterloo.ca/~migod/846/2014-Winter/projects/Aaron-OSSsecurityVulnerabilities-report.pdf" TargetMode="External"/><Relationship Id="rId518" Type="http://schemas.openxmlformats.org/officeDocument/2006/relationships/hyperlink" Target="https://www.semanticscholar.org/paper/Assessing-the-Use-of-Eclipse-MDE-Technologies-in-Kolovos-Matragkas/7f9a735742caca4110c1e856b871e52106f2d3bd/pdf" TargetMode="External"/><Relationship Id="rId517" Type="http://schemas.openxmlformats.org/officeDocument/2006/relationships/hyperlink" Target="http://dl.acm.org/citation.cfm?id=2804382" TargetMode="External"/><Relationship Id="rId516" Type="http://schemas.openxmlformats.org/officeDocument/2006/relationships/hyperlink" Target="http://dl.acm.org/citation.cfm?id=2666604" TargetMode="External"/><Relationship Id="rId515" Type="http://schemas.openxmlformats.org/officeDocument/2006/relationships/hyperlink" Target="http://citeseerx.ist.psu.edu/viewdoc/download?doi=10.1.1.701.9465&amp;rep=rep1&amp;type=pdf" TargetMode="External"/><Relationship Id="rId15" Type="http://schemas.openxmlformats.org/officeDocument/2006/relationships/hyperlink" Target="http://ieeexplore.ieee.org/stamp/stamp.jsp?arnumber=7180096" TargetMode="External"/><Relationship Id="rId14" Type="http://schemas.openxmlformats.org/officeDocument/2006/relationships/hyperlink" Target="http://ieeexplore.ieee.org/xpls/abs_all.jsp?arnumber=7439331&amp;tag=1" TargetMode="External"/><Relationship Id="rId17" Type="http://schemas.openxmlformats.org/officeDocument/2006/relationships/hyperlink" Target="https://www.researchgate.net/publication/271467664_An_open_source_tool_to_estimate_mass_and_efficiency_of_wind_turbine_power_take-off_systems" TargetMode="External"/><Relationship Id="rId16" Type="http://schemas.openxmlformats.org/officeDocument/2006/relationships/hyperlink" Target="http://ieeexplore.ieee.org/stamp/stamp.jsp?arnumber=6820349" TargetMode="External"/><Relationship Id="rId19" Type="http://schemas.openxmlformats.org/officeDocument/2006/relationships/hyperlink" Target="http://ieeexplore.ieee.org/xpl/articleDetails.jsp?reload=true&amp;arnumber=7059515" TargetMode="External"/><Relationship Id="rId510" Type="http://schemas.openxmlformats.org/officeDocument/2006/relationships/hyperlink" Target="http://dare.uva.nl/cgi/arno/show.cgi?fid=546651" TargetMode="External"/><Relationship Id="rId18" Type="http://schemas.openxmlformats.org/officeDocument/2006/relationships/hyperlink" Target="http://ieeexplore.ieee.org/xpls/abs_all.jsp?arnumber=6759007" TargetMode="External"/><Relationship Id="rId84" Type="http://schemas.openxmlformats.org/officeDocument/2006/relationships/hyperlink" Target="http://ieeexplore.ieee.org/xpls/abs_all.jsp?arnumber=6958396" TargetMode="External"/><Relationship Id="rId83" Type="http://schemas.openxmlformats.org/officeDocument/2006/relationships/hyperlink" Target="http://ieeexplore.ieee.org/xpl/articleDetails.jsp?reload=true&amp;arnumber=7180067" TargetMode="External"/><Relationship Id="rId86" Type="http://schemas.openxmlformats.org/officeDocument/2006/relationships/hyperlink" Target="http://ieeexplore.ieee.org/xpls/abs_all.jsp?arnumber=6698918" TargetMode="External"/><Relationship Id="rId85" Type="http://schemas.openxmlformats.org/officeDocument/2006/relationships/hyperlink" Target="http://ieeexplore.ieee.org/xpl/articleDetails.jsp?tp=&amp;arnumber=7053796" TargetMode="External"/><Relationship Id="rId88" Type="http://schemas.openxmlformats.org/officeDocument/2006/relationships/hyperlink" Target="http://ieeexplore.ieee.org/xpls/abs_all.jsp?arnumber=7476684" TargetMode="External"/><Relationship Id="rId87" Type="http://schemas.openxmlformats.org/officeDocument/2006/relationships/hyperlink" Target="http://ieeexplore.ieee.org/xpls/abs_all.jsp?arnumber=7107198" TargetMode="External"/><Relationship Id="rId89" Type="http://schemas.openxmlformats.org/officeDocument/2006/relationships/hyperlink" Target="http://dl.acm.org/citation.cfm?id=2820599" TargetMode="External"/><Relationship Id="rId80" Type="http://schemas.openxmlformats.org/officeDocument/2006/relationships/hyperlink" Target="http://ieeexplore.ieee.org/stamp/stamp.jsp?arnumber=7330171" TargetMode="External"/><Relationship Id="rId82" Type="http://schemas.openxmlformats.org/officeDocument/2006/relationships/hyperlink" Target="https://git-scm.com/" TargetMode="External"/><Relationship Id="rId81" Type="http://schemas.openxmlformats.org/officeDocument/2006/relationships/hyperlink" Target="http://cs.brown.edu/~spr/codebubbles/rebusdemoicsmfinal.pdf" TargetMode="External"/><Relationship Id="rId73" Type="http://schemas.openxmlformats.org/officeDocument/2006/relationships/hyperlink" Target="https://www.researchgate.net/publication/299535858_How_Do_Github_Users_Feel_with_Pull-Based_Development" TargetMode="External"/><Relationship Id="rId72" Type="http://schemas.openxmlformats.org/officeDocument/2006/relationships/hyperlink" Target="http://thomas-zimmermann.com/publications/files/kochhar-icst-2015.pdf" TargetMode="External"/><Relationship Id="rId75" Type="http://schemas.openxmlformats.org/officeDocument/2006/relationships/hyperlink" Target="http://ieeexplore.ieee.org/xpls/abs_all.jsp?arnumber=7467283" TargetMode="External"/><Relationship Id="rId74" Type="http://schemas.openxmlformats.org/officeDocument/2006/relationships/hyperlink" Target="http://www.ncbi.nlm.nih.gov/pubmed/26841406" TargetMode="External"/><Relationship Id="rId77" Type="http://schemas.openxmlformats.org/officeDocument/2006/relationships/hyperlink" Target="http://ieeexplore.ieee.org/xpls/abs_all.jsp?arnumber=7217084" TargetMode="External"/><Relationship Id="rId76" Type="http://schemas.openxmlformats.org/officeDocument/2006/relationships/hyperlink" Target="http://ieeexplore.ieee.org/stamp/stamp.jsp?arnumber=7467291" TargetMode="External"/><Relationship Id="rId79" Type="http://schemas.openxmlformats.org/officeDocument/2006/relationships/hyperlink" Target="http://ieeexplore.ieee.org/xpls/abs_all.jsp?arnumber=6903710" TargetMode="External"/><Relationship Id="rId78" Type="http://schemas.openxmlformats.org/officeDocument/2006/relationships/hyperlink" Target="http://ieeexplore.ieee.org/xpls/abs_all.jsp?arnumber=7371992" TargetMode="External"/><Relationship Id="rId71" Type="http://schemas.openxmlformats.org/officeDocument/2006/relationships/hyperlink" Target="http://ieeexplore.ieee.org/xpls/abs_all.jsp?arnumber=7486327" TargetMode="External"/><Relationship Id="rId70" Type="http://schemas.openxmlformats.org/officeDocument/2006/relationships/hyperlink" Target="http://ieeexplore.ieee.org/xpls/abs_all.jsp?arnumber=6822323" TargetMode="External"/><Relationship Id="rId62" Type="http://schemas.openxmlformats.org/officeDocument/2006/relationships/hyperlink" Target="http://dl.acm.org/citation.cfm?id=2820536" TargetMode="External"/><Relationship Id="rId61" Type="http://schemas.openxmlformats.org/officeDocument/2006/relationships/hyperlink" Target="http://delivery.acm.org/10.1145/2490000/2487131/p229-wagstrom.pdf?ip=213.73.39.43&amp;id=2487131&amp;acc=ACTIVE%20SERVICE&amp;key=DD1EC5BCF38B3699%2E47238C40243806F7%2E4D4702B0C3E38B35%2E4D4702B0C3E38B35&amp;CFID=813132304&amp;CFTOKEN=98112896&amp;__acm__=1468597926_0801bbce2dda19875e13dc47c3822918" TargetMode="External"/><Relationship Id="rId64" Type="http://schemas.openxmlformats.org/officeDocument/2006/relationships/hyperlink" Target="http://ieeexplore.ieee.org/xpls/abs_all.jsp?arnumber=7081872" TargetMode="External"/><Relationship Id="rId63" Type="http://schemas.openxmlformats.org/officeDocument/2006/relationships/hyperlink" Target="http://ieeexplore.ieee.org/xpls/abs_all.jsp?arnumber=7465763" TargetMode="External"/><Relationship Id="rId66" Type="http://schemas.openxmlformats.org/officeDocument/2006/relationships/hyperlink" Target="http://dl.acm.org/citation.cfm?id=2820601" TargetMode="External"/><Relationship Id="rId65" Type="http://schemas.openxmlformats.org/officeDocument/2006/relationships/hyperlink" Target="http://ieeexplore.ieee.org/xpls/abs_all.jsp?arnumber=7081860" TargetMode="External"/><Relationship Id="rId68" Type="http://schemas.openxmlformats.org/officeDocument/2006/relationships/hyperlink" Target="http://dl.acm.org/citation.cfm?id=2820539" TargetMode="External"/><Relationship Id="rId67" Type="http://schemas.openxmlformats.org/officeDocument/2006/relationships/hyperlink" Target="https://www.computer.org/csdl/proceedings/ewsdn/2015/0180/00/0180a103.pdf" TargetMode="External"/><Relationship Id="rId60" Type="http://schemas.openxmlformats.org/officeDocument/2006/relationships/hyperlink" Target="http://ieeexplore.ieee.org/xpls/abs_all.jsp?arnumber=7012040" TargetMode="External"/><Relationship Id="rId69" Type="http://schemas.openxmlformats.org/officeDocument/2006/relationships/hyperlink" Target="http://ieeexplore.ieee.org/stamp/stamp.jsp?arnumber=7356005" TargetMode="External"/><Relationship Id="rId51" Type="http://schemas.openxmlformats.org/officeDocument/2006/relationships/hyperlink" Target="https://www.computer.org/csdl/mags/so/2015/06/mso2015060004.pdf" TargetMode="External"/><Relationship Id="rId50" Type="http://schemas.openxmlformats.org/officeDocument/2006/relationships/hyperlink" Target="http://alexeyza.com/pdf/tse2016.pdf" TargetMode="External"/><Relationship Id="rId53" Type="http://schemas.openxmlformats.org/officeDocument/2006/relationships/hyperlink" Target="http://ieeexplore.ieee.org/xpl/articleDetails.jsp?reload=true&amp;arnumber=7314657" TargetMode="External"/><Relationship Id="rId52" Type="http://schemas.openxmlformats.org/officeDocument/2006/relationships/hyperlink" Target="http://ieeexplore.ieee.org/xpls/abs_all.jsp?arnumber=6008868" TargetMode="External"/><Relationship Id="rId55" Type="http://schemas.openxmlformats.org/officeDocument/2006/relationships/hyperlink" Target="http://ieeexplore.ieee.org/xpls/abs_all.jsp?arnumber=7388096" TargetMode="External"/><Relationship Id="rId54" Type="http://schemas.openxmlformats.org/officeDocument/2006/relationships/hyperlink" Target="http://ieeexplore.ieee.org/xpl/articleDetails.jsp?reload=true&amp;arnumber=7388026" TargetMode="External"/><Relationship Id="rId57" Type="http://schemas.openxmlformats.org/officeDocument/2006/relationships/hyperlink" Target="http://ieeexplore.ieee.org/stamp/stamp.jsp?arnumber=7070450" TargetMode="External"/><Relationship Id="rId56" Type="http://schemas.openxmlformats.org/officeDocument/2006/relationships/hyperlink" Target="http://ieeexplore.ieee.org/xpls/abs_all.jsp?arnumber=6577695" TargetMode="External"/><Relationship Id="rId59" Type="http://schemas.openxmlformats.org/officeDocument/2006/relationships/hyperlink" Target="http://ieeexplore.ieee.org/xpls/abs_all.jsp?arnumber=7172456" TargetMode="External"/><Relationship Id="rId58" Type="http://schemas.openxmlformats.org/officeDocument/2006/relationships/hyperlink" Target="https://arxiv.org/abs/1604.06766" TargetMode="External"/><Relationship Id="rId107" Type="http://schemas.openxmlformats.org/officeDocument/2006/relationships/hyperlink" Target="http://ieeexplore.ieee.org/xpls/abs_all.jsp?arnumber=7503736" TargetMode="External"/><Relationship Id="rId228" Type="http://schemas.openxmlformats.org/officeDocument/2006/relationships/hyperlink" Target="http://dl.acm.org/citation.cfm?id=2666572" TargetMode="External"/><Relationship Id="rId349" Type="http://schemas.openxmlformats.org/officeDocument/2006/relationships/hyperlink" Target="http://dl.acm.org/citation.cfm?id=2643002" TargetMode="External"/><Relationship Id="rId106" Type="http://schemas.openxmlformats.org/officeDocument/2006/relationships/hyperlink" Target="http://ieeexplore.ieee.org/xpls/abs_all.jsp?arnumber=6693332" TargetMode="External"/><Relationship Id="rId227" Type="http://schemas.openxmlformats.org/officeDocument/2006/relationships/hyperlink" Target="http://dl.acm.org/citation.cfm?id=2666571" TargetMode="External"/><Relationship Id="rId348" Type="http://schemas.openxmlformats.org/officeDocument/2006/relationships/hyperlink" Target="http://journal.ub.tu-berlin.de/eceasst/article/view/799" TargetMode="External"/><Relationship Id="rId469" Type="http://schemas.openxmlformats.org/officeDocument/2006/relationships/hyperlink" Target="http://ryosuzuki.org/working-paper.pdf" TargetMode="External"/><Relationship Id="rId105" Type="http://schemas.openxmlformats.org/officeDocument/2006/relationships/hyperlink" Target="http://ieeexplore.ieee.org/xpl/articleDetails.jsp?reload=true&amp;arnumber=7194607" TargetMode="External"/><Relationship Id="rId226" Type="http://schemas.openxmlformats.org/officeDocument/2006/relationships/hyperlink" Target="http://dl.acm.org/citation.cfm?id=2666570" TargetMode="External"/><Relationship Id="rId347" Type="http://schemas.openxmlformats.org/officeDocument/2006/relationships/hyperlink" Target="http://journals.plos.org/plosone/article?id=10.1371/journal.pone.0093379" TargetMode="External"/><Relationship Id="rId468" Type="http://schemas.openxmlformats.org/officeDocument/2006/relationships/hyperlink" Target="http://www.orgdna.net/wp-content/uploads/2015/07/Evolution-of-Digital-Artifacts.pdf" TargetMode="External"/><Relationship Id="rId104" Type="http://schemas.openxmlformats.org/officeDocument/2006/relationships/hyperlink" Target="http://ieeexplore.ieee.org/xpls/abs_all.jsp?arnumber=7471284" TargetMode="External"/><Relationship Id="rId225" Type="http://schemas.openxmlformats.org/officeDocument/2006/relationships/hyperlink" Target="https://www.researchgate.net/profile/Joicymara_Xavier/publication/264673002_Understanding_the_popularity_of_reporters_and_assignees_in_the_Github/links/53eadf0a0cf2dc24b3ce7691.pdf" TargetMode="External"/><Relationship Id="rId346" Type="http://schemas.openxmlformats.org/officeDocument/2006/relationships/hyperlink" Target="http://dl.acm.org/citation.cfm?id=2878568" TargetMode="External"/><Relationship Id="rId467" Type="http://schemas.openxmlformats.org/officeDocument/2006/relationships/hyperlink" Target="http://www.sersc.org/journals/IJSEIA/vol10_no6_2016/4.pdf" TargetMode="External"/><Relationship Id="rId109" Type="http://schemas.openxmlformats.org/officeDocument/2006/relationships/hyperlink" Target="http://ieeexplore.ieee.org/stamp/stamp.jsp?arnumber=6651038" TargetMode="External"/><Relationship Id="rId108" Type="http://schemas.openxmlformats.org/officeDocument/2006/relationships/hyperlink" Target="http://ieeexplore.ieee.org/xpl/articleDetails.jsp?reload=true&amp;arnumber=7372311" TargetMode="External"/><Relationship Id="rId229" Type="http://schemas.openxmlformats.org/officeDocument/2006/relationships/hyperlink" Target="http://dl.acm.org/citation.cfm?id=2635882" TargetMode="External"/><Relationship Id="rId220" Type="http://schemas.openxmlformats.org/officeDocument/2006/relationships/hyperlink" Target="http://dl.acm.org/citation.cfm?id=2597118" TargetMode="External"/><Relationship Id="rId341" Type="http://schemas.openxmlformats.org/officeDocument/2006/relationships/hyperlink" Target="http://dl.acm.org/citation.cfm?id=2815427" TargetMode="External"/><Relationship Id="rId462" Type="http://schemas.openxmlformats.org/officeDocument/2006/relationships/hyperlink" Target="https://www.fernandovandervlist.nl/papers/a-technicity-of-collaboration.html" TargetMode="External"/><Relationship Id="rId340" Type="http://schemas.openxmlformats.org/officeDocument/2006/relationships/hyperlink" Target="http://dl.acm.org/citation.cfm?id=2462950" TargetMode="External"/><Relationship Id="rId461" Type="http://schemas.openxmlformats.org/officeDocument/2006/relationships/hyperlink" Target="https://pure.tue.nl/ws/files/3855750/621462246551620.pdf" TargetMode="External"/><Relationship Id="rId460" Type="http://schemas.openxmlformats.org/officeDocument/2006/relationships/hyperlink" Target="http://plg.uwaterloo.ca/~migod/846/current/projects/04-MuscedereTuras-report.pdf" TargetMode="External"/><Relationship Id="rId103" Type="http://schemas.openxmlformats.org/officeDocument/2006/relationships/hyperlink" Target="http://ieeexplore.ieee.org/xpls/abs_all.jsp?arnumber=7081848" TargetMode="External"/><Relationship Id="rId224" Type="http://schemas.openxmlformats.org/officeDocument/2006/relationships/hyperlink" Target="http://link.springer.com/chapter/10.1007/978-3-662-45550-0_46" TargetMode="External"/><Relationship Id="rId345" Type="http://schemas.openxmlformats.org/officeDocument/2006/relationships/hyperlink" Target="http://citeseerx.ist.psu.edu/viewdoc/download?doi=10.1.1.468.5933&amp;rep=rep1&amp;type=pdf" TargetMode="External"/><Relationship Id="rId466" Type="http://schemas.openxmlformats.org/officeDocument/2006/relationships/hyperlink" Target="https://www.researchgate.net/profile/Yang_Zhang178/publication/303407940_Exploring_the_Use_of_-mention_to_Assist_Software_Development_in_GitHub/links/5742584208aea45ee84a3951.pdf" TargetMode="External"/><Relationship Id="rId102" Type="http://schemas.openxmlformats.org/officeDocument/2006/relationships/hyperlink" Target="http://ieeexplore.ieee.org/xpls/abs_all.jsp?arnumber=6664179" TargetMode="External"/><Relationship Id="rId223" Type="http://schemas.openxmlformats.org/officeDocument/2006/relationships/hyperlink" Target="http://dl.acm.org/citation.cfm?id=2597126" TargetMode="External"/><Relationship Id="rId344" Type="http://schemas.openxmlformats.org/officeDocument/2006/relationships/hyperlink" Target="http://scg.unibe.ch/archive/projects/Lesk11a.pdf" TargetMode="External"/><Relationship Id="rId465" Type="http://schemas.openxmlformats.org/officeDocument/2006/relationships/hyperlink" Target="http://adsabs.harvard.edu/abs/2014AGUFMIN23B3733S" TargetMode="External"/><Relationship Id="rId101" Type="http://schemas.openxmlformats.org/officeDocument/2006/relationships/hyperlink" Target="http://berkeleyautomation.github.io/tsc-dl/" TargetMode="External"/><Relationship Id="rId222" Type="http://schemas.openxmlformats.org/officeDocument/2006/relationships/hyperlink" Target="http://dl.acm.org/citation.cfm?id=2597121" TargetMode="External"/><Relationship Id="rId343" Type="http://schemas.openxmlformats.org/officeDocument/2006/relationships/hyperlink" Target="http://arxiv.org/abs/1511.02300" TargetMode="External"/><Relationship Id="rId464" Type="http://schemas.openxmlformats.org/officeDocument/2006/relationships/hyperlink" Target="http://link.springer.com/article/10.1007/s10664-016-9436-6" TargetMode="External"/><Relationship Id="rId100" Type="http://schemas.openxmlformats.org/officeDocument/2006/relationships/hyperlink" Target="http://ieeexplore.ieee.org/xpl/articleDetails.jsp?reload=true&amp;arnumber=7081817" TargetMode="External"/><Relationship Id="rId221" Type="http://schemas.openxmlformats.org/officeDocument/2006/relationships/hyperlink" Target="http://dl.acm.org/citation.cfm?id=2597120" TargetMode="External"/><Relationship Id="rId342" Type="http://schemas.openxmlformats.org/officeDocument/2006/relationships/hyperlink" Target="http://link.springer.com/article/10.1007/s11434-014-0698-3" TargetMode="External"/><Relationship Id="rId463" Type="http://schemas.openxmlformats.org/officeDocument/2006/relationships/hyperlink" Target="http://link.springer.com/article/10.1007/s10664-016-9438-4" TargetMode="External"/><Relationship Id="rId217" Type="http://schemas.openxmlformats.org/officeDocument/2006/relationships/hyperlink" Target="https://www.researchgate.net/profile/Senthil_Kumar_Kumarasamy_Mani/publication/266657799_A_study_of_external_community_contribution_to_open-source_projects_on_GitHub/links/548fb94e0cf225bf66a80433.pdf" TargetMode="External"/><Relationship Id="rId338" Type="http://schemas.openxmlformats.org/officeDocument/2006/relationships/hyperlink" Target="http://dl.acm.org/citation.cfm?id=2635901" TargetMode="External"/><Relationship Id="rId459" Type="http://schemas.openxmlformats.org/officeDocument/2006/relationships/hyperlink" Target="http://www.tandfonline.com/doi/abs/10.1080/01639269.2015.1062586" TargetMode="External"/><Relationship Id="rId216" Type="http://schemas.openxmlformats.org/officeDocument/2006/relationships/hyperlink" Target="http://dl.acm.org/citation.cfm?id=2597074" TargetMode="External"/><Relationship Id="rId337" Type="http://schemas.openxmlformats.org/officeDocument/2006/relationships/hyperlink" Target="http://link.springer.com/chapter/10.1007/978-3-319-26054-9_16" TargetMode="External"/><Relationship Id="rId458" Type="http://schemas.openxmlformats.org/officeDocument/2006/relationships/hyperlink" Target="http://link.springer.com/chapter/10.1007/978-1-4842-1718-4_4" TargetMode="External"/><Relationship Id="rId215" Type="http://schemas.openxmlformats.org/officeDocument/2006/relationships/hyperlink" Target="http://arxiv.org/abs/1407.2535" TargetMode="External"/><Relationship Id="rId336" Type="http://schemas.openxmlformats.org/officeDocument/2006/relationships/hyperlink" Target="http://dl.acm.org/citation.cfm?id=2568305" TargetMode="External"/><Relationship Id="rId457" Type="http://schemas.openxmlformats.org/officeDocument/2006/relationships/hyperlink" Target="http://www.phillipadsmith.com/2015/11/getting-down-with-github.html" TargetMode="External"/><Relationship Id="rId214" Type="http://schemas.openxmlformats.org/officeDocument/2006/relationships/hyperlink" Target="http://dl.acm.org/citation.cfm?id=2568315" TargetMode="External"/><Relationship Id="rId335" Type="http://schemas.openxmlformats.org/officeDocument/2006/relationships/hyperlink" Target="http://dl.acm.org/citation.cfm?id=2464498" TargetMode="External"/><Relationship Id="rId456" Type="http://schemas.openxmlformats.org/officeDocument/2006/relationships/hyperlink" Target="http://www.lbd.dcc.ufmg.br/colecoes/vem/2015/005.pdf" TargetMode="External"/><Relationship Id="rId219" Type="http://schemas.openxmlformats.org/officeDocument/2006/relationships/hyperlink" Target="https://www.researchgate.net/profile/Alexander_Serebrenik/publication/264799488_Security_and_emotion_Sentiment_analysis_of_security_discussions_on_GitHub/links/53f1cc770cf23733e815e2f7.pdf" TargetMode="External"/><Relationship Id="rId218" Type="http://schemas.openxmlformats.org/officeDocument/2006/relationships/hyperlink" Target="http://dl.acm.org/citation.cfm?id=2597114" TargetMode="External"/><Relationship Id="rId339" Type="http://schemas.openxmlformats.org/officeDocument/2006/relationships/hyperlink" Target="http://citeseerx.ist.psu.edu/viewdoc/download?doi=10.1.1.416.557&amp;rep=rep1&amp;type=pdf" TargetMode="External"/><Relationship Id="rId330" Type="http://schemas.openxmlformats.org/officeDocument/2006/relationships/hyperlink" Target="http://ctan.mackichan.com/macros/latex/contrib/reledmac/reledpar.pdf" TargetMode="External"/><Relationship Id="rId451" Type="http://schemas.openxmlformats.org/officeDocument/2006/relationships/hyperlink" Target="http://dspace.library.uu.nl/handle/1874/298574" TargetMode="External"/><Relationship Id="rId450" Type="http://schemas.openxmlformats.org/officeDocument/2006/relationships/hyperlink" Target="http://ceur-ws.org/Vol-1489/paper-05.pdf" TargetMode="External"/><Relationship Id="rId213" Type="http://schemas.openxmlformats.org/officeDocument/2006/relationships/hyperlink" Target="http://dl.acm.org/citation.cfm?id=2593875" TargetMode="External"/><Relationship Id="rId334" Type="http://schemas.openxmlformats.org/officeDocument/2006/relationships/hyperlink" Target="http://s3.amazonaws.com/academia.edu.documents/46131851/Common_Logic_Importation_Resolution_Impl20160601-15896-6znvdw.pdf?AWSAccessKeyId=AKIAJ56TQJRTWSMTNPEA&amp;Expires=1468833141&amp;Signature=8V2nRahaoGHvK6TxKJRrARHpafs%3D&amp;response-content-disposition=inline%3B%20filename%3DCommon_Logic_Importation_Resolution_Impl.pdf" TargetMode="External"/><Relationship Id="rId455" Type="http://schemas.openxmlformats.org/officeDocument/2006/relationships/hyperlink" Target="https://www.semanticscholar.org/paper/Applying-Link-Prediction-for-Repository-Lee-Chen/68ff7df3a23c44d0aeab3511eb1cc5d2c5596846/pdf" TargetMode="External"/><Relationship Id="rId212" Type="http://schemas.openxmlformats.org/officeDocument/2006/relationships/hyperlink" Target="http://dl.acm.org/citation.cfm?id=2652564" TargetMode="External"/><Relationship Id="rId333" Type="http://schemas.openxmlformats.org/officeDocument/2006/relationships/hyperlink" Target="http://www.degruyter.com/view/j/pralin.2012.98.issue--1/v10108-012-0010-0/v10108-012-0010-0.xml" TargetMode="External"/><Relationship Id="rId454" Type="http://schemas.openxmlformats.org/officeDocument/2006/relationships/hyperlink" Target="http://digitalcommons.brockport.edu/gradconf/2014/Schedule/133/" TargetMode="External"/><Relationship Id="rId211" Type="http://schemas.openxmlformats.org/officeDocument/2006/relationships/hyperlink" Target="http://dl.acm.org/citation.cfm?id=2601269" TargetMode="External"/><Relationship Id="rId332" Type="http://schemas.openxmlformats.org/officeDocument/2006/relationships/hyperlink" Target="http://leif.singer.is/papers/Pham2014.pdf" TargetMode="External"/><Relationship Id="rId453" Type="http://schemas.openxmlformats.org/officeDocument/2006/relationships/hyperlink" Target="http://dspace.library.uvic.ca:8080/handle/1828/6624" TargetMode="External"/><Relationship Id="rId210" Type="http://schemas.openxmlformats.org/officeDocument/2006/relationships/hyperlink" Target="http://dl.acm.org/citation.cfm?id=2556483" TargetMode="External"/><Relationship Id="rId331" Type="http://schemas.openxmlformats.org/officeDocument/2006/relationships/hyperlink" Target="http://link.springer.com/chapter/10.1007/978-3-642-30287-9_27" TargetMode="External"/><Relationship Id="rId452" Type="http://schemas.openxmlformats.org/officeDocument/2006/relationships/hyperlink" Target="https://paginas.fe.up.pt/~prodei/dsie15/web/papers/proceedings.pdf" TargetMode="External"/><Relationship Id="rId370" Type="http://schemas.openxmlformats.org/officeDocument/2006/relationships/hyperlink" Target="http://dl.acm.org/citation.cfm?id=2886499" TargetMode="External"/><Relationship Id="rId491" Type="http://schemas.openxmlformats.org/officeDocument/2006/relationships/hyperlink" Target="http://dl.acm.org/citation.cfm?id=2675215" TargetMode="External"/><Relationship Id="rId490" Type="http://schemas.openxmlformats.org/officeDocument/2006/relationships/hyperlink" Target="http://ieeexplore.ieee.org/xpl/login.jsp?tp=&amp;arnumber=6336698&amp;url=http%3A%2F%2Fieeexplore.ieee.org%2Fxpls%2Fabs_all.jsp%3Farnumber%3D6336698" TargetMode="External"/><Relationship Id="rId129" Type="http://schemas.openxmlformats.org/officeDocument/2006/relationships/hyperlink" Target="http://dl.acm.org/citation.cfm?id=2487153" TargetMode="External"/><Relationship Id="rId128" Type="http://schemas.openxmlformats.org/officeDocument/2006/relationships/hyperlink" Target="http://ieeexplore.ieee.org/xpl/login.jsp?tp=&amp;arnumber=6564733&amp;url=http%3A%2F%2Fieeexplore.ieee.org%2Fxpls%2Fabs_all.jsp%3Farnumber%3D6564733" TargetMode="External"/><Relationship Id="rId249" Type="http://schemas.openxmlformats.org/officeDocument/2006/relationships/hyperlink" Target="http://www.sciencedirect.com/science/article/pii/S0955799716300315" TargetMode="External"/><Relationship Id="rId127" Type="http://schemas.openxmlformats.org/officeDocument/2006/relationships/hyperlink" Target="http://ieeexplore.ieee.org/xpl/login.jsp?tp=&amp;arnumber=6224294&amp;url=http%3A%2F%2Fieeexplore.ieee.org%2Fxpls%2Fabs_all.jsp%3Farnumber%3D6224294" TargetMode="External"/><Relationship Id="rId248" Type="http://schemas.openxmlformats.org/officeDocument/2006/relationships/hyperlink" Target="http://www.sciencedirect.com/science/article/pii/S0167947315002923" TargetMode="External"/><Relationship Id="rId369" Type="http://schemas.openxmlformats.org/officeDocument/2006/relationships/hyperlink" Target="http://dl.acm.org/citation.cfm?id=2735554" TargetMode="External"/><Relationship Id="rId126" Type="http://schemas.openxmlformats.org/officeDocument/2006/relationships/hyperlink" Target="http://ieeexplore.ieee.org/xpl/login.jsp?tp=&amp;arnumber=6498480&amp;url=http%3A%2F%2Fieeexplore.ieee.org%2Fxpls%2Fabs_all.jsp%3Farnumber%3D6498480" TargetMode="External"/><Relationship Id="rId247" Type="http://schemas.openxmlformats.org/officeDocument/2006/relationships/hyperlink" Target="http://www.sciencedirect.com/science/article/pii/S1045926X15000762" TargetMode="External"/><Relationship Id="rId368" Type="http://schemas.openxmlformats.org/officeDocument/2006/relationships/hyperlink" Target="http://dl.acm.org/citation.cfm?id=2804366" TargetMode="External"/><Relationship Id="rId489" Type="http://schemas.openxmlformats.org/officeDocument/2006/relationships/hyperlink" Target="https://tampub.uta.fi/bitstream/handle/10024/95846/GRADU-1404127019.pdf?sequence=1" TargetMode="External"/><Relationship Id="rId121" Type="http://schemas.openxmlformats.org/officeDocument/2006/relationships/hyperlink" Target="http://ieeexplore.ieee.org/xpl/login.jsp?tp=&amp;arnumber=6696481&amp;url=http%3A%2F%2Fieeexplore.ieee.org%2Fxpls%2Fabs_all.jsp%3Farnumber%3D6696481" TargetMode="External"/><Relationship Id="rId242" Type="http://schemas.openxmlformats.org/officeDocument/2006/relationships/hyperlink" Target="http://www.sciencedirect.com/science/article/pii/S1364815216302870" TargetMode="External"/><Relationship Id="rId363" Type="http://schemas.openxmlformats.org/officeDocument/2006/relationships/hyperlink" Target="http://dl.acm.org/citation.cfm?id=2855678" TargetMode="External"/><Relationship Id="rId484" Type="http://schemas.openxmlformats.org/officeDocument/2006/relationships/hyperlink" Target="https://www.researchgate.net/profile/Juan_Merelo_Guervos/publication/281972638_Github_users_in_Spain_a_report_on_geographical_distribution_of_open_source_production/links/560036cd08aeba1d9f84bcc9.pdf" TargetMode="External"/><Relationship Id="rId120" Type="http://schemas.openxmlformats.org/officeDocument/2006/relationships/hyperlink" Target="http://ieeexplore.ieee.org/xpl/login.jsp?tp=&amp;arnumber=6676910&amp;url=http%3A%2F%2Fieeexplore.ieee.org%2Fxpls%2Fabs_all.jsp%3Farnumber%3D6676910" TargetMode="External"/><Relationship Id="rId241" Type="http://schemas.openxmlformats.org/officeDocument/2006/relationships/hyperlink" Target="http://www.sciencedirect.com/science/article/pii/S2352711016300085" TargetMode="External"/><Relationship Id="rId362" Type="http://schemas.openxmlformats.org/officeDocument/2006/relationships/hyperlink" Target="http://dl.acm.org/citation.cfm?id=2458551" TargetMode="External"/><Relationship Id="rId483" Type="http://schemas.openxmlformats.org/officeDocument/2006/relationships/hyperlink" Target="http://arxiv.org/abs/1607.02459" TargetMode="External"/><Relationship Id="rId240" Type="http://schemas.openxmlformats.org/officeDocument/2006/relationships/hyperlink" Target="http://www.sciencedirect.com/science/article/pii/S0898122116302681" TargetMode="External"/><Relationship Id="rId361" Type="http://schemas.openxmlformats.org/officeDocument/2006/relationships/hyperlink" Target="http://dl.acm.org/citation.cfm?id=2491081" TargetMode="External"/><Relationship Id="rId482" Type="http://schemas.openxmlformats.org/officeDocument/2006/relationships/hyperlink" Target="https://books.google.fr/books?hl=it&amp;lr=&amp;id=XNuJCwAAQBAJ&amp;oi=fnd&amp;pg=PR2&amp;dq=Building+Tools+with+GitHub:+Customize+Your+Workflow&amp;ots=dcdvEr00TG&amp;sig=R0dOlriks3MDFMdFDC0-ARQ6rkk&amp;redir_esc=y" TargetMode="External"/><Relationship Id="rId360" Type="http://schemas.openxmlformats.org/officeDocument/2006/relationships/hyperlink" Target="http://dl.acm.org/citation.cfm?id=2884826" TargetMode="External"/><Relationship Id="rId481" Type="http://schemas.openxmlformats.org/officeDocument/2006/relationships/hyperlink" Target="https://www.researchgate.net/profile/Mohamed_Amine_Ferrag/publication/276025159_Proceedings_of_the_2nd_International_Conference_on_Networking_and_Advanced_Systems/links/554dff3008ae93634ec6ff0d.pdf" TargetMode="External"/><Relationship Id="rId125" Type="http://schemas.openxmlformats.org/officeDocument/2006/relationships/hyperlink" Target="http://ieeexplore.ieee.org/xpl/login.jsp?tp=&amp;arnumber=7372014&amp;url=http%3A%2F%2Fieeexplore.ieee.org%2Fxpls%2Fabs_all.jsp%3Farnumber%3D7372014" TargetMode="External"/><Relationship Id="rId246" Type="http://schemas.openxmlformats.org/officeDocument/2006/relationships/hyperlink" Target="http://arxiv.org/abs/1601.06429" TargetMode="External"/><Relationship Id="rId367" Type="http://schemas.openxmlformats.org/officeDocument/2006/relationships/hyperlink" Target="http://dl.acm.org/citation.cfm?id=2616576" TargetMode="External"/><Relationship Id="rId488" Type="http://schemas.openxmlformats.org/officeDocument/2006/relationships/hyperlink" Target="http://digitalcommons.unl.edu/csetechreports/149/" TargetMode="External"/><Relationship Id="rId124" Type="http://schemas.openxmlformats.org/officeDocument/2006/relationships/hyperlink" Target="http://ieeexplore.ieee.org/xpl/login.jsp?tp=&amp;arnumber=7169443&amp;url=http%3A%2F%2Fieeexplore.ieee.org%2Fxpls%2Fabs_all.jsp%3Farnumber%3D7169443" TargetMode="External"/><Relationship Id="rId245" Type="http://schemas.openxmlformats.org/officeDocument/2006/relationships/hyperlink" Target="http://www.sciencedirect.com/science/article/pii/S1877050916308778" TargetMode="External"/><Relationship Id="rId366" Type="http://schemas.openxmlformats.org/officeDocument/2006/relationships/hyperlink" Target="http://dl.acm.org/citation.cfm?id=2903493" TargetMode="External"/><Relationship Id="rId487" Type="http://schemas.openxmlformats.org/officeDocument/2006/relationships/hyperlink" Target="http://dspace.library.uvic.ca:8080/bitstream/handle/1828/7222/Wang_Weiliang_MSc_2016.pdf?sequence=1&amp;isAllowed=y" TargetMode="External"/><Relationship Id="rId123" Type="http://schemas.openxmlformats.org/officeDocument/2006/relationships/hyperlink" Target="http://ieeexplore.ieee.org/xpl/login.jsp?tp=&amp;arnumber=6671288&amp;url=http%3A%2F%2Fieeexplore.ieee.org%2Fxpls%2Fabs_all.jsp%3Farnumber%3D6671288" TargetMode="External"/><Relationship Id="rId244" Type="http://schemas.openxmlformats.org/officeDocument/2006/relationships/hyperlink" Target="http://www.sciencedirect.com/science/article/pii/S0950705115004761" TargetMode="External"/><Relationship Id="rId365" Type="http://schemas.openxmlformats.org/officeDocument/2006/relationships/hyperlink" Target="http://dl.acm.org/citation.cfm?id=2903499" TargetMode="External"/><Relationship Id="rId486" Type="http://schemas.openxmlformats.org/officeDocument/2006/relationships/hyperlink" Target="https://ideas.repec.org/p/war/wpaper/2016-15.html" TargetMode="External"/><Relationship Id="rId122" Type="http://schemas.openxmlformats.org/officeDocument/2006/relationships/hyperlink" Target="http://ieeexplore.ieee.org/xpl/login.jsp?tp=&amp;arnumber=7332478&amp;url=http%3A%2F%2Fieeexplore.ieee.org%2Fxpls%2Fabs_all.jsp%3Farnumber%3D7332478" TargetMode="External"/><Relationship Id="rId243" Type="http://schemas.openxmlformats.org/officeDocument/2006/relationships/hyperlink" Target="http://www.sciencedirect.com/science/article/pii/S0097849316300528" TargetMode="External"/><Relationship Id="rId364" Type="http://schemas.openxmlformats.org/officeDocument/2006/relationships/hyperlink" Target="http://dl.acm.org/citation.cfm?id=2597135" TargetMode="External"/><Relationship Id="rId485" Type="http://schemas.openxmlformats.org/officeDocument/2006/relationships/hyperlink" Target="https://brage.bibsys.no/xmlui//handle/11250/253492" TargetMode="External"/><Relationship Id="rId95" Type="http://schemas.openxmlformats.org/officeDocument/2006/relationships/hyperlink" Target="http://ieeexplore.ieee.org/xpls/abs_all.jsp?arnumber=7385840" TargetMode="External"/><Relationship Id="rId94" Type="http://schemas.openxmlformats.org/officeDocument/2006/relationships/hyperlink" Target="https://www.computer.org/csdl/mags/an/2015/03/man2015030078.pdf" TargetMode="External"/><Relationship Id="rId97" Type="http://schemas.openxmlformats.org/officeDocument/2006/relationships/hyperlink" Target="http://ieeexplore.ieee.org/xpls/abs_all.jsp?arnumber=7332461" TargetMode="External"/><Relationship Id="rId96" Type="http://schemas.openxmlformats.org/officeDocument/2006/relationships/hyperlink" Target="http://ieeexplore.ieee.org/xpls/abs_all.jsp?arnumber=7350989" TargetMode="External"/><Relationship Id="rId99" Type="http://schemas.openxmlformats.org/officeDocument/2006/relationships/hyperlink" Target="https://www.computer.org/csdl/proceedings/vissoft/2013/9999/00/06650532.pdf" TargetMode="External"/><Relationship Id="rId480" Type="http://schemas.openxmlformats.org/officeDocument/2006/relationships/hyperlink" Target="http://cds.cern.ch/record/2113619" TargetMode="External"/><Relationship Id="rId98" Type="http://schemas.openxmlformats.org/officeDocument/2006/relationships/hyperlink" Target="http://goldberg.berkeley.edu/pubs/icra2016-final-suturing.pdf" TargetMode="External"/><Relationship Id="rId91" Type="http://schemas.openxmlformats.org/officeDocument/2006/relationships/hyperlink" Target="https://www.researchgate.net/publication/292982370_Non-parametric_Change_Point_Detection_for_Spike_Trains" TargetMode="External"/><Relationship Id="rId90" Type="http://schemas.openxmlformats.org/officeDocument/2006/relationships/hyperlink" Target="http://dl.acm.org/citation.cfm?id=2486964" TargetMode="External"/><Relationship Id="rId93" Type="http://schemas.openxmlformats.org/officeDocument/2006/relationships/hyperlink" Target="http://ieeexplore.ieee.org/xpls/abs_all.jsp?arnumber=7180102" TargetMode="External"/><Relationship Id="rId92" Type="http://schemas.openxmlformats.org/officeDocument/2006/relationships/hyperlink" Target="http://ieeexplore.ieee.org/xpls/abs_all.jsp?arnumber=7342358" TargetMode="External"/><Relationship Id="rId118" Type="http://schemas.openxmlformats.org/officeDocument/2006/relationships/hyperlink" Target="http://dl.acm.org/citation.cfm?id=2820544" TargetMode="External"/><Relationship Id="rId239" Type="http://schemas.openxmlformats.org/officeDocument/2006/relationships/hyperlink" Target="http://www.sciencedirect.com/science/article/pii/S0950584913002322" TargetMode="External"/><Relationship Id="rId117" Type="http://schemas.openxmlformats.org/officeDocument/2006/relationships/hyperlink" Target="http://ieeexplore.ieee.org/xpl/login.jsp?tp=&amp;arnumber=7332486&amp;url=http%3A%2F%2Fieeexplore.ieee.org%2Fxpls%2Fabs_all.jsp%3Farnumber%3D7332486" TargetMode="External"/><Relationship Id="rId238" Type="http://schemas.openxmlformats.org/officeDocument/2006/relationships/hyperlink" Target="http://dl.acm.org/citation.cfm?id=2145396" TargetMode="External"/><Relationship Id="rId359" Type="http://schemas.openxmlformats.org/officeDocument/2006/relationships/hyperlink" Target="http://dl.acm.org/citation.cfm?id=2903497" TargetMode="External"/><Relationship Id="rId116" Type="http://schemas.openxmlformats.org/officeDocument/2006/relationships/hyperlink" Target="http://ieeexplore.ieee.org/xpl/login.jsp?tp=&amp;arnumber=6606557&amp;url=http%3A%2F%2Fieeexplore.ieee.org%2Fxpls%2Fabs_all.jsp%3Farnumber%3D6606557" TargetMode="External"/><Relationship Id="rId237" Type="http://schemas.openxmlformats.org/officeDocument/2006/relationships/hyperlink" Target="https://books.google.fr/books?hl=it&amp;lr=&amp;id=aM7-Oxo3qdQC&amp;oi=fnd&amp;pg=PR3&amp;dq=Version+Control+with+Git+-+Powerful+Tools+and+Techniques+for+Collaborative+Software+Development:+Covers+GitHub,+Second+Edition&amp;ots=38zkPCSlug&amp;sig=TPCiWMTfL7_kq3KW6zjiq55IuzQ&amp;redir_esc=y" TargetMode="External"/><Relationship Id="rId358" Type="http://schemas.openxmlformats.org/officeDocument/2006/relationships/hyperlink" Target="http://dl.acm.org/citation.cfm?id=2876035" TargetMode="External"/><Relationship Id="rId479" Type="http://schemas.openxmlformats.org/officeDocument/2006/relationships/hyperlink" Target="https://avandeursen.com/2013/12/30/teaching-software-architecture-with-github/" TargetMode="External"/><Relationship Id="rId115" Type="http://schemas.openxmlformats.org/officeDocument/2006/relationships/hyperlink" Target="http://dl.acm.org/citation.cfm?id=2487132" TargetMode="External"/><Relationship Id="rId236" Type="http://schemas.openxmlformats.org/officeDocument/2006/relationships/hyperlink" Target="http://dl.acm.org/citation.cfm?id=2441792" TargetMode="External"/><Relationship Id="rId357" Type="http://schemas.openxmlformats.org/officeDocument/2006/relationships/hyperlink" Target="http://dl.acm.org/citation.cfm?id=2813604" TargetMode="External"/><Relationship Id="rId478" Type="http://schemas.openxmlformats.org/officeDocument/2006/relationships/hyperlink" Target="http://ieeexplore.ieee.org/xpl/login.jsp?tp=&amp;arnumber=7342358&amp;url=http%3A%2F%2Fieeexplore.ieee.org%2Fxpls%2Fabs_all.jsp%3Farnumber%3D7342358" TargetMode="External"/><Relationship Id="rId119" Type="http://schemas.openxmlformats.org/officeDocument/2006/relationships/hyperlink" Target="https://www.semanticscholar.org/paper/Reviewer-Recommender-of-Pull-Requests-in-GitHub-Yu-Wang/dccb1f1d6490b44f930b2413d1a1aa1b471478df/pdf" TargetMode="External"/><Relationship Id="rId110" Type="http://schemas.openxmlformats.org/officeDocument/2006/relationships/hyperlink" Target="http://ieeexplore.ieee.org/xpl/login.jsp?tp=&amp;arnumber=7203066&amp;url=http%3A%2F%2Fieeexplore.ieee.org%2Fxpls%2Fabs_all.jsp%3Farnumber%3D7203066" TargetMode="External"/><Relationship Id="rId231" Type="http://schemas.openxmlformats.org/officeDocument/2006/relationships/hyperlink" Target="http://link.springer.com/chapter/10.1007/978-3-319-13734-6_6" TargetMode="External"/><Relationship Id="rId352" Type="http://schemas.openxmlformats.org/officeDocument/2006/relationships/hyperlink" Target="http://dl.acm.org/citation.cfm?id=2663368" TargetMode="External"/><Relationship Id="rId473" Type="http://schemas.openxmlformats.org/officeDocument/2006/relationships/hyperlink" Target="http://www.cs.cmu.edu/~arunkaly/resources/Arunkaly_Final_Paper_DNA.pdf" TargetMode="External"/><Relationship Id="rId230" Type="http://schemas.openxmlformats.org/officeDocument/2006/relationships/hyperlink" Target="https://www.semanticscholar.org/paper/A-large-scale-study-of-programming-languages-and-Ray-Posnett/30b30b2da89e9a287f235cdec1d346de163e50c5/pdf" TargetMode="External"/><Relationship Id="rId351" Type="http://schemas.openxmlformats.org/officeDocument/2006/relationships/hyperlink" Target="https://www.researchgate.net/profile/Roland_Geyer3/publication/224181720_A_case_for_smartphone_reuse_to_augment_elementary_school_education/links/00b7d5231f7038fdbc000000.pdf" TargetMode="External"/><Relationship Id="rId472" Type="http://schemas.openxmlformats.org/officeDocument/2006/relationships/hyperlink" Target="http://search.proquest.com/openview/c46bdea34bd5ea2d9621bac971d3859f/1?pq-origsite=gscholar" TargetMode="External"/><Relationship Id="rId350" Type="http://schemas.openxmlformats.org/officeDocument/2006/relationships/hyperlink" Target="http://gigascience.biomedcentral.com/articles/10.1186/2047-217X-2-3" TargetMode="External"/><Relationship Id="rId471" Type="http://schemas.openxmlformats.org/officeDocument/2006/relationships/hyperlink" Target="http://www.cs.cmu.edu/~arunkaly/resources/Arunkaly_Final_Paper_ML.pdf" TargetMode="External"/><Relationship Id="rId470" Type="http://schemas.openxmlformats.org/officeDocument/2006/relationships/hyperlink" Target="http://adsabs.harvard.edu/abs/2016EGUGA..18.6574S" TargetMode="External"/><Relationship Id="rId114" Type="http://schemas.openxmlformats.org/officeDocument/2006/relationships/hyperlink" Target="http://dl.acm.org/citation.cfm?id=2486869" TargetMode="External"/><Relationship Id="rId235" Type="http://schemas.openxmlformats.org/officeDocument/2006/relationships/hyperlink" Target="http://dl.acm.org/citation.cfm?id=2468382" TargetMode="External"/><Relationship Id="rId356" Type="http://schemas.openxmlformats.org/officeDocument/2006/relationships/hyperlink" Target="http://arxiv.org/abs/1503.07431" TargetMode="External"/><Relationship Id="rId477" Type="http://schemas.openxmlformats.org/officeDocument/2006/relationships/hyperlink" Target="https://hal.inria.fr/hal-01257474/" TargetMode="External"/><Relationship Id="rId113" Type="http://schemas.openxmlformats.org/officeDocument/2006/relationships/hyperlink" Target="http://dl.acm.org/citation.cfm?id=2820554" TargetMode="External"/><Relationship Id="rId234" Type="http://schemas.openxmlformats.org/officeDocument/2006/relationships/hyperlink" Target="http://dl.acm.org/citation.cfm?id=2468381" TargetMode="External"/><Relationship Id="rId355" Type="http://schemas.openxmlformats.org/officeDocument/2006/relationships/hyperlink" Target="http://dl.acm.org/citation.cfm?id=2522735" TargetMode="External"/><Relationship Id="rId476" Type="http://schemas.openxmlformats.org/officeDocument/2006/relationships/hyperlink" Target="http://repository.tudelft.nl/islandora/object/uuid:7179edff-b498-4c3b-900d-62d61f8665df?collection=education" TargetMode="External"/><Relationship Id="rId112" Type="http://schemas.openxmlformats.org/officeDocument/2006/relationships/hyperlink" Target="http://ieeexplore.ieee.org/xpl/login.jsp?tp=&amp;arnumber=6601829&amp;url=http%3A%2F%2Fieeexplore.ieee.org%2Fxpls%2Fabs_all.jsp%3Farnumber%3D6601829" TargetMode="External"/><Relationship Id="rId233" Type="http://schemas.openxmlformats.org/officeDocument/2006/relationships/hyperlink" Target="http://arxiv.org/abs/1409.4253" TargetMode="External"/><Relationship Id="rId354" Type="http://schemas.openxmlformats.org/officeDocument/2006/relationships/hyperlink" Target="http://dl.acm.org/citation.cfm?id=2648627" TargetMode="External"/><Relationship Id="rId475" Type="http://schemas.openxmlformats.org/officeDocument/2006/relationships/hyperlink" Target="http://www.biorxiv.org/content/early/2016/05/13/048744.abstract" TargetMode="External"/><Relationship Id="rId111" Type="http://schemas.openxmlformats.org/officeDocument/2006/relationships/hyperlink" Target="http://ieeexplore.ieee.org/xpl/login.jsp?tp=&amp;arnumber=7007913&amp;url=http%3A%2F%2Fieeexplore.ieee.org%2Fxpls%2Fabs_all.jsp%3Farnumber%3D7007913" TargetMode="External"/><Relationship Id="rId232" Type="http://schemas.openxmlformats.org/officeDocument/2006/relationships/hyperlink" Target="http://dl.acm.org/citation.cfm?id=2578843" TargetMode="External"/><Relationship Id="rId353" Type="http://schemas.openxmlformats.org/officeDocument/2006/relationships/hyperlink" Target="http://dl.acm.org/citation.cfm?id=2661678" TargetMode="External"/><Relationship Id="rId474" Type="http://schemas.openxmlformats.org/officeDocument/2006/relationships/hyperlink" Target="http://docs.lib.purdue.edu/lib_fsdocs/133/" TargetMode="External"/><Relationship Id="rId305" Type="http://schemas.openxmlformats.org/officeDocument/2006/relationships/hyperlink" Target="http://www.sciencedirect.com/science/article/pii/S1532046415001550" TargetMode="External"/><Relationship Id="rId426" Type="http://schemas.openxmlformats.org/officeDocument/2006/relationships/hyperlink" Target="http://kevinp.me/github-process-research/github-process-research.pdf" TargetMode="External"/><Relationship Id="rId547" Type="http://schemas.openxmlformats.org/officeDocument/2006/relationships/hyperlink" Target="http://plg.uwaterloo.ca/~migod/846/current/projects/01-ChenPortugal-report.pdf" TargetMode="External"/><Relationship Id="rId304" Type="http://schemas.openxmlformats.org/officeDocument/2006/relationships/hyperlink" Target="http://www.sciencedirect.com/science/article/pii/S0098300413003166" TargetMode="External"/><Relationship Id="rId425" Type="http://schemas.openxmlformats.org/officeDocument/2006/relationships/hyperlink" Target="http://dl.acm.org/citation.cfm?id=2339690" TargetMode="External"/><Relationship Id="rId546" Type="http://schemas.openxmlformats.org/officeDocument/2006/relationships/hyperlink" Target="https://repository.iiitd.edu.in/jspui/handle/123456789/388" TargetMode="External"/><Relationship Id="rId303" Type="http://schemas.openxmlformats.org/officeDocument/2006/relationships/hyperlink" Target="http://www.sciencedirect.com/science/article/pii/S1532046414000185" TargetMode="External"/><Relationship Id="rId424" Type="http://schemas.openxmlformats.org/officeDocument/2006/relationships/hyperlink" Target="http://dl.acm.org/citation.cfm?id=2903501" TargetMode="External"/><Relationship Id="rId545" Type="http://schemas.openxmlformats.org/officeDocument/2006/relationships/hyperlink" Target="http://papers.ssrn.com/sol3/papers.cfm?abstract_id=2785874" TargetMode="External"/><Relationship Id="rId302" Type="http://schemas.openxmlformats.org/officeDocument/2006/relationships/hyperlink" Target="http://www.sciencedirect.com/science/article/pii/S136184151500064X" TargetMode="External"/><Relationship Id="rId423" Type="http://schemas.openxmlformats.org/officeDocument/2006/relationships/hyperlink" Target="http://dl.acm.org/citation.cfm?id=2884874" TargetMode="External"/><Relationship Id="rId544" Type="http://schemas.openxmlformats.org/officeDocument/2006/relationships/hyperlink" Target="http://papers.ssrn.com/sol3/papers.cfm?abstract_id=2678478" TargetMode="External"/><Relationship Id="rId309" Type="http://schemas.openxmlformats.org/officeDocument/2006/relationships/hyperlink" Target="http://www.sciencedirect.com/science/article/pii/S0010465515002957" TargetMode="External"/><Relationship Id="rId308" Type="http://schemas.openxmlformats.org/officeDocument/2006/relationships/hyperlink" Target="http://www.sciencedirect.com/science/article/pii/S0010465513003834" TargetMode="External"/><Relationship Id="rId429" Type="http://schemas.openxmlformats.org/officeDocument/2006/relationships/hyperlink" Target="http://dl.acm.org/citation.cfm?id=1882435" TargetMode="External"/><Relationship Id="rId307" Type="http://schemas.openxmlformats.org/officeDocument/2006/relationships/hyperlink" Target="http://www.sciencedirect.com/science/article/pii/S0010465515003690" TargetMode="External"/><Relationship Id="rId428" Type="http://schemas.openxmlformats.org/officeDocument/2006/relationships/hyperlink" Target="http://arxiv.org/abs/1408.6012" TargetMode="External"/><Relationship Id="rId549" Type="http://schemas.openxmlformats.org/officeDocument/2006/relationships/hyperlink" Target="https://kola.opus.hbz-nrw.de/files/1328/LOSSD.pdf" TargetMode="External"/><Relationship Id="rId306" Type="http://schemas.openxmlformats.org/officeDocument/2006/relationships/hyperlink" Target="http://www.sciencedirect.com/science/article/pii/S0098300412002865" TargetMode="External"/><Relationship Id="rId427" Type="http://schemas.openxmlformats.org/officeDocument/2006/relationships/hyperlink" Target="http://www.cs.cmu.edu/afs/cs/Web/People/norii/pub/github-ctr.pdf" TargetMode="External"/><Relationship Id="rId548" Type="http://schemas.openxmlformats.org/officeDocument/2006/relationships/hyperlink" Target="http://dl.acm.org/citation.cfm?id=2819950" TargetMode="External"/><Relationship Id="rId301" Type="http://schemas.openxmlformats.org/officeDocument/2006/relationships/hyperlink" Target="http://www.sciencedirect.com/science/article/pii/S0167819113001178" TargetMode="External"/><Relationship Id="rId422" Type="http://schemas.openxmlformats.org/officeDocument/2006/relationships/hyperlink" Target="http://dl.acm.org/citation.cfm?id=2745833" TargetMode="External"/><Relationship Id="rId543" Type="http://schemas.openxmlformats.org/officeDocument/2006/relationships/hyperlink" Target="https://peerj.com/preprints/1920/" TargetMode="External"/><Relationship Id="rId300" Type="http://schemas.openxmlformats.org/officeDocument/2006/relationships/hyperlink" Target="http://www.sciencedirect.com/science/article/pii/S0921889013001152" TargetMode="External"/><Relationship Id="rId421" Type="http://schemas.openxmlformats.org/officeDocument/2006/relationships/hyperlink" Target="http://dl.acm.org/citation.cfm?id=2908145" TargetMode="External"/><Relationship Id="rId542" Type="http://schemas.openxmlformats.org/officeDocument/2006/relationships/hyperlink" Target="http://link.springer.com/article/10.1007/s10664-015-9406-4" TargetMode="External"/><Relationship Id="rId420" Type="http://schemas.openxmlformats.org/officeDocument/2006/relationships/hyperlink" Target="http://dl.acm.org/citation.cfm?id=2502228" TargetMode="External"/><Relationship Id="rId541" Type="http://schemas.openxmlformats.org/officeDocument/2006/relationships/hyperlink" Target="http://dl.acm.org/citation.cfm?id=2675254" TargetMode="External"/><Relationship Id="rId540" Type="http://schemas.openxmlformats.org/officeDocument/2006/relationships/hyperlink" Target="https://peerj.com/preprints/1771/" TargetMode="External"/><Relationship Id="rId415" Type="http://schemas.openxmlformats.org/officeDocument/2006/relationships/hyperlink" Target="http://dl.acm.org/citation.cfm?id=2901743" TargetMode="External"/><Relationship Id="rId536" Type="http://schemas.openxmlformats.org/officeDocument/2006/relationships/hyperlink" Target="https://www.jstage.jst.go.jp/article/ipsjjip/24/2/24_339/_article" TargetMode="External"/><Relationship Id="rId414" Type="http://schemas.openxmlformats.org/officeDocument/2006/relationships/hyperlink" Target="http://kstolee.github.io/papers/ISSTA2016.pdf" TargetMode="External"/><Relationship Id="rId535" Type="http://schemas.openxmlformats.org/officeDocument/2006/relationships/hyperlink" Target="http://dl.acm.org/citation.cfm?id=2903494" TargetMode="External"/><Relationship Id="rId413" Type="http://schemas.openxmlformats.org/officeDocument/2006/relationships/hyperlink" Target="http://ieeexplore.ieee.org/xpl/login.jsp?tp=&amp;arnumber=7194593&amp;url=http%3A%2F%2Fieeexplore.ieee.org%2Fxpls%2Fabs_all.jsp%3Farnumber%3D7194593" TargetMode="External"/><Relationship Id="rId534" Type="http://schemas.openxmlformats.org/officeDocument/2006/relationships/hyperlink" Target="http://blog.jot.fm/2015/03/18/what-makes-an-unsuccessful-software-project/" TargetMode="External"/><Relationship Id="rId412" Type="http://schemas.openxmlformats.org/officeDocument/2006/relationships/hyperlink" Target="http://dl.acm.org/citation.cfm?id=2904085" TargetMode="External"/><Relationship Id="rId533" Type="http://schemas.openxmlformats.org/officeDocument/2006/relationships/hyperlink" Target="http://ieeexplore.ieee.org/xpl/login.jsp?tp=&amp;arnumber=7180092&amp;url=http%3A%2F%2Fieeexplore.ieee.org%2Fxpls%2Fabs_all.jsp%3Farnumber%3D7180092" TargetMode="External"/><Relationship Id="rId419" Type="http://schemas.openxmlformats.org/officeDocument/2006/relationships/hyperlink" Target="http://dl.acm.org/citation.cfm?id=2858479" TargetMode="External"/><Relationship Id="rId418" Type="http://schemas.openxmlformats.org/officeDocument/2006/relationships/hyperlink" Target="http://dl.acm.org/citation.cfm?id=2652549" TargetMode="External"/><Relationship Id="rId539" Type="http://schemas.openxmlformats.org/officeDocument/2006/relationships/hyperlink" Target="http://dl.acm.org/citation.cfm?id=2820018" TargetMode="External"/><Relationship Id="rId417" Type="http://schemas.openxmlformats.org/officeDocument/2006/relationships/hyperlink" Target="http://dl.acm.org/citation.cfm?id=2656440" TargetMode="External"/><Relationship Id="rId538" Type="http://schemas.openxmlformats.org/officeDocument/2006/relationships/hyperlink" Target="http://ir.library.oregonstate.edu/xmlui/handle/1957/58811" TargetMode="External"/><Relationship Id="rId416" Type="http://schemas.openxmlformats.org/officeDocument/2006/relationships/hyperlink" Target="http://dl.acm.org/citation.cfm?id=2691870" TargetMode="External"/><Relationship Id="rId537" Type="http://schemas.openxmlformats.org/officeDocument/2006/relationships/hyperlink" Target="http://dl.acm.org/citation.cfm?id=2915972" TargetMode="External"/><Relationship Id="rId411" Type="http://schemas.openxmlformats.org/officeDocument/2006/relationships/hyperlink" Target="http://dl.acm.org/citation.cfm?id=2903498" TargetMode="External"/><Relationship Id="rId532" Type="http://schemas.openxmlformats.org/officeDocument/2006/relationships/hyperlink" Target="http://dl.acm.org/citation.cfm?id=2568229" TargetMode="External"/><Relationship Id="rId410" Type="http://schemas.openxmlformats.org/officeDocument/2006/relationships/hyperlink" Target="http://dl.acm.org/citation.cfm?id=2896833" TargetMode="External"/><Relationship Id="rId531" Type="http://schemas.openxmlformats.org/officeDocument/2006/relationships/hyperlink" Target="https://reftest2014.files.wordpress.com/2014/05/ortu_destefanis1.pdf" TargetMode="External"/><Relationship Id="rId530" Type="http://schemas.openxmlformats.org/officeDocument/2006/relationships/hyperlink" Target="http://dl.acm.org/citation.cfm?id=2786849" TargetMode="External"/><Relationship Id="rId206" Type="http://schemas.openxmlformats.org/officeDocument/2006/relationships/hyperlink" Target="http://arxiv.org/abs/1512.05558" TargetMode="External"/><Relationship Id="rId327" Type="http://schemas.openxmlformats.org/officeDocument/2006/relationships/hyperlink" Target="http://dl.acm.org/citation.cfm?id=2890056" TargetMode="External"/><Relationship Id="rId448" Type="http://schemas.openxmlformats.org/officeDocument/2006/relationships/hyperlink" Target="https://books.google.fr/books?hl=it&amp;lr=&amp;id=OhdOBQAAQBAJ&amp;oi=fnd&amp;pg=PR3&amp;dq=Introducing+GitHub:+A+Non-technical+Guide&amp;ots=LiJ7J6iV6P&amp;sig=fPRfoEip1-rWUzAz62GWRSftmPc&amp;redir_esc=y" TargetMode="External"/><Relationship Id="rId205" Type="http://schemas.openxmlformats.org/officeDocument/2006/relationships/hyperlink" Target="http://arxiv.org/abs/1507.00604" TargetMode="External"/><Relationship Id="rId326" Type="http://schemas.openxmlformats.org/officeDocument/2006/relationships/hyperlink" Target="http://dl.acm.org/citation.cfm?id=2487153" TargetMode="External"/><Relationship Id="rId447" Type="http://schemas.openxmlformats.org/officeDocument/2006/relationships/hyperlink" Target="http://papers.ssrn.com/sol3/papers.cfm?abstract_id=2497204" TargetMode="External"/><Relationship Id="rId204" Type="http://schemas.openxmlformats.org/officeDocument/2006/relationships/hyperlink" Target="http://arxiv.org/abs/1501.06857" TargetMode="External"/><Relationship Id="rId325" Type="http://schemas.openxmlformats.org/officeDocument/2006/relationships/hyperlink" Target="http://dl.acm.org/citation.cfm?id=2441794" TargetMode="External"/><Relationship Id="rId446" Type="http://schemas.openxmlformats.org/officeDocument/2006/relationships/hyperlink" Target="http://link.springer.com/article/10.1007/s10664-015-9393-5" TargetMode="External"/><Relationship Id="rId203" Type="http://schemas.openxmlformats.org/officeDocument/2006/relationships/hyperlink" Target="http://dl.acm.org/citation.cfm?id=2789838" TargetMode="External"/><Relationship Id="rId324" Type="http://schemas.openxmlformats.org/officeDocument/2006/relationships/hyperlink" Target="http://bioc.ism.ac.jp/packages/2.14/bioc/vignettes/Risa/inst/doc/Risa.pdf" TargetMode="External"/><Relationship Id="rId445" Type="http://schemas.openxmlformats.org/officeDocument/2006/relationships/hyperlink" Target="http://openresearchsoftware.metajnl.com/articles/10.5334/jors.bx/" TargetMode="External"/><Relationship Id="rId209" Type="http://schemas.openxmlformats.org/officeDocument/2006/relationships/hyperlink" Target="http://dl.acm.org/citation.cfm?id=2735527" TargetMode="External"/><Relationship Id="rId208" Type="http://schemas.openxmlformats.org/officeDocument/2006/relationships/hyperlink" Target="http://www.worldscientific.com/doi/pdf/10.1142/S0219525914500246" TargetMode="External"/><Relationship Id="rId329" Type="http://schemas.openxmlformats.org/officeDocument/2006/relationships/hyperlink" Target="http://arxiv.org/abs/1508.04515" TargetMode="External"/><Relationship Id="rId207" Type="http://schemas.openxmlformats.org/officeDocument/2006/relationships/hyperlink" Target="https://peerj.com/preprints/1233/" TargetMode="External"/><Relationship Id="rId328" Type="http://schemas.openxmlformats.org/officeDocument/2006/relationships/hyperlink" Target="http://dl.acm.org/citation.cfm?id=2878382" TargetMode="External"/><Relationship Id="rId449" Type="http://schemas.openxmlformats.org/officeDocument/2006/relationships/hyperlink" Target="http://datalegend.net/assets/paper7.pdf" TargetMode="External"/><Relationship Id="rId440" Type="http://schemas.openxmlformats.org/officeDocument/2006/relationships/hyperlink" Target="http://lascam.facom.ufu.br/cms/userfiles/downloads/2014/CbsoftToolsEduardo2014preprint.pdf" TargetMode="External"/><Relationship Id="rId561" Type="http://schemas.openxmlformats.org/officeDocument/2006/relationships/drawing" Target="../drawings/drawing1.xml"/><Relationship Id="rId560" Type="http://schemas.openxmlformats.org/officeDocument/2006/relationships/hyperlink" Target="https://helda.helsinki.fi/bitstream/handle/10138/153194/esem2014.pdf?sequence=1" TargetMode="External"/><Relationship Id="rId202" Type="http://schemas.openxmlformats.org/officeDocument/2006/relationships/hyperlink" Target="http://ceur-ws.org/Vol-1525/paper-12.pdf" TargetMode="External"/><Relationship Id="rId323" Type="http://schemas.openxmlformats.org/officeDocument/2006/relationships/hyperlink" Target="http://dl.acm.org/citation.cfm?id=2487832" TargetMode="External"/><Relationship Id="rId444" Type="http://schemas.openxmlformats.org/officeDocument/2006/relationships/hyperlink" Target="http://zmjones.com/static/papers/git.pdf" TargetMode="External"/><Relationship Id="rId201" Type="http://schemas.openxmlformats.org/officeDocument/2006/relationships/hyperlink" Target="http://dl.acm.org/citation.cfm?id=2791083" TargetMode="External"/><Relationship Id="rId322" Type="http://schemas.openxmlformats.org/officeDocument/2006/relationships/hyperlink" Target="http://dl.acm.org/citation.cfm?id=1985476" TargetMode="External"/><Relationship Id="rId443" Type="http://schemas.openxmlformats.org/officeDocument/2006/relationships/hyperlink" Target="http://papers.ssrn.com/sol3/papers.cfm?abstract_id=2199367" TargetMode="External"/><Relationship Id="rId200" Type="http://schemas.openxmlformats.org/officeDocument/2006/relationships/hyperlink" Target="http://dl.acm.org/citation.cfm?id=2786854" TargetMode="External"/><Relationship Id="rId321" Type="http://schemas.openxmlformats.org/officeDocument/2006/relationships/hyperlink" Target="http://mockiene.com/papers/folder-short.pdf" TargetMode="External"/><Relationship Id="rId442" Type="http://schemas.openxmlformats.org/officeDocument/2006/relationships/hyperlink" Target="https://books.google.fr/books?hl=it&amp;lr=&amp;id=_VkrAQAAQBAJ&amp;oi=fnd&amp;pg=PR4&amp;dq=Mining+the+Social+Web:+Data+Mining+Facebook,+Twitter,+LinkedIn,+Google%2B,+GitHub,+and+More&amp;ots=JqoytySshG&amp;sig=JOqXfwsLg47ubV_eCCAlrYO5r7U&amp;redir_esc=y" TargetMode="External"/><Relationship Id="rId320" Type="http://schemas.openxmlformats.org/officeDocument/2006/relationships/hyperlink" Target="http://cs229.stanford.edu/proj2012/KhadkeTehShen-PredictingAcceptanceOfGitHubPullRequests.pdf" TargetMode="External"/><Relationship Id="rId441" Type="http://schemas.openxmlformats.org/officeDocument/2006/relationships/hyperlink" Target="http://onlinelibrary.wiley.com/doi/10.1002/meet.14504901347/full" TargetMode="External"/><Relationship Id="rId562" Type="http://schemas.openxmlformats.org/officeDocument/2006/relationships/vmlDrawing" Target="../drawings/vmlDrawing1.vml"/><Relationship Id="rId316" Type="http://schemas.openxmlformats.org/officeDocument/2006/relationships/hyperlink" Target="http://citeseerx.ist.psu.edu/viewdoc/download?doi=10.1.1.728.2463&amp;rep=rep1&amp;type=pdf" TargetMode="External"/><Relationship Id="rId437" Type="http://schemas.openxmlformats.org/officeDocument/2006/relationships/hyperlink" Target="https://www.semanticscholar.org/paper/Finding-Great-Software-Engineers-with-Github-Group-Kunz-Root/c625c598a2a39982bef391eef46d6f4a522862ee/pdf" TargetMode="External"/><Relationship Id="rId558" Type="http://schemas.openxmlformats.org/officeDocument/2006/relationships/hyperlink" Target="http://dl.acm.org/citation.cfm?id=2639506" TargetMode="External"/><Relationship Id="rId315" Type="http://schemas.openxmlformats.org/officeDocument/2006/relationships/hyperlink" Target="http://ieeexplore.ieee.org/xpl/login.jsp?tp=&amp;arnumber=7166088&amp;url=http%3A%2F%2Fieeexplore.ieee.org%2Fxpls%2Fabs_all.jsp%3Farnumber%3D7166088" TargetMode="External"/><Relationship Id="rId436" Type="http://schemas.openxmlformats.org/officeDocument/2006/relationships/hyperlink" Target="http://etd.library.vanderbilt.edu/available/etd-03232015-135032/" TargetMode="External"/><Relationship Id="rId557" Type="http://schemas.openxmlformats.org/officeDocument/2006/relationships/hyperlink" Target="http://msr2014.inf.usi.ch/preprints/Do%20developers%20discuss%20design.pdf" TargetMode="External"/><Relationship Id="rId314" Type="http://schemas.openxmlformats.org/officeDocument/2006/relationships/hyperlink" Target="http://takhteyev.org/papers/Takhteyev-Hilts-2010.pdf" TargetMode="External"/><Relationship Id="rId435" Type="http://schemas.openxmlformats.org/officeDocument/2006/relationships/hyperlink" Target="http://ieeexplore.ieee.org/xpl/login.jsp?tp=&amp;arnumber=6605914&amp;url=http%3A%2F%2Fieeexplore.ieee.org%2Fxpls%2Fabs_all.jsp%3Farnumber%3D6605914" TargetMode="External"/><Relationship Id="rId556" Type="http://schemas.openxmlformats.org/officeDocument/2006/relationships/hyperlink" Target="http://posl.ait.kyushu-u.ac.jp/~kamei/publications/Yamashita_MSRChallenge2014.pdf" TargetMode="External"/><Relationship Id="rId313" Type="http://schemas.openxmlformats.org/officeDocument/2006/relationships/hyperlink" Target="http://www.sciencedirect.com/science/article/pii/S2213133715000633" TargetMode="External"/><Relationship Id="rId434" Type="http://schemas.openxmlformats.org/officeDocument/2006/relationships/hyperlink" Target="http://ieeexplore.ieee.org/xpl/login.jsp?tp=&amp;arnumber=6498487&amp;url=http%3A%2F%2Fieeexplore.ieee.org%2Fxpls%2Fabs_all.jsp%3Farnumber%3D6498487" TargetMode="External"/><Relationship Id="rId555" Type="http://schemas.openxmlformats.org/officeDocument/2006/relationships/hyperlink" Target="http://dl.acm.org/citation.cfm?id=2597119" TargetMode="External"/><Relationship Id="rId319" Type="http://schemas.openxmlformats.org/officeDocument/2006/relationships/hyperlink" Target="http://citeseerx.ist.psu.edu/viewdoc/download?doi=10.1.1.190.9755&amp;rep=rep1&amp;type=pdf" TargetMode="External"/><Relationship Id="rId318" Type="http://schemas.openxmlformats.org/officeDocument/2006/relationships/hyperlink" Target="http://ieeexplore.ieee.org/xpl/login.jsp?tp=&amp;arnumber=7181450&amp;url=http%3A%2F%2Fieeexplore.ieee.org%2Fxpls%2Fabs_all.jsp%3Farnumber%3D7181450" TargetMode="External"/><Relationship Id="rId439" Type="http://schemas.openxmlformats.org/officeDocument/2006/relationships/hyperlink" Target="http://worldcomp-proceedings.com/proc/p2014/SER3309.pdf" TargetMode="External"/><Relationship Id="rId317" Type="http://schemas.openxmlformats.org/officeDocument/2006/relationships/hyperlink" Target="http://citeseerx.ist.psu.edu/viewdoc/download?doi=10.1.1.634.9359&amp;rep=rep1&amp;type=pdf" TargetMode="External"/><Relationship Id="rId438" Type="http://schemas.openxmlformats.org/officeDocument/2006/relationships/hyperlink" Target="http://www.jsebs.org/jsebs/index.php/jsebs/article/view/152" TargetMode="External"/><Relationship Id="rId559" Type="http://schemas.openxmlformats.org/officeDocument/2006/relationships/hyperlink" Target="http://link.springer.com/chapter/10.1007/978-3-319-10933-6_12" TargetMode="External"/><Relationship Id="rId550" Type="http://schemas.openxmlformats.org/officeDocument/2006/relationships/hyperlink" Target="http://dl.acm.org/citation.cfm?id=2889259" TargetMode="External"/><Relationship Id="rId312" Type="http://schemas.openxmlformats.org/officeDocument/2006/relationships/hyperlink" Target="http://www.sciencedirect.com/science/article/pii/S0010465515002611" TargetMode="External"/><Relationship Id="rId433" Type="http://schemas.openxmlformats.org/officeDocument/2006/relationships/hyperlink" Target="https://www.semanticscholar.org/paper/Social-Coding-Evaluating-Github-s-Network-Using-Marrama-Low/8232b29c5b60d8e2e8a83f805eb731b93c7750d7/pdf" TargetMode="External"/><Relationship Id="rId554" Type="http://schemas.openxmlformats.org/officeDocument/2006/relationships/hyperlink" Target="http://dl.acm.org/citation.cfm?id=2786843" TargetMode="External"/><Relationship Id="rId311" Type="http://schemas.openxmlformats.org/officeDocument/2006/relationships/hyperlink" Target="http://www.sciencedirect.com/science/article/pii/S0010465514001519" TargetMode="External"/><Relationship Id="rId432" Type="http://schemas.openxmlformats.org/officeDocument/2006/relationships/hyperlink" Target="https://www.researchgate.net/profile/Jan_Bosch/publication/260649475_Bridging_Software_Communities_through_Social_Networking/links/54cf76430cf24601c0937b7e.pdf" TargetMode="External"/><Relationship Id="rId553" Type="http://schemas.openxmlformats.org/officeDocument/2006/relationships/hyperlink" Target="http://www.sciencedirect.com/science/article/pii/S0950584916300027" TargetMode="External"/><Relationship Id="rId310" Type="http://schemas.openxmlformats.org/officeDocument/2006/relationships/hyperlink" Target="http://www.sciencedirect.com/science/article/pii/S0010465515000168" TargetMode="External"/><Relationship Id="rId431" Type="http://schemas.openxmlformats.org/officeDocument/2006/relationships/hyperlink" Target="http://ieeexplore.ieee.org/xpl/login.jsp?tp=&amp;arnumber=6747228&amp;url=http%3A%2F%2Fieeexplore.ieee.org%2Fxpls%2Fabs_all.jsp%3Farnumber%3D6747228" TargetMode="External"/><Relationship Id="rId552" Type="http://schemas.openxmlformats.org/officeDocument/2006/relationships/hyperlink" Target="http://dl.acm.org/citation.cfm?id=2915976" TargetMode="External"/><Relationship Id="rId430" Type="http://schemas.openxmlformats.org/officeDocument/2006/relationships/hyperlink" Target="http://arxiv.org/abs/1207.5545" TargetMode="External"/><Relationship Id="rId551" Type="http://schemas.openxmlformats.org/officeDocument/2006/relationships/hyperlink" Target="http://arxiv.org/abs/1604.01450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://dl.acm.org/citation.cfm?id=2886490" TargetMode="External"/><Relationship Id="rId194" Type="http://schemas.openxmlformats.org/officeDocument/2006/relationships/hyperlink" Target="http://link.springer.com/chapter/10.1007/978-3-319-21413-9_4" TargetMode="External"/><Relationship Id="rId193" Type="http://schemas.openxmlformats.org/officeDocument/2006/relationships/hyperlink" Target="http://www.aaai.org/ocs/index.php/HCOMP/HCOMP15/paper/view/11622" TargetMode="External"/><Relationship Id="rId192" Type="http://schemas.openxmlformats.org/officeDocument/2006/relationships/hyperlink" Target="http://dl.acm.org/citation.cfm?id=2675284" TargetMode="External"/><Relationship Id="rId191" Type="http://schemas.openxmlformats.org/officeDocument/2006/relationships/hyperlink" Target="http://dl.acm.org/citation.cfm?id=2702549" TargetMode="External"/><Relationship Id="rId187" Type="http://schemas.openxmlformats.org/officeDocument/2006/relationships/hyperlink" Target="https://books.google.es/books?hl=it&amp;lr=&amp;id=OhdOBQAAQBAJ&amp;oi=fnd&amp;pg=PR3&amp;dq=Introducing+GitHub+-+A+Non-Technical+Guide&amp;ots=LiJ7H4j1ZH&amp;sig=r4nWLwRFQOWsYG2v2IM7vtYb6Ds&amp;redir_esc=y" TargetMode="External"/><Relationship Id="rId186" Type="http://schemas.openxmlformats.org/officeDocument/2006/relationships/hyperlink" Target="https://peerj.com/preprints/1984/" TargetMode="External"/><Relationship Id="rId185" Type="http://schemas.openxmlformats.org/officeDocument/2006/relationships/hyperlink" Target="https://peerj.com/preprints/1920/" TargetMode="External"/><Relationship Id="rId184" Type="http://schemas.openxmlformats.org/officeDocument/2006/relationships/hyperlink" Target="http://arxiv.org/abs/1606.05431" TargetMode="External"/><Relationship Id="rId189" Type="http://schemas.openxmlformats.org/officeDocument/2006/relationships/hyperlink" Target="http://aisel.aisnet.org/amcis2015/SystemsAnalysis/GeneralPresentations/7/" TargetMode="External"/><Relationship Id="rId188" Type="http://schemas.openxmlformats.org/officeDocument/2006/relationships/hyperlink" Target="http://www.sciencedirect.com/science/article/pii/S0164121215000485" TargetMode="External"/><Relationship Id="rId183" Type="http://schemas.openxmlformats.org/officeDocument/2006/relationships/hyperlink" Target="http://arxiv.org/abs/1606.04984" TargetMode="External"/><Relationship Id="rId182" Type="http://schemas.openxmlformats.org/officeDocument/2006/relationships/hyperlink" Target="http://arxiv.org/abs/1606.00521" TargetMode="External"/><Relationship Id="rId181" Type="http://schemas.openxmlformats.org/officeDocument/2006/relationships/hyperlink" Target="http://arxiv.org/abs/1603.00431" TargetMode="External"/><Relationship Id="rId180" Type="http://schemas.openxmlformats.org/officeDocument/2006/relationships/hyperlink" Target="http://arxiv.org/abs/1602.02594" TargetMode="External"/><Relationship Id="rId176" Type="http://schemas.openxmlformats.org/officeDocument/2006/relationships/hyperlink" Target="http://dl.acm.org/citation.cfm?id=2901776" TargetMode="External"/><Relationship Id="rId297" Type="http://schemas.openxmlformats.org/officeDocument/2006/relationships/hyperlink" Target="http://www.sciencedirect.com/science/article/pii/S0169260715300560" TargetMode="External"/><Relationship Id="rId175" Type="http://schemas.openxmlformats.org/officeDocument/2006/relationships/hyperlink" Target="http://dl.acm.org/citation.cfm?id=2884875" TargetMode="External"/><Relationship Id="rId296" Type="http://schemas.openxmlformats.org/officeDocument/2006/relationships/hyperlink" Target="http://www.sciencedirect.com/science/article/pii/S0950584915001573" TargetMode="External"/><Relationship Id="rId174" Type="http://schemas.openxmlformats.org/officeDocument/2006/relationships/hyperlink" Target="http://dl.acm.org/citation.cfm?id=2891035" TargetMode="External"/><Relationship Id="rId295" Type="http://schemas.openxmlformats.org/officeDocument/2006/relationships/hyperlink" Target="http://www.sciencedirect.com/science/article/pii/S0010465515004555" TargetMode="External"/><Relationship Id="rId173" Type="http://schemas.openxmlformats.org/officeDocument/2006/relationships/hyperlink" Target="http://dl.acm.org/citation.cfm?id=2889195" TargetMode="External"/><Relationship Id="rId294" Type="http://schemas.openxmlformats.org/officeDocument/2006/relationships/hyperlink" Target="http://www.sciencedirect.com/science/article/pii/S0021999113004154" TargetMode="External"/><Relationship Id="rId179" Type="http://schemas.openxmlformats.org/officeDocument/2006/relationships/hyperlink" Target="http://arxiv.org/abs/1601.07862" TargetMode="External"/><Relationship Id="rId178" Type="http://schemas.openxmlformats.org/officeDocument/2006/relationships/hyperlink" Target="http://dl.acm.org/citation.cfm?id=2903496" TargetMode="External"/><Relationship Id="rId299" Type="http://schemas.openxmlformats.org/officeDocument/2006/relationships/hyperlink" Target="http://www.sciencedirect.com/science/article/pii/S0921889013001152" TargetMode="External"/><Relationship Id="rId177" Type="http://schemas.openxmlformats.org/officeDocument/2006/relationships/hyperlink" Target="http://dl.acm.org/citation.cfm?id=2901751" TargetMode="External"/><Relationship Id="rId298" Type="http://schemas.openxmlformats.org/officeDocument/2006/relationships/hyperlink" Target="http://www.sciencedirect.com/science/article/pii/S0010482514000237" TargetMode="External"/><Relationship Id="rId198" Type="http://schemas.openxmlformats.org/officeDocument/2006/relationships/hyperlink" Target="http://dl.acm.org/citation.cfm?id=2786850" TargetMode="External"/><Relationship Id="rId197" Type="http://schemas.openxmlformats.org/officeDocument/2006/relationships/hyperlink" Target="http://dl.acm.org/citation.cfm?id=2786834" TargetMode="External"/><Relationship Id="rId196" Type="http://schemas.openxmlformats.org/officeDocument/2006/relationships/hyperlink" Target="http://dl.acm.org/citation.cfm?id=2678305" TargetMode="External"/><Relationship Id="rId195" Type="http://schemas.openxmlformats.org/officeDocument/2006/relationships/hyperlink" Target="http://link.springer.com/chapter/10.1007/978-3-319-26844-6_22" TargetMode="External"/><Relationship Id="rId199" Type="http://schemas.openxmlformats.org/officeDocument/2006/relationships/hyperlink" Target="http://dl.acm.org/citation.cfm?id=2786854" TargetMode="External"/><Relationship Id="rId150" Type="http://schemas.openxmlformats.org/officeDocument/2006/relationships/hyperlink" Target="http://ieeexplore.ieee.org/xpls/abs_all.jsp?arnumber=7111895" TargetMode="External"/><Relationship Id="rId271" Type="http://schemas.openxmlformats.org/officeDocument/2006/relationships/hyperlink" Target="http://www.sciencedirect.com/science/article/pii/S1877050914014434" TargetMode="External"/><Relationship Id="rId392" Type="http://schemas.openxmlformats.org/officeDocument/2006/relationships/hyperlink" Target="http://dl.acm.org/citation.cfm?id=2819325" TargetMode="External"/><Relationship Id="rId270" Type="http://schemas.openxmlformats.org/officeDocument/2006/relationships/hyperlink" Target="http://www.sciencedirect.com/science/article/pii/S2213133716300178" TargetMode="External"/><Relationship Id="rId391" Type="http://schemas.openxmlformats.org/officeDocument/2006/relationships/hyperlink" Target="http://dl.acm.org/citation.cfm?id=2627512" TargetMode="External"/><Relationship Id="rId390" Type="http://schemas.openxmlformats.org/officeDocument/2006/relationships/hyperlink" Target="http://dl.acm.org/citation.cfm?id=2654889" TargetMode="External"/><Relationship Id="rId1" Type="http://schemas.openxmlformats.org/officeDocument/2006/relationships/hyperlink" Target="http://web.cs.ucla.edu/~miryung/Publications/icsm2013-apiecosystem.pdf" TargetMode="External"/><Relationship Id="rId2" Type="http://schemas.openxmlformats.org/officeDocument/2006/relationships/hyperlink" Target="http://ieeexplore.ieee.org/xpls/abs_all.jsp?arnumber=6747169&amp;tag=1" TargetMode="External"/><Relationship Id="rId3" Type="http://schemas.openxmlformats.org/officeDocument/2006/relationships/hyperlink" Target="http://ieeexplore.ieee.org/stamp/stamp.jsp?tp=&amp;arnumber=7459430" TargetMode="External"/><Relationship Id="rId149" Type="http://schemas.openxmlformats.org/officeDocument/2006/relationships/hyperlink" Target="http://ieeexplore.ieee.org/xpl/login.jsp?tp=&amp;arnumber=7203004&amp;url=http%3A%2F%2Fieeexplore.ieee.org%2Fxpls%2Fabs_all.jsp%3Farnumber%3D7203004" TargetMode="External"/><Relationship Id="rId4" Type="http://schemas.openxmlformats.org/officeDocument/2006/relationships/hyperlink" Target="http://arxiv.org/abs/1407.5514" TargetMode="External"/><Relationship Id="rId148" Type="http://schemas.openxmlformats.org/officeDocument/2006/relationships/hyperlink" Target="http://ieeexplore.ieee.org/xpl/login.jsp?tp=&amp;arnumber=7476667&amp;url=http%3A%2F%2Fieeexplore.ieee.org%2Fxpls%2Fabs_all.jsp%3Farnumber%3D7476667" TargetMode="External"/><Relationship Id="rId269" Type="http://schemas.openxmlformats.org/officeDocument/2006/relationships/hyperlink" Target="http://www.sciencedirect.com/science/article/pii/S2213133716300397" TargetMode="External"/><Relationship Id="rId9" Type="http://schemas.openxmlformats.org/officeDocument/2006/relationships/hyperlink" Target="http://ieeexplore.ieee.org/xpls/abs_all.jsp?arnumber=6785709" TargetMode="External"/><Relationship Id="rId143" Type="http://schemas.openxmlformats.org/officeDocument/2006/relationships/hyperlink" Target="http://ieeexplore.ieee.org/xpl/login.jsp?tp=&amp;arnumber=6357175&amp;url=http%3A%2F%2Fieeexplore.ieee.org%2Fxpls%2Fabs_all.jsp%3Farnumber%3D6357175" TargetMode="External"/><Relationship Id="rId264" Type="http://schemas.openxmlformats.org/officeDocument/2006/relationships/hyperlink" Target="http://arxiv.org/abs/1504.07326" TargetMode="External"/><Relationship Id="rId385" Type="http://schemas.openxmlformats.org/officeDocument/2006/relationships/hyperlink" Target="http://dl.acm.org/citation.cfm?id=2591091" TargetMode="External"/><Relationship Id="rId142" Type="http://schemas.openxmlformats.org/officeDocument/2006/relationships/hyperlink" Target="http://ieeexplore.ieee.org/xpl/login.jsp?tp=&amp;arnumber=7439313&amp;url=http%3A%2F%2Fieeexplore.ieee.org%2Fxpls%2Fabs_all.jsp%3Farnumber%3D7439313" TargetMode="External"/><Relationship Id="rId263" Type="http://schemas.openxmlformats.org/officeDocument/2006/relationships/hyperlink" Target="http://www.sciencedirect.com/science/article/pii/S221313371500013X" TargetMode="External"/><Relationship Id="rId384" Type="http://schemas.openxmlformats.org/officeDocument/2006/relationships/hyperlink" Target="http://dl.acm.org/citation.cfm?id=2591115" TargetMode="External"/><Relationship Id="rId141" Type="http://schemas.openxmlformats.org/officeDocument/2006/relationships/hyperlink" Target="http://ieeexplore.ieee.org/xpl/login.jsp?tp=&amp;arnumber=7332449&amp;url=http%3A%2F%2Fieeexplore.ieee.org%2Fxpls%2Fabs_all.jsp%3Farnumber%3D7332449" TargetMode="External"/><Relationship Id="rId262" Type="http://schemas.openxmlformats.org/officeDocument/2006/relationships/hyperlink" Target="http://www.sciencedirect.com/science/article/pii/S0169260715300262" TargetMode="External"/><Relationship Id="rId383" Type="http://schemas.openxmlformats.org/officeDocument/2006/relationships/hyperlink" Target="http://dl.acm.org/citation.cfm?id=2884836" TargetMode="External"/><Relationship Id="rId140" Type="http://schemas.openxmlformats.org/officeDocument/2006/relationships/hyperlink" Target="http://ieeexplore.ieee.org/xpl/login.jsp?tp=&amp;arnumber=7423026&amp;url=http%3A%2F%2Fieeexplore.ieee.org%2Fxpls%2Fabs_all.jsp%3Farnumber%3D7423026" TargetMode="External"/><Relationship Id="rId261" Type="http://schemas.openxmlformats.org/officeDocument/2006/relationships/hyperlink" Target="http://www.sciencedirect.com/science/article/pii/S0377221715010711" TargetMode="External"/><Relationship Id="rId382" Type="http://schemas.openxmlformats.org/officeDocument/2006/relationships/hyperlink" Target="http://dl.acm.org/citation.cfm?id=2891112" TargetMode="External"/><Relationship Id="rId5" Type="http://schemas.openxmlformats.org/officeDocument/2006/relationships/hyperlink" Target="http://ieeexplore.ieee.org/stamp/stamp.jsp?arnumber=7355058" TargetMode="External"/><Relationship Id="rId147" Type="http://schemas.openxmlformats.org/officeDocument/2006/relationships/hyperlink" Target="http://ieeexplore.ieee.org/xpl/login.jsp?tp=&amp;arnumber=7190558&amp;url=http%3A%2F%2Fieeexplore.ieee.org%2Fxpls%2Fabs_all.jsp%3Farnumber%3D7190558" TargetMode="External"/><Relationship Id="rId268" Type="http://schemas.openxmlformats.org/officeDocument/2006/relationships/hyperlink" Target="http://www.sciencedirect.com/science/article/pii/S0098300416301704" TargetMode="External"/><Relationship Id="rId389" Type="http://schemas.openxmlformats.org/officeDocument/2006/relationships/hyperlink" Target="http://dl.acm.org/citation.cfm?id=2642811" TargetMode="External"/><Relationship Id="rId6" Type="http://schemas.openxmlformats.org/officeDocument/2006/relationships/hyperlink" Target="https://www.ime.usp.br/~gerosa/papers/saner2016.pdf" TargetMode="External"/><Relationship Id="rId146" Type="http://schemas.openxmlformats.org/officeDocument/2006/relationships/hyperlink" Target="http://ieeexplore.ieee.org/xpl/login.jsp?tp=&amp;arnumber=6983889&amp;url=http%3A%2F%2Fieeexplore.ieee.org%2Fxpls%2Fabs_all.jsp%3Farnumber%3D6983889" TargetMode="External"/><Relationship Id="rId267" Type="http://schemas.openxmlformats.org/officeDocument/2006/relationships/hyperlink" Target="http://www.sciencedirect.com/science/article/pii/S1877050916001381" TargetMode="External"/><Relationship Id="rId388" Type="http://schemas.openxmlformats.org/officeDocument/2006/relationships/hyperlink" Target="http://dl.acm.org/citation.cfm?id=2595197" TargetMode="External"/><Relationship Id="rId7" Type="http://schemas.openxmlformats.org/officeDocument/2006/relationships/hyperlink" Target="http://ieeexplore.ieee.org/stamp/stamp.jsp?arnumber=7476669" TargetMode="External"/><Relationship Id="rId145" Type="http://schemas.openxmlformats.org/officeDocument/2006/relationships/hyperlink" Target="http://ieeexplore.ieee.org/xpl/login.jsp?tp=&amp;arnumber=7426643&amp;url=http%3A%2F%2Fieeexplore.ieee.org%2Fxpls%2Fabs_all.jsp%3Farnumber%3D7426643" TargetMode="External"/><Relationship Id="rId266" Type="http://schemas.openxmlformats.org/officeDocument/2006/relationships/hyperlink" Target="http://dl.acm.org/citation.cfm?id=2486844" TargetMode="External"/><Relationship Id="rId387" Type="http://schemas.openxmlformats.org/officeDocument/2006/relationships/hyperlink" Target="http://dl.acm.org/citation.cfm?id=2789174" TargetMode="External"/><Relationship Id="rId8" Type="http://schemas.openxmlformats.org/officeDocument/2006/relationships/hyperlink" Target="http://www.win.tue.nl/~aserebre/ICSME2014ERA.pdf" TargetMode="External"/><Relationship Id="rId144" Type="http://schemas.openxmlformats.org/officeDocument/2006/relationships/hyperlink" Target="http://ieeexplore.ieee.org/xpl/login.jsp?tp=&amp;arnumber=7464554&amp;url=http%3A%2F%2Fieeexplore.ieee.org%2Fxpls%2Fabs_all.jsp%3Farnumber%3D7464554" TargetMode="External"/><Relationship Id="rId265" Type="http://schemas.openxmlformats.org/officeDocument/2006/relationships/hyperlink" Target="http://www.sciencedirect.com/science/article/pii/S1877050915017809" TargetMode="External"/><Relationship Id="rId386" Type="http://schemas.openxmlformats.org/officeDocument/2006/relationships/hyperlink" Target="http://dl.acm.org/citation.cfm?id=2804387" TargetMode="External"/><Relationship Id="rId260" Type="http://schemas.openxmlformats.org/officeDocument/2006/relationships/hyperlink" Target="http://www.sciencedirect.com/science/article/pii/S0010482513001303" TargetMode="External"/><Relationship Id="rId381" Type="http://schemas.openxmlformats.org/officeDocument/2006/relationships/hyperlink" Target="http://dl.acm.org/citation.cfm?id=2184477" TargetMode="External"/><Relationship Id="rId380" Type="http://schemas.openxmlformats.org/officeDocument/2006/relationships/hyperlink" Target="http://dl.acm.org/citation.cfm?id=2441989" TargetMode="External"/><Relationship Id="rId139" Type="http://schemas.openxmlformats.org/officeDocument/2006/relationships/hyperlink" Target="http://ieeexplore.ieee.org/xpl/login.jsp?tp=&amp;arnumber=7041910&amp;url=http%3A%2F%2Fieeexplore.ieee.org%2Fxpls%2Fabs_all.jsp%3Farnumber%3D7041910" TargetMode="External"/><Relationship Id="rId138" Type="http://schemas.openxmlformats.org/officeDocument/2006/relationships/hyperlink" Target="http://ieeexplore.ieee.org/xpl/login.jsp?tp=&amp;arnumber=7424222&amp;url=http%3A%2F%2Fieeexplore.ieee.org%2Fxpls%2Fabs_all.jsp%3Farnumber%3D7424222" TargetMode="External"/><Relationship Id="rId259" Type="http://schemas.openxmlformats.org/officeDocument/2006/relationships/hyperlink" Target="http://www.sciencedirect.com/science/article/pii/S2213133716300191" TargetMode="External"/><Relationship Id="rId137" Type="http://schemas.openxmlformats.org/officeDocument/2006/relationships/hyperlink" Target="http://dl.acm.org/citation.cfm?id=2820588" TargetMode="External"/><Relationship Id="rId258" Type="http://schemas.openxmlformats.org/officeDocument/2006/relationships/hyperlink" Target="http://www.sciencedirect.com/science/article/pii/S0167739X15003143" TargetMode="External"/><Relationship Id="rId379" Type="http://schemas.openxmlformats.org/officeDocument/2006/relationships/hyperlink" Target="http://dl.acm.org/citation.cfm?id=2539011" TargetMode="External"/><Relationship Id="rId132" Type="http://schemas.openxmlformats.org/officeDocument/2006/relationships/hyperlink" Target="http://conferences.computer.org/icsme/2014/papers/6146a471.pdf" TargetMode="External"/><Relationship Id="rId253" Type="http://schemas.openxmlformats.org/officeDocument/2006/relationships/hyperlink" Target="http://www.sciencedirect.com/science/article/pii/S2213133716300014" TargetMode="External"/><Relationship Id="rId374" Type="http://schemas.openxmlformats.org/officeDocument/2006/relationships/hyperlink" Target="http://dl.acm.org/citation.cfm?id=2645717" TargetMode="External"/><Relationship Id="rId495" Type="http://schemas.openxmlformats.org/officeDocument/2006/relationships/hyperlink" Target="https://pure.fundp.ac.be/ws/files/7368337/BENEVOL_2013_Abstracts.pdf" TargetMode="External"/><Relationship Id="rId131" Type="http://schemas.openxmlformats.org/officeDocument/2006/relationships/hyperlink" Target="http://ieeexplore.ieee.org/xpl/login.jsp?tp=&amp;arnumber=7091328&amp;url=http%3A%2F%2Fieeexplore.ieee.org%2Fxpls%2Fabs_all.jsp%3Farnumber%3D7091328" TargetMode="External"/><Relationship Id="rId252" Type="http://schemas.openxmlformats.org/officeDocument/2006/relationships/hyperlink" Target="http://www.sciencedirect.com/science/article/pii/S0304397515008701" TargetMode="External"/><Relationship Id="rId373" Type="http://schemas.openxmlformats.org/officeDocument/2006/relationships/hyperlink" Target="http://dl.acm.org/citation.cfm?id=2797476" TargetMode="External"/><Relationship Id="rId494" Type="http://schemas.openxmlformats.org/officeDocument/2006/relationships/hyperlink" Target="http://esatjournals.net/ijret/2014v03/i04/IJRET20140304074.pdf" TargetMode="External"/><Relationship Id="rId130" Type="http://schemas.openxmlformats.org/officeDocument/2006/relationships/hyperlink" Target="http://ieeexplore.ieee.org/xpl/login.jsp?tp=&amp;arnumber=6529512&amp;url=http%3A%2F%2Fieeexplore.ieee.org%2Fxpls%2Fabs_all.jsp%3Farnumber%3D6529512" TargetMode="External"/><Relationship Id="rId251" Type="http://schemas.openxmlformats.org/officeDocument/2006/relationships/hyperlink" Target="http://www.sciencedirect.com/science/article/pii/S1568494616302393" TargetMode="External"/><Relationship Id="rId372" Type="http://schemas.openxmlformats.org/officeDocument/2006/relationships/hyperlink" Target="http://dl.acm.org/citation.cfm?id=2556833" TargetMode="External"/><Relationship Id="rId493" Type="http://schemas.openxmlformats.org/officeDocument/2006/relationships/hyperlink" Target="http://plg.uwaterloo.ca/~migod/846/2014-Winter/projects/JoseMadhur-CodeFollowing-report.pdf" TargetMode="External"/><Relationship Id="rId250" Type="http://schemas.openxmlformats.org/officeDocument/2006/relationships/hyperlink" Target="http://www.sciencedirect.com/science/article/pii/S0167947316301311" TargetMode="External"/><Relationship Id="rId371" Type="http://schemas.openxmlformats.org/officeDocument/2006/relationships/hyperlink" Target="http://dl.acm.org/citation.cfm?id=2903507" TargetMode="External"/><Relationship Id="rId492" Type="http://schemas.openxmlformats.org/officeDocument/2006/relationships/hyperlink" Target="http://dl.acm.org/citation.cfm?id=2664484" TargetMode="External"/><Relationship Id="rId136" Type="http://schemas.openxmlformats.org/officeDocument/2006/relationships/hyperlink" Target="https://www.semanticscholar.org/paper/Find-your-library-experts-Teyton-Falleri/b293a5077145b8f447d17c6ddf3fab3336acbb3d/pdf" TargetMode="External"/><Relationship Id="rId257" Type="http://schemas.openxmlformats.org/officeDocument/2006/relationships/hyperlink" Target="http://www.sciencedirect.com/science/article/pii/S2213133715000748" TargetMode="External"/><Relationship Id="rId378" Type="http://schemas.openxmlformats.org/officeDocument/2006/relationships/hyperlink" Target="http://dl.acm.org/citation.cfm?id=2597122" TargetMode="External"/><Relationship Id="rId499" Type="http://schemas.openxmlformats.org/officeDocument/2006/relationships/hyperlink" Target="http://link.springer.com/article/10.1007/s13278-014-0157-9" TargetMode="External"/><Relationship Id="rId135" Type="http://schemas.openxmlformats.org/officeDocument/2006/relationships/hyperlink" Target="http://homepage.usask.ca/~masud.rahman/papers/masud-SCAM2014-6148a285.pdf" TargetMode="External"/><Relationship Id="rId256" Type="http://schemas.openxmlformats.org/officeDocument/2006/relationships/hyperlink" Target="http://www.sciencedirect.com/science/article/pii/S1476927115301407" TargetMode="External"/><Relationship Id="rId377" Type="http://schemas.openxmlformats.org/officeDocument/2006/relationships/hyperlink" Target="http://dl.acm.org/citation.cfm?id=2627515" TargetMode="External"/><Relationship Id="rId498" Type="http://schemas.openxmlformats.org/officeDocument/2006/relationships/hyperlink" Target="http://dl.acm.org/citation.cfm?id=2662032" TargetMode="External"/><Relationship Id="rId134" Type="http://schemas.openxmlformats.org/officeDocument/2006/relationships/hyperlink" Target="http://dl.acm.org/citation.cfm?id=2820563" TargetMode="External"/><Relationship Id="rId255" Type="http://schemas.openxmlformats.org/officeDocument/2006/relationships/hyperlink" Target="http://www.gousios.gr/pub/peer-reviews-mixed-methods.pdf" TargetMode="External"/><Relationship Id="rId376" Type="http://schemas.openxmlformats.org/officeDocument/2006/relationships/hyperlink" Target="http://dl.acm.org/citation.cfm?id=2858219" TargetMode="External"/><Relationship Id="rId497" Type="http://schemas.openxmlformats.org/officeDocument/2006/relationships/hyperlink" Target="http://dl.acm.org/citation.cfm?id=2745805" TargetMode="External"/><Relationship Id="rId133" Type="http://schemas.openxmlformats.org/officeDocument/2006/relationships/hyperlink" Target="http://dl.acm.org/citation.cfm?id=2820556" TargetMode="External"/><Relationship Id="rId254" Type="http://schemas.openxmlformats.org/officeDocument/2006/relationships/hyperlink" Target="http://www.sciencedirect.com/science/article/pii/S0168169915003427" TargetMode="External"/><Relationship Id="rId375" Type="http://schemas.openxmlformats.org/officeDocument/2006/relationships/hyperlink" Target="http://dl.acm.org/citation.cfm?id=2851052" TargetMode="External"/><Relationship Id="rId496" Type="http://schemas.openxmlformats.org/officeDocument/2006/relationships/hyperlink" Target="http://dl.acm.org/citation.cfm?id=2666611" TargetMode="External"/><Relationship Id="rId172" Type="http://schemas.openxmlformats.org/officeDocument/2006/relationships/hyperlink" Target="http://dl.acm.org/citation.cfm?id=2889244" TargetMode="External"/><Relationship Id="rId293" Type="http://schemas.openxmlformats.org/officeDocument/2006/relationships/hyperlink" Target="http://www.sciencedirect.com/science/article/pii/S1476927115000481" TargetMode="External"/><Relationship Id="rId171" Type="http://schemas.openxmlformats.org/officeDocument/2006/relationships/hyperlink" Target="http://dl.acm.org/citation.cfm?id=2897660" TargetMode="External"/><Relationship Id="rId292" Type="http://schemas.openxmlformats.org/officeDocument/2006/relationships/hyperlink" Target="http://homepages.dcc.ufmg.br/~fernando/publications/papers/SBLP2010_rimsa.pdf" TargetMode="External"/><Relationship Id="rId170" Type="http://schemas.openxmlformats.org/officeDocument/2006/relationships/hyperlink" Target="http://dl.acm.org/citation.cfm?id=2897663" TargetMode="External"/><Relationship Id="rId291" Type="http://schemas.openxmlformats.org/officeDocument/2006/relationships/hyperlink" Target="http://www.sciencedirect.com/science/article/pii/S0010465515004579" TargetMode="External"/><Relationship Id="rId290" Type="http://schemas.openxmlformats.org/officeDocument/2006/relationships/hyperlink" Target="http://www.sciencedirect.com/science/article/pii/S0010465514001283" TargetMode="External"/><Relationship Id="rId165" Type="http://schemas.openxmlformats.org/officeDocument/2006/relationships/hyperlink" Target="http://www.sciencedirect.com/science/article/pii/S0950584915001688" TargetMode="External"/><Relationship Id="rId286" Type="http://schemas.openxmlformats.org/officeDocument/2006/relationships/hyperlink" Target="http://www.sciencedirect.com/science/article/pii/S1476927116300305" TargetMode="External"/><Relationship Id="rId164" Type="http://schemas.openxmlformats.org/officeDocument/2006/relationships/hyperlink" Target="http://search.ieice.org/bin/summary.php?id=e99-d_5_1304" TargetMode="External"/><Relationship Id="rId285" Type="http://schemas.openxmlformats.org/officeDocument/2006/relationships/hyperlink" Target="http://www.sciencedirect.com/science/article/pii/S0010465515004403" TargetMode="External"/><Relationship Id="rId163" Type="http://schemas.openxmlformats.org/officeDocument/2006/relationships/hyperlink" Target="http://ieeexplore.ieee.org/xpl/login.jsp?tp=&amp;arnumber=7372087&amp;url=http%3A%2F%2Fieeexplore.ieee.org%2Fxpls%2Fabs_all.jsp%3Farnumber%3D7372087" TargetMode="External"/><Relationship Id="rId284" Type="http://schemas.openxmlformats.org/officeDocument/2006/relationships/hyperlink" Target="http://www.sciencedirect.com/science/article/pii/S0306437915001672" TargetMode="External"/><Relationship Id="rId162" Type="http://schemas.openxmlformats.org/officeDocument/2006/relationships/hyperlink" Target="http://ieeexplore.ieee.org/xpl/login.jsp?tp=&amp;arnumber=6972100&amp;url=http%3A%2F%2Fieeexplore.ieee.org%2Fxpls%2Fabs_all.jsp%3Farnumber%3D6972100" TargetMode="External"/><Relationship Id="rId283" Type="http://schemas.openxmlformats.org/officeDocument/2006/relationships/hyperlink" Target="http://www.sciencedirect.com/science/article/pii/S2213133715000700" TargetMode="External"/><Relationship Id="rId169" Type="http://schemas.openxmlformats.org/officeDocument/2006/relationships/hyperlink" Target="http://link.springer.com/chapter/10.1007/978-3-319-42089-9_44" TargetMode="External"/><Relationship Id="rId168" Type="http://schemas.openxmlformats.org/officeDocument/2006/relationships/hyperlink" Target="http://link.springer.com/chapter/10.1007/978-3-662-49390-8_9" TargetMode="External"/><Relationship Id="rId289" Type="http://schemas.openxmlformats.org/officeDocument/2006/relationships/hyperlink" Target="http://www.sciencedirect.com/science/article/pii/S1093326315300565" TargetMode="External"/><Relationship Id="rId167" Type="http://schemas.openxmlformats.org/officeDocument/2006/relationships/hyperlink" Target="http://journals.plos.org/ploscompbiol/article?id=10.1371/journal.pcbi.1004668" TargetMode="External"/><Relationship Id="rId288" Type="http://schemas.openxmlformats.org/officeDocument/2006/relationships/hyperlink" Target="http://www.sciencedirect.com/science/article/pii/S1476927115301079" TargetMode="External"/><Relationship Id="rId166" Type="http://schemas.openxmlformats.org/officeDocument/2006/relationships/hyperlink" Target="http://www.sciencedirect.com/science/article/pii/S0950584916000069" TargetMode="External"/><Relationship Id="rId287" Type="http://schemas.openxmlformats.org/officeDocument/2006/relationships/hyperlink" Target="http://www.sciencedirect.com/science/article/pii/S0010465515003483" TargetMode="External"/><Relationship Id="rId161" Type="http://schemas.openxmlformats.org/officeDocument/2006/relationships/hyperlink" Target="http://ieeexplore.ieee.org/xpl/login.jsp?tp=&amp;arnumber=6376851&amp;url=http%3A%2F%2Fieeexplore.ieee.org%2Fxpls%2Fabs_all.jsp%3Farnumber%3D6376851" TargetMode="External"/><Relationship Id="rId282" Type="http://schemas.openxmlformats.org/officeDocument/2006/relationships/hyperlink" Target="http://www.sciencedirect.com/science/article/pii/S0031320315001181" TargetMode="External"/><Relationship Id="rId160" Type="http://schemas.openxmlformats.org/officeDocument/2006/relationships/hyperlink" Target="http://ieeexplore.ieee.org/xpl/login.jsp?tp=&amp;arnumber=7284592&amp;url=http%3A%2F%2Fieeexplore.ieee.org%2Fxpls%2Fabs_all.jsp%3Farnumber%3D7284592" TargetMode="External"/><Relationship Id="rId281" Type="http://schemas.openxmlformats.org/officeDocument/2006/relationships/hyperlink" Target="http://www.sciencedirect.com/science/article/pii/S0898122115003193" TargetMode="External"/><Relationship Id="rId280" Type="http://schemas.openxmlformats.org/officeDocument/2006/relationships/hyperlink" Target="http://www.sciencedirect.com/science/article/pii/S0010465516301060" TargetMode="External"/><Relationship Id="rId159" Type="http://schemas.openxmlformats.org/officeDocument/2006/relationships/hyperlink" Target="http://ieeexplore.ieee.org/xpl/login.jsp?tp=&amp;arnumber=7427649&amp;url=http%3A%2F%2Fieeexplore.ieee.org%2Fxpls%2Fabs_all.jsp%3Farnumber%3D7427649" TargetMode="External"/><Relationship Id="rId154" Type="http://schemas.openxmlformats.org/officeDocument/2006/relationships/hyperlink" Target="http://ieeexplore.ieee.org/xpl/login.jsp?tp=&amp;arnumber=7420687&amp;url=http%3A%2F%2Fieeexplore.ieee.org%2Fxpls%2Fabs_all.jsp%3Farnumber%3D7420687" TargetMode="External"/><Relationship Id="rId275" Type="http://schemas.openxmlformats.org/officeDocument/2006/relationships/hyperlink" Target="http://www.sciencedirect.com/science/article/pii/S1568494616300114" TargetMode="External"/><Relationship Id="rId396" Type="http://schemas.openxmlformats.org/officeDocument/2006/relationships/hyperlink" Target="http://dl.acm.org/citation.cfm?id=2568313" TargetMode="External"/><Relationship Id="rId153" Type="http://schemas.openxmlformats.org/officeDocument/2006/relationships/hyperlink" Target="http://ieeexplore.ieee.org/xpl/login.jsp?tp=&amp;arnumber=7170552&amp;url=http%3A%2F%2Fieeexplore.ieee.org%2Fxpls%2Fabs_all.jsp%3Farnumber%3D7170552" TargetMode="External"/><Relationship Id="rId274" Type="http://schemas.openxmlformats.org/officeDocument/2006/relationships/hyperlink" Target="http://www.sciencedirect.com/science/article/pii/S0167404815001972" TargetMode="External"/><Relationship Id="rId395" Type="http://schemas.openxmlformats.org/officeDocument/2006/relationships/hyperlink" Target="http://dl.acm.org/citation.cfm?id=2568260" TargetMode="External"/><Relationship Id="rId152" Type="http://schemas.openxmlformats.org/officeDocument/2006/relationships/hyperlink" Target="http://ieeexplore.ieee.org/xpl/login.jsp?tp=&amp;arnumber=6649842&amp;url=http%3A%2F%2Fieeexplore.ieee.org%2Fxpls%2Fabs_all.jsp%3Farnumber%3D6649842" TargetMode="External"/><Relationship Id="rId273" Type="http://schemas.openxmlformats.org/officeDocument/2006/relationships/hyperlink" Target="http://www.sciencedirect.com/science/article/pii/S0010465516301254" TargetMode="External"/><Relationship Id="rId394" Type="http://schemas.openxmlformats.org/officeDocument/2006/relationships/hyperlink" Target="http://dl.acm.org/citation.cfm?id=2884790" TargetMode="External"/><Relationship Id="rId151" Type="http://schemas.openxmlformats.org/officeDocument/2006/relationships/hyperlink" Target="http://ieeexplore.ieee.org/xpl/login.jsp?tp=&amp;arnumber=7467520&amp;url=http%3A%2F%2Fieeexplore.ieee.org%2Fxpls%2Fabs_all.jsp%3Farnumber%3D7467520" TargetMode="External"/><Relationship Id="rId272" Type="http://schemas.openxmlformats.org/officeDocument/2006/relationships/hyperlink" Target="http://www.sciencedirect.com/science/article/pii/S074771711300117X" TargetMode="External"/><Relationship Id="rId393" Type="http://schemas.openxmlformats.org/officeDocument/2006/relationships/hyperlink" Target="http://dl.acm.org/citation.cfm?id=2903500" TargetMode="External"/><Relationship Id="rId158" Type="http://schemas.openxmlformats.org/officeDocument/2006/relationships/hyperlink" Target="http://ieeexplore.ieee.org/xpl/login.jsp?tp=&amp;arnumber=7359735&amp;url=http%3A%2F%2Fieeexplore.ieee.org%2Fxpls%2Fabs_all.jsp%3Farnumber%3D7359735" TargetMode="External"/><Relationship Id="rId279" Type="http://schemas.openxmlformats.org/officeDocument/2006/relationships/hyperlink" Target="http://www.sciencedirect.com/science/article/pii/S2213133714000687" TargetMode="External"/><Relationship Id="rId157" Type="http://schemas.openxmlformats.org/officeDocument/2006/relationships/hyperlink" Target="http://dl.acm.org/citation.cfm?id=2820562" TargetMode="External"/><Relationship Id="rId278" Type="http://schemas.openxmlformats.org/officeDocument/2006/relationships/hyperlink" Target="http://www.sciencedirect.com/science/article/pii/S0010465516300030" TargetMode="External"/><Relationship Id="rId399" Type="http://schemas.openxmlformats.org/officeDocument/2006/relationships/hyperlink" Target="http://dl.acm.org/citation.cfm?id=2660435" TargetMode="External"/><Relationship Id="rId156" Type="http://schemas.openxmlformats.org/officeDocument/2006/relationships/hyperlink" Target="http://goldberg.berkeley.edu/pubs/icra16-submitted-Dex-Net.pdf" TargetMode="External"/><Relationship Id="rId277" Type="http://schemas.openxmlformats.org/officeDocument/2006/relationships/hyperlink" Target="http://www.sciencedirect.com/science/article/pii/S1361372315300944" TargetMode="External"/><Relationship Id="rId398" Type="http://schemas.openxmlformats.org/officeDocument/2006/relationships/hyperlink" Target="http://dl.acm.org/citation.cfm?id=2820588" TargetMode="External"/><Relationship Id="rId155" Type="http://schemas.openxmlformats.org/officeDocument/2006/relationships/hyperlink" Target="http://ieeexplore.ieee.org/xpl/login.jsp?tp=&amp;arnumber=7081875&amp;url=http%3A%2F%2Fieeexplore.ieee.org%2Fxpls%2Fabs_all.jsp%3Farnumber%3D7081875" TargetMode="External"/><Relationship Id="rId276" Type="http://schemas.openxmlformats.org/officeDocument/2006/relationships/hyperlink" Target="http://www.sciencedirect.com/science/article/pii/S0169260713001788" TargetMode="External"/><Relationship Id="rId397" Type="http://schemas.openxmlformats.org/officeDocument/2006/relationships/hyperlink" Target="http://dl.acm.org/citation.cfm?id=2597132" TargetMode="External"/><Relationship Id="rId40" Type="http://schemas.openxmlformats.org/officeDocument/2006/relationships/hyperlink" Target="http://ieeexplore.ieee.org/xpls/abs_all.jsp?arnumber=7365153" TargetMode="External"/><Relationship Id="rId42" Type="http://schemas.openxmlformats.org/officeDocument/2006/relationships/hyperlink" Target="http://ieeexplore.ieee.org/stamp/stamp.jsp?arnumber=6637537" TargetMode="External"/><Relationship Id="rId41" Type="http://schemas.openxmlformats.org/officeDocument/2006/relationships/hyperlink" Target="http://ieeexplore.ieee.org/xpls/abs_all.jsp?arnumber=6754343" TargetMode="External"/><Relationship Id="rId44" Type="http://schemas.openxmlformats.org/officeDocument/2006/relationships/hyperlink" Target="http://ieeexplore.ieee.org/xpls/abs_all.jsp?arnumber=7332512" TargetMode="External"/><Relationship Id="rId43" Type="http://schemas.openxmlformats.org/officeDocument/2006/relationships/hyperlink" Target="http://ieeexplore.ieee.org/xpls/abs_all.jsp?arnumber=7022684" TargetMode="External"/><Relationship Id="rId46" Type="http://schemas.openxmlformats.org/officeDocument/2006/relationships/hyperlink" Target="http://www.win.tue.nl/~aserebre/SANER2016Tamara.pdf" TargetMode="External"/><Relationship Id="rId45" Type="http://schemas.openxmlformats.org/officeDocument/2006/relationships/hyperlink" Target="https://infoscience.epfl.ch/record/212799" TargetMode="External"/><Relationship Id="rId509" Type="http://schemas.openxmlformats.org/officeDocument/2006/relationships/hyperlink" Target="http://dare.uva.nl/cgi/arno/show.cgi?fid=546651" TargetMode="External"/><Relationship Id="rId508" Type="http://schemas.openxmlformats.org/officeDocument/2006/relationships/hyperlink" Target="http://ieeexplore.ieee.org/xpl/login.jsp?tp=&amp;arnumber=7332512&amp;url=http%3A%2F%2Fieeexplore.ieee.org%2Fxpls%2Fabs_all.jsp%3Farnumber%3D7332512" TargetMode="External"/><Relationship Id="rId503" Type="http://schemas.openxmlformats.org/officeDocument/2006/relationships/hyperlink" Target="http://ieeexplore.ieee.org/xpl/login.jsp?tp=&amp;arnumber=6614733&amp;url=http%3A%2F%2Fieeexplore.ieee.org%2Fxpls%2Fabs_all.jsp%3Farnumber%3D6614733" TargetMode="External"/><Relationship Id="rId502" Type="http://schemas.openxmlformats.org/officeDocument/2006/relationships/hyperlink" Target="http://dl.acm.org/citation.cfm?id=2695884" TargetMode="External"/><Relationship Id="rId501" Type="http://schemas.openxmlformats.org/officeDocument/2006/relationships/hyperlink" Target="http://dl.acm.org/citation.cfm?id=2695856" TargetMode="External"/><Relationship Id="rId500" Type="http://schemas.openxmlformats.org/officeDocument/2006/relationships/hyperlink" Target="http://dl.acm.org/citation.cfm?id=2487127" TargetMode="External"/><Relationship Id="rId507" Type="http://schemas.openxmlformats.org/officeDocument/2006/relationships/hyperlink" Target="http://repository.tudelft.nl/assets/uuid:ff7acb60-a3e9-4f72-9c8d-bc65398d8d6a/thesis.pdf" TargetMode="External"/><Relationship Id="rId506" Type="http://schemas.openxmlformats.org/officeDocument/2006/relationships/hyperlink" Target="http://jisajournal.springeropen.com/articles/10.1186/s13174-015-0032-6" TargetMode="External"/><Relationship Id="rId505" Type="http://schemas.openxmlformats.org/officeDocument/2006/relationships/hyperlink" Target="http://link.springer.com/article/10.1007/s11390-015-1577-3" TargetMode="External"/><Relationship Id="rId504" Type="http://schemas.openxmlformats.org/officeDocument/2006/relationships/hyperlink" Target="http://dl.acm.org/citation.cfm?id=2593887" TargetMode="External"/><Relationship Id="rId48" Type="http://schemas.openxmlformats.org/officeDocument/2006/relationships/hyperlink" Target="http://ieeexplore.ieee.org/xpls/abs_all.jsp?arnumber=6456216" TargetMode="External"/><Relationship Id="rId47" Type="http://schemas.openxmlformats.org/officeDocument/2006/relationships/hyperlink" Target="http://ieeexplore.ieee.org/xpls/abs_all.jsp?arnumber=7260989" TargetMode="External"/><Relationship Id="rId49" Type="http://schemas.openxmlformats.org/officeDocument/2006/relationships/hyperlink" Target="https://www.computer.org/csdl/trans/ts/preprint/07498605-abs.html" TargetMode="External"/><Relationship Id="rId31" Type="http://schemas.openxmlformats.org/officeDocument/2006/relationships/hyperlink" Target="http://ieeexplore.ieee.org/xpls/abs_all.jsp?arnumber=7231398" TargetMode="External"/><Relationship Id="rId30" Type="http://schemas.openxmlformats.org/officeDocument/2006/relationships/hyperlink" Target="http://ieeexplore.ieee.org/xpls/abs_all.jsp?arnumber=6969484" TargetMode="External"/><Relationship Id="rId33" Type="http://schemas.openxmlformats.org/officeDocument/2006/relationships/hyperlink" Target="http://ieeexplore.ieee.org/xpls/abs_all.jsp?arnumber=7091329&amp;tag=1" TargetMode="External"/><Relationship Id="rId32" Type="http://schemas.openxmlformats.org/officeDocument/2006/relationships/hyperlink" Target="http://ieeexplore.ieee.org/xpls/abs_all.jsp?arnumber=6511892" TargetMode="External"/><Relationship Id="rId35" Type="http://schemas.openxmlformats.org/officeDocument/2006/relationships/hyperlink" Target="http://ieeexplore.ieee.org/xpl/articleDetails.jsp?reload=true&amp;arnumber=7165956" TargetMode="External"/><Relationship Id="rId34" Type="http://schemas.openxmlformats.org/officeDocument/2006/relationships/hyperlink" Target="http://dl.acm.org/citation.cfm?id=2818800" TargetMode="External"/><Relationship Id="rId37" Type="http://schemas.openxmlformats.org/officeDocument/2006/relationships/hyperlink" Target="http://ieeexplore.ieee.org/xpls/abs_all.jsp?arnumber=6747223" TargetMode="External"/><Relationship Id="rId36" Type="http://schemas.openxmlformats.org/officeDocument/2006/relationships/hyperlink" Target="http://dl.acm.org/citation.cfm?id=2635922" TargetMode="External"/><Relationship Id="rId39" Type="http://schemas.openxmlformats.org/officeDocument/2006/relationships/hyperlink" Target="http://ieeexplore.ieee.org/xpls/abs_all.jsp?arnumber=6401114" TargetMode="External"/><Relationship Id="rId38" Type="http://schemas.openxmlformats.org/officeDocument/2006/relationships/hyperlink" Target="http://ieeexplore.ieee.org/xpls/abs_all.jsp?arnumber=6607694" TargetMode="External"/><Relationship Id="rId20" Type="http://schemas.openxmlformats.org/officeDocument/2006/relationships/hyperlink" Target="https://www.researchgate.net/publication/265258816_How_do_you_Feel_Today_Buggy" TargetMode="External"/><Relationship Id="rId22" Type="http://schemas.openxmlformats.org/officeDocument/2006/relationships/hyperlink" Target="http://www.cs.wm.edu/~denys/pubs/ICPC'15-LicensingStudyGitHub-CRC.pdf" TargetMode="External"/><Relationship Id="rId21" Type="http://schemas.openxmlformats.org/officeDocument/2006/relationships/hyperlink" Target="http://ieeexplore.ieee.org/xpls/abs_all.jsp?arnumber=6844717" TargetMode="External"/><Relationship Id="rId24" Type="http://schemas.openxmlformats.org/officeDocument/2006/relationships/hyperlink" Target="http://ieeexplore.ieee.org/xpl/articleDetails.jsp?reload=true&amp;arnumber=7328331" TargetMode="External"/><Relationship Id="rId23" Type="http://schemas.openxmlformats.org/officeDocument/2006/relationships/hyperlink" Target="http://dl.acm.org/citation.cfm?id=2486844" TargetMode="External"/><Relationship Id="rId409" Type="http://schemas.openxmlformats.org/officeDocument/2006/relationships/hyperlink" Target="http://dl.acm.org/citation.cfm?id=2896833" TargetMode="External"/><Relationship Id="rId404" Type="http://schemas.openxmlformats.org/officeDocument/2006/relationships/hyperlink" Target="http://dl.acm.org/citation.cfm?id=2141583" TargetMode="External"/><Relationship Id="rId525" Type="http://schemas.openxmlformats.org/officeDocument/2006/relationships/hyperlink" Target="http://dl.acm.org/citation.cfm?id=2804388" TargetMode="External"/><Relationship Id="rId403" Type="http://schemas.openxmlformats.org/officeDocument/2006/relationships/hyperlink" Target="http://dl.acm.org/citation.cfm?id=2801066" TargetMode="External"/><Relationship Id="rId524" Type="http://schemas.openxmlformats.org/officeDocument/2006/relationships/hyperlink" Target="http://link.springer.com/chapter/10.1007/978-3-319-17837-0_4" TargetMode="External"/><Relationship Id="rId402" Type="http://schemas.openxmlformats.org/officeDocument/2006/relationships/hyperlink" Target="http://dl.acm.org/citation.cfm?id=2901748" TargetMode="External"/><Relationship Id="rId523" Type="http://schemas.openxmlformats.org/officeDocument/2006/relationships/hyperlink" Target="http://l3d.cs.colorado.edu/~yunwen/papers/ICSE03.pdf" TargetMode="External"/><Relationship Id="rId401" Type="http://schemas.openxmlformats.org/officeDocument/2006/relationships/hyperlink" Target="http://dl.acm.org/citation.cfm?id=2893422" TargetMode="External"/><Relationship Id="rId522" Type="http://schemas.openxmlformats.org/officeDocument/2006/relationships/hyperlink" Target="http://dl.acm.org/citation.cfm?id=1882370" TargetMode="External"/><Relationship Id="rId408" Type="http://schemas.openxmlformats.org/officeDocument/2006/relationships/hyperlink" Target="http://dl.acm.org/citation.cfm?id=2460716" TargetMode="External"/><Relationship Id="rId529" Type="http://schemas.openxmlformats.org/officeDocument/2006/relationships/hyperlink" Target="http://dl.acm.org/citation.cfm?id=2786849" TargetMode="External"/><Relationship Id="rId407" Type="http://schemas.openxmlformats.org/officeDocument/2006/relationships/hyperlink" Target="http://dl.acm.org/citation.cfm?id=2896827" TargetMode="External"/><Relationship Id="rId528" Type="http://schemas.openxmlformats.org/officeDocument/2006/relationships/hyperlink" Target="http://dl.acm.org/citation.cfm?id=2593732" TargetMode="External"/><Relationship Id="rId406" Type="http://schemas.openxmlformats.org/officeDocument/2006/relationships/hyperlink" Target="http://dl.acm.org/citation.cfm?id=2677287" TargetMode="External"/><Relationship Id="rId527" Type="http://schemas.openxmlformats.org/officeDocument/2006/relationships/hyperlink" Target="http://dl.acm.org/citation.cfm?id=1984706" TargetMode="External"/><Relationship Id="rId405" Type="http://schemas.openxmlformats.org/officeDocument/2006/relationships/hyperlink" Target="http://dl.acm.org/citation.cfm?id=2786827" TargetMode="External"/><Relationship Id="rId526" Type="http://schemas.openxmlformats.org/officeDocument/2006/relationships/hyperlink" Target="http://dl.acm.org/citation.cfm?id=2025139" TargetMode="External"/><Relationship Id="rId26" Type="http://schemas.openxmlformats.org/officeDocument/2006/relationships/hyperlink" Target="http://ieeexplore.ieee.org/xpl/articleDetails.jsp?reload=true&amp;arnumber=6614751" TargetMode="External"/><Relationship Id="rId25" Type="http://schemas.openxmlformats.org/officeDocument/2006/relationships/hyperlink" Target="http://ieeexplore.ieee.org/stamp/stamp.jsp?arnumber=7384720" TargetMode="External"/><Relationship Id="rId28" Type="http://schemas.openxmlformats.org/officeDocument/2006/relationships/hyperlink" Target="http://ieeexplore.ieee.org/xpls/abs_all.jsp?arnumber=7359904" TargetMode="External"/><Relationship Id="rId27" Type="http://schemas.openxmlformats.org/officeDocument/2006/relationships/hyperlink" Target="http://ieeexplore.ieee.org/xpls/abs_all.jsp?arnumber=7332503" TargetMode="External"/><Relationship Id="rId400" Type="http://schemas.openxmlformats.org/officeDocument/2006/relationships/hyperlink" Target="http://dl.acm.org/citation.cfm?id=2652565" TargetMode="External"/><Relationship Id="rId521" Type="http://schemas.openxmlformats.org/officeDocument/2006/relationships/hyperlink" Target="http://dl.acm.org/citation.cfm?id=2441791" TargetMode="External"/><Relationship Id="rId29" Type="http://schemas.openxmlformats.org/officeDocument/2006/relationships/hyperlink" Target="http://ieeexplore.ieee.org/xpl/articleDetails.jsp?reload=true&amp;arnumber=6840816" TargetMode="External"/><Relationship Id="rId520" Type="http://schemas.openxmlformats.org/officeDocument/2006/relationships/hyperlink" Target="http://dl.acm.org/citation.cfm?id=2641590" TargetMode="External"/><Relationship Id="rId11" Type="http://schemas.openxmlformats.org/officeDocument/2006/relationships/hyperlink" Target="http://dl.acm.org/citation.cfm?id=2818846" TargetMode="External"/><Relationship Id="rId10" Type="http://schemas.openxmlformats.org/officeDocument/2006/relationships/hyperlink" Target="http://dl.acm.org/citation.cfm?id=2492627" TargetMode="External"/><Relationship Id="rId13" Type="http://schemas.openxmlformats.org/officeDocument/2006/relationships/hyperlink" Target="http://ieeexplore.ieee.org/xpls/abs_all.jsp?arnumber=7439331&amp;tag=1" TargetMode="External"/><Relationship Id="rId12" Type="http://schemas.openxmlformats.org/officeDocument/2006/relationships/hyperlink" Target="http://ieeexplore.ieee.org/xpls/abs_all.jsp?arnumber=6754372" TargetMode="External"/><Relationship Id="rId519" Type="http://schemas.openxmlformats.org/officeDocument/2006/relationships/hyperlink" Target="http://dl.acm.org/citation.cfm?id=2819340" TargetMode="External"/><Relationship Id="rId514" Type="http://schemas.openxmlformats.org/officeDocument/2006/relationships/hyperlink" Target="http://citeseerx.ist.psu.edu/viewdoc/download?doi=10.1.1.701.9465&amp;rep=rep1&amp;type=pdf" TargetMode="External"/><Relationship Id="rId513" Type="http://schemas.openxmlformats.org/officeDocument/2006/relationships/hyperlink" Target="http://webdocs.cs.ualberta.ca/~hindle1/2014/musiccoders/" TargetMode="External"/><Relationship Id="rId512" Type="http://schemas.openxmlformats.org/officeDocument/2006/relationships/hyperlink" Target="https://open.library.ubc.ca/collections/ubctheses/24/items/1.0166565" TargetMode="External"/><Relationship Id="rId511" Type="http://schemas.openxmlformats.org/officeDocument/2006/relationships/hyperlink" Target="http://veprints.unica.it/1106/" TargetMode="External"/><Relationship Id="rId518" Type="http://schemas.openxmlformats.org/officeDocument/2006/relationships/hyperlink" Target="http://dl.acm.org/citation.cfm?id=2786826" TargetMode="External"/><Relationship Id="rId517" Type="http://schemas.openxmlformats.org/officeDocument/2006/relationships/hyperlink" Target="https://www.semanticscholar.org/paper/Assessing-the-Use-of-Eclipse-MDE-Technologies-in-Kolovos-Matragkas/7f9a735742caca4110c1e856b871e52106f2d3bd/pdf" TargetMode="External"/><Relationship Id="rId516" Type="http://schemas.openxmlformats.org/officeDocument/2006/relationships/hyperlink" Target="http://dl.acm.org/citation.cfm?id=2804382" TargetMode="External"/><Relationship Id="rId515" Type="http://schemas.openxmlformats.org/officeDocument/2006/relationships/hyperlink" Target="http://dl.acm.org/citation.cfm?id=2666604" TargetMode="External"/><Relationship Id="rId15" Type="http://schemas.openxmlformats.org/officeDocument/2006/relationships/hyperlink" Target="http://ieeexplore.ieee.org/stamp/stamp.jsp?arnumber=6820349" TargetMode="External"/><Relationship Id="rId14" Type="http://schemas.openxmlformats.org/officeDocument/2006/relationships/hyperlink" Target="http://ieeexplore.ieee.org/stamp/stamp.jsp?arnumber=7180096" TargetMode="External"/><Relationship Id="rId17" Type="http://schemas.openxmlformats.org/officeDocument/2006/relationships/hyperlink" Target="http://ieeexplore.ieee.org/xpls/abs_all.jsp?arnumber=6759007" TargetMode="External"/><Relationship Id="rId16" Type="http://schemas.openxmlformats.org/officeDocument/2006/relationships/hyperlink" Target="https://www.researchgate.net/publication/271467664_An_open_source_tool_to_estimate_mass_and_efficiency_of_wind_turbine_power_take-off_systems" TargetMode="External"/><Relationship Id="rId19" Type="http://schemas.openxmlformats.org/officeDocument/2006/relationships/hyperlink" Target="http://ieeexplore.ieee.org/xpls/abs_all.jsp?arnumber=7133990" TargetMode="External"/><Relationship Id="rId510" Type="http://schemas.openxmlformats.org/officeDocument/2006/relationships/hyperlink" Target="http://plg.uwaterloo.ca/~migod/846/2014-Winter/projects/Aaron-OSSsecurityVulnerabilities-report.pdf" TargetMode="External"/><Relationship Id="rId18" Type="http://schemas.openxmlformats.org/officeDocument/2006/relationships/hyperlink" Target="http://ieeexplore.ieee.org/xpl/articleDetails.jsp?reload=true&amp;arnumber=7059515" TargetMode="External"/><Relationship Id="rId84" Type="http://schemas.openxmlformats.org/officeDocument/2006/relationships/hyperlink" Target="http://ieeexplore.ieee.org/xpl/articleDetails.jsp?tp=&amp;arnumber=7053796" TargetMode="External"/><Relationship Id="rId83" Type="http://schemas.openxmlformats.org/officeDocument/2006/relationships/hyperlink" Target="http://ieeexplore.ieee.org/xpls/abs_all.jsp?arnumber=6958396" TargetMode="External"/><Relationship Id="rId86" Type="http://schemas.openxmlformats.org/officeDocument/2006/relationships/hyperlink" Target="http://ieeexplore.ieee.org/xpls/abs_all.jsp?arnumber=7107198" TargetMode="External"/><Relationship Id="rId85" Type="http://schemas.openxmlformats.org/officeDocument/2006/relationships/hyperlink" Target="http://ieeexplore.ieee.org/xpls/abs_all.jsp?arnumber=6698918" TargetMode="External"/><Relationship Id="rId88" Type="http://schemas.openxmlformats.org/officeDocument/2006/relationships/hyperlink" Target="http://dl.acm.org/citation.cfm?id=2820599" TargetMode="External"/><Relationship Id="rId87" Type="http://schemas.openxmlformats.org/officeDocument/2006/relationships/hyperlink" Target="http://ieeexplore.ieee.org/xpls/abs_all.jsp?arnumber=7476684" TargetMode="External"/><Relationship Id="rId89" Type="http://schemas.openxmlformats.org/officeDocument/2006/relationships/hyperlink" Target="http://dl.acm.org/citation.cfm?id=2486964" TargetMode="External"/><Relationship Id="rId80" Type="http://schemas.openxmlformats.org/officeDocument/2006/relationships/hyperlink" Target="http://cs.brown.edu/~spr/codebubbles/rebusdemoicsmfinal.pdf" TargetMode="External"/><Relationship Id="rId82" Type="http://schemas.openxmlformats.org/officeDocument/2006/relationships/hyperlink" Target="http://ieeexplore.ieee.org/xpl/articleDetails.jsp?reload=true&amp;arnumber=7180067" TargetMode="External"/><Relationship Id="rId81" Type="http://schemas.openxmlformats.org/officeDocument/2006/relationships/hyperlink" Target="https://git-scm.com/" TargetMode="External"/><Relationship Id="rId73" Type="http://schemas.openxmlformats.org/officeDocument/2006/relationships/hyperlink" Target="http://www.ncbi.nlm.nih.gov/pubmed/26841406" TargetMode="External"/><Relationship Id="rId72" Type="http://schemas.openxmlformats.org/officeDocument/2006/relationships/hyperlink" Target="https://www.computer.org/csdl/proceedings/iwesep/2016/1851/00/1851a007.pdf" TargetMode="External"/><Relationship Id="rId75" Type="http://schemas.openxmlformats.org/officeDocument/2006/relationships/hyperlink" Target="http://ieeexplore.ieee.org/stamp/stamp.jsp?arnumber=7467291" TargetMode="External"/><Relationship Id="rId74" Type="http://schemas.openxmlformats.org/officeDocument/2006/relationships/hyperlink" Target="http://ieeexplore.ieee.org/xpls/abs_all.jsp?arnumber=7467283" TargetMode="External"/><Relationship Id="rId77" Type="http://schemas.openxmlformats.org/officeDocument/2006/relationships/hyperlink" Target="http://ieeexplore.ieee.org/xpls/abs_all.jsp?arnumber=7371992" TargetMode="External"/><Relationship Id="rId76" Type="http://schemas.openxmlformats.org/officeDocument/2006/relationships/hyperlink" Target="http://ieeexplore.ieee.org/xpls/abs_all.jsp?arnumber=7217084" TargetMode="External"/><Relationship Id="rId79" Type="http://schemas.openxmlformats.org/officeDocument/2006/relationships/hyperlink" Target="http://ieeexplore.ieee.org/stamp/stamp.jsp?arnumber=7330171" TargetMode="External"/><Relationship Id="rId78" Type="http://schemas.openxmlformats.org/officeDocument/2006/relationships/hyperlink" Target="http://ieeexplore.ieee.org/xpls/abs_all.jsp?arnumber=6903710" TargetMode="External"/><Relationship Id="rId71" Type="http://schemas.openxmlformats.org/officeDocument/2006/relationships/hyperlink" Target="http://thomas-zimmermann.com/publications/files/kochhar-icst-2015.pdf" TargetMode="External"/><Relationship Id="rId70" Type="http://schemas.openxmlformats.org/officeDocument/2006/relationships/hyperlink" Target="http://ieeexplore.ieee.org/xpls/abs_all.jsp?arnumber=7486327" TargetMode="External"/><Relationship Id="rId62" Type="http://schemas.openxmlformats.org/officeDocument/2006/relationships/hyperlink" Target="http://ieeexplore.ieee.org/xpls/abs_all.jsp?arnumber=7465763" TargetMode="External"/><Relationship Id="rId61" Type="http://schemas.openxmlformats.org/officeDocument/2006/relationships/hyperlink" Target="http://dl.acm.org/citation.cfm?id=2820536" TargetMode="External"/><Relationship Id="rId64" Type="http://schemas.openxmlformats.org/officeDocument/2006/relationships/hyperlink" Target="http://ieeexplore.ieee.org/xpls/abs_all.jsp?arnumber=7081860" TargetMode="External"/><Relationship Id="rId63" Type="http://schemas.openxmlformats.org/officeDocument/2006/relationships/hyperlink" Target="http://ieeexplore.ieee.org/xpls/abs_all.jsp?arnumber=7081872" TargetMode="External"/><Relationship Id="rId66" Type="http://schemas.openxmlformats.org/officeDocument/2006/relationships/hyperlink" Target="https://www.computer.org/csdl/proceedings/ewsdn/2015/0180/00/0180a103.pdf" TargetMode="External"/><Relationship Id="rId65" Type="http://schemas.openxmlformats.org/officeDocument/2006/relationships/hyperlink" Target="http://dl.acm.org/citation.cfm?id=2820601" TargetMode="External"/><Relationship Id="rId68" Type="http://schemas.openxmlformats.org/officeDocument/2006/relationships/hyperlink" Target="http://ieeexplore.ieee.org/stamp/stamp.jsp?arnumber=7356005" TargetMode="External"/><Relationship Id="rId67" Type="http://schemas.openxmlformats.org/officeDocument/2006/relationships/hyperlink" Target="http://dl.acm.org/citation.cfm?id=2820539" TargetMode="External"/><Relationship Id="rId60" Type="http://schemas.openxmlformats.org/officeDocument/2006/relationships/hyperlink" Target="http://delivery.acm.org/10.1145/2490000/2487131/p229-wagstrom.pdf?ip=213.73.39.43&amp;id=2487131&amp;acc=ACTIVE%20SERVICE&amp;key=DD1EC5BCF38B3699%2E47238C40243806F7%2E4D4702B0C3E38B35%2E4D4702B0C3E38B35&amp;CFID=813132304&amp;CFTOKEN=98112896&amp;__acm__=1468597926_0801bbce2dda19875e13dc47c3822918" TargetMode="External"/><Relationship Id="rId69" Type="http://schemas.openxmlformats.org/officeDocument/2006/relationships/hyperlink" Target="http://ieeexplore.ieee.org/xpls/abs_all.jsp?arnumber=6822323" TargetMode="External"/><Relationship Id="rId51" Type="http://schemas.openxmlformats.org/officeDocument/2006/relationships/hyperlink" Target="http://ieeexplore.ieee.org/xpls/abs_all.jsp?arnumber=6008868" TargetMode="External"/><Relationship Id="rId50" Type="http://schemas.openxmlformats.org/officeDocument/2006/relationships/hyperlink" Target="https://www.computer.org/csdl/mags/so/2015/06/mso2015060004.pdf" TargetMode="External"/><Relationship Id="rId53" Type="http://schemas.openxmlformats.org/officeDocument/2006/relationships/hyperlink" Target="http://ieeexplore.ieee.org/xpl/articleDetails.jsp?reload=true&amp;arnumber=7388026" TargetMode="External"/><Relationship Id="rId52" Type="http://schemas.openxmlformats.org/officeDocument/2006/relationships/hyperlink" Target="http://ieeexplore.ieee.org/xpl/articleDetails.jsp?reload=true&amp;arnumber=7314657" TargetMode="External"/><Relationship Id="rId55" Type="http://schemas.openxmlformats.org/officeDocument/2006/relationships/hyperlink" Target="http://ieeexplore.ieee.org/xpls/abs_all.jsp?arnumber=6577695" TargetMode="External"/><Relationship Id="rId54" Type="http://schemas.openxmlformats.org/officeDocument/2006/relationships/hyperlink" Target="http://ieeexplore.ieee.org/xpls/abs_all.jsp?arnumber=7388096" TargetMode="External"/><Relationship Id="rId57" Type="http://schemas.openxmlformats.org/officeDocument/2006/relationships/hyperlink" Target="https://arxiv.org/abs/1604.06766" TargetMode="External"/><Relationship Id="rId56" Type="http://schemas.openxmlformats.org/officeDocument/2006/relationships/hyperlink" Target="http://ieeexplore.ieee.org/stamp/stamp.jsp?arnumber=7070450" TargetMode="External"/><Relationship Id="rId59" Type="http://schemas.openxmlformats.org/officeDocument/2006/relationships/hyperlink" Target="http://ieeexplore.ieee.org/xpls/abs_all.jsp?arnumber=7012040" TargetMode="External"/><Relationship Id="rId58" Type="http://schemas.openxmlformats.org/officeDocument/2006/relationships/hyperlink" Target="http://ieeexplore.ieee.org/xpls/abs_all.jsp?arnumber=7172456" TargetMode="External"/><Relationship Id="rId107" Type="http://schemas.openxmlformats.org/officeDocument/2006/relationships/hyperlink" Target="http://ieeexplore.ieee.org/xpl/articleDetails.jsp?reload=true&amp;arnumber=7372311" TargetMode="External"/><Relationship Id="rId228" Type="http://schemas.openxmlformats.org/officeDocument/2006/relationships/hyperlink" Target="http://dl.acm.org/citation.cfm?id=2635882" TargetMode="External"/><Relationship Id="rId349" Type="http://schemas.openxmlformats.org/officeDocument/2006/relationships/hyperlink" Target="http://gigascience.biomedcentral.com/articles/10.1186/2047-217X-2-3" TargetMode="External"/><Relationship Id="rId106" Type="http://schemas.openxmlformats.org/officeDocument/2006/relationships/hyperlink" Target="http://ieeexplore.ieee.org/xpls/abs_all.jsp?arnumber=7503736" TargetMode="External"/><Relationship Id="rId227" Type="http://schemas.openxmlformats.org/officeDocument/2006/relationships/hyperlink" Target="http://dl.acm.org/citation.cfm?id=2666572" TargetMode="External"/><Relationship Id="rId348" Type="http://schemas.openxmlformats.org/officeDocument/2006/relationships/hyperlink" Target="http://dl.acm.org/citation.cfm?id=2643002" TargetMode="External"/><Relationship Id="rId469" Type="http://schemas.openxmlformats.org/officeDocument/2006/relationships/hyperlink" Target="http://adsabs.harvard.edu/abs/2016EGUGA..18.6574S" TargetMode="External"/><Relationship Id="rId105" Type="http://schemas.openxmlformats.org/officeDocument/2006/relationships/hyperlink" Target="http://ieeexplore.ieee.org/xpls/abs_all.jsp?arnumber=6693332" TargetMode="External"/><Relationship Id="rId226" Type="http://schemas.openxmlformats.org/officeDocument/2006/relationships/hyperlink" Target="http://dl.acm.org/citation.cfm?id=2666571" TargetMode="External"/><Relationship Id="rId347" Type="http://schemas.openxmlformats.org/officeDocument/2006/relationships/hyperlink" Target="http://journal.ub.tu-berlin.de/eceasst/article/view/799" TargetMode="External"/><Relationship Id="rId468" Type="http://schemas.openxmlformats.org/officeDocument/2006/relationships/hyperlink" Target="http://ryosuzuki.org/working-paper.pdf" TargetMode="External"/><Relationship Id="rId104" Type="http://schemas.openxmlformats.org/officeDocument/2006/relationships/hyperlink" Target="http://ieeexplore.ieee.org/xpl/articleDetails.jsp?reload=true&amp;arnumber=7194607" TargetMode="External"/><Relationship Id="rId225" Type="http://schemas.openxmlformats.org/officeDocument/2006/relationships/hyperlink" Target="http://dl.acm.org/citation.cfm?id=2666570" TargetMode="External"/><Relationship Id="rId346" Type="http://schemas.openxmlformats.org/officeDocument/2006/relationships/hyperlink" Target="http://journals.plos.org/plosone/article?id=10.1371/journal.pone.0093379" TargetMode="External"/><Relationship Id="rId467" Type="http://schemas.openxmlformats.org/officeDocument/2006/relationships/hyperlink" Target="http://www.orgdna.net/wp-content/uploads/2015/07/Evolution-of-Digital-Artifacts.pdf" TargetMode="External"/><Relationship Id="rId109" Type="http://schemas.openxmlformats.org/officeDocument/2006/relationships/hyperlink" Target="http://ieeexplore.ieee.org/xpl/login.jsp?tp=&amp;arnumber=7203066&amp;url=http%3A%2F%2Fieeexplore.ieee.org%2Fxpls%2Fabs_all.jsp%3Farnumber%3D7203066" TargetMode="External"/><Relationship Id="rId108" Type="http://schemas.openxmlformats.org/officeDocument/2006/relationships/hyperlink" Target="http://ieeexplore.ieee.org/stamp/stamp.jsp?arnumber=6651038" TargetMode="External"/><Relationship Id="rId229" Type="http://schemas.openxmlformats.org/officeDocument/2006/relationships/hyperlink" Target="https://www.semanticscholar.org/paper/A-large-scale-study-of-programming-languages-and-Ray-Posnett/30b30b2da89e9a287f235cdec1d346de163e50c5/pdf" TargetMode="External"/><Relationship Id="rId220" Type="http://schemas.openxmlformats.org/officeDocument/2006/relationships/hyperlink" Target="http://dl.acm.org/citation.cfm?id=2597120" TargetMode="External"/><Relationship Id="rId341" Type="http://schemas.openxmlformats.org/officeDocument/2006/relationships/hyperlink" Target="http://link.springer.com/article/10.1007/s11434-014-0698-3" TargetMode="External"/><Relationship Id="rId462" Type="http://schemas.openxmlformats.org/officeDocument/2006/relationships/hyperlink" Target="http://link.springer.com/article/10.1007/s10664-016-9438-4" TargetMode="External"/><Relationship Id="rId340" Type="http://schemas.openxmlformats.org/officeDocument/2006/relationships/hyperlink" Target="http://dl.acm.org/citation.cfm?id=2815427" TargetMode="External"/><Relationship Id="rId461" Type="http://schemas.openxmlformats.org/officeDocument/2006/relationships/hyperlink" Target="https://www.fernandovandervlist.nl/papers/a-technicity-of-collaboration.html" TargetMode="External"/><Relationship Id="rId460" Type="http://schemas.openxmlformats.org/officeDocument/2006/relationships/hyperlink" Target="https://pure.tue.nl/ws/files/3855750/621462246551620.pdf" TargetMode="External"/><Relationship Id="rId103" Type="http://schemas.openxmlformats.org/officeDocument/2006/relationships/hyperlink" Target="http://ieeexplore.ieee.org/xpls/abs_all.jsp?arnumber=7471284" TargetMode="External"/><Relationship Id="rId224" Type="http://schemas.openxmlformats.org/officeDocument/2006/relationships/hyperlink" Target="https://www.researchgate.net/profile/Joicymara_Xavier/publication/264673002_Understanding_the_popularity_of_reporters_and_assignees_in_the_Github/links/53eadf0a0cf2dc24b3ce7691.pdf" TargetMode="External"/><Relationship Id="rId345" Type="http://schemas.openxmlformats.org/officeDocument/2006/relationships/hyperlink" Target="http://dl.acm.org/citation.cfm?id=2878568" TargetMode="External"/><Relationship Id="rId466" Type="http://schemas.openxmlformats.org/officeDocument/2006/relationships/hyperlink" Target="http://www.sersc.org/journals/IJSEIA/vol10_no6_2016/4.pdf" TargetMode="External"/><Relationship Id="rId102" Type="http://schemas.openxmlformats.org/officeDocument/2006/relationships/hyperlink" Target="http://ieeexplore.ieee.org/xpls/abs_all.jsp?arnumber=7081848" TargetMode="External"/><Relationship Id="rId223" Type="http://schemas.openxmlformats.org/officeDocument/2006/relationships/hyperlink" Target="http://link.springer.com/chapter/10.1007/978-3-662-45550-0_46" TargetMode="External"/><Relationship Id="rId344" Type="http://schemas.openxmlformats.org/officeDocument/2006/relationships/hyperlink" Target="http://citeseerx.ist.psu.edu/viewdoc/download?doi=10.1.1.468.5933&amp;rep=rep1&amp;type=pdf" TargetMode="External"/><Relationship Id="rId465" Type="http://schemas.openxmlformats.org/officeDocument/2006/relationships/hyperlink" Target="https://www.researchgate.net/profile/Yang_Zhang178/publication/303407940_Exploring_the_Use_of_-mention_to_Assist_Software_Development_in_GitHub/links/5742584208aea45ee84a3951.pdf" TargetMode="External"/><Relationship Id="rId101" Type="http://schemas.openxmlformats.org/officeDocument/2006/relationships/hyperlink" Target="http://ieeexplore.ieee.org/xpls/abs_all.jsp?arnumber=6664179" TargetMode="External"/><Relationship Id="rId222" Type="http://schemas.openxmlformats.org/officeDocument/2006/relationships/hyperlink" Target="http://dl.acm.org/citation.cfm?id=2597126" TargetMode="External"/><Relationship Id="rId343" Type="http://schemas.openxmlformats.org/officeDocument/2006/relationships/hyperlink" Target="http://scg.unibe.ch/archive/projects/Lesk11a.pdf" TargetMode="External"/><Relationship Id="rId464" Type="http://schemas.openxmlformats.org/officeDocument/2006/relationships/hyperlink" Target="http://adsabs.harvard.edu/abs/2014AGUFMIN23B3733S" TargetMode="External"/><Relationship Id="rId100" Type="http://schemas.openxmlformats.org/officeDocument/2006/relationships/hyperlink" Target="http://berkeleyautomation.github.io/tsc-dl/" TargetMode="External"/><Relationship Id="rId221" Type="http://schemas.openxmlformats.org/officeDocument/2006/relationships/hyperlink" Target="http://dl.acm.org/citation.cfm?id=2597121" TargetMode="External"/><Relationship Id="rId342" Type="http://schemas.openxmlformats.org/officeDocument/2006/relationships/hyperlink" Target="http://arxiv.org/abs/1511.02300" TargetMode="External"/><Relationship Id="rId463" Type="http://schemas.openxmlformats.org/officeDocument/2006/relationships/hyperlink" Target="http://link.springer.com/article/10.1007/s10664-016-9436-6" TargetMode="External"/><Relationship Id="rId217" Type="http://schemas.openxmlformats.org/officeDocument/2006/relationships/hyperlink" Target="http://dl.acm.org/citation.cfm?id=2597114" TargetMode="External"/><Relationship Id="rId338" Type="http://schemas.openxmlformats.org/officeDocument/2006/relationships/hyperlink" Target="http://citeseerx.ist.psu.edu/viewdoc/download?doi=10.1.1.416.557&amp;rep=rep1&amp;type=pdf" TargetMode="External"/><Relationship Id="rId459" Type="http://schemas.openxmlformats.org/officeDocument/2006/relationships/hyperlink" Target="http://plg.uwaterloo.ca/~migod/846/current/projects/04-MuscedereTuras-report.pdf" TargetMode="External"/><Relationship Id="rId216" Type="http://schemas.openxmlformats.org/officeDocument/2006/relationships/hyperlink" Target="https://www.researchgate.net/profile/Senthil_Kumar_Kumarasamy_Mani/publication/266657799_A_study_of_external_community_contribution_to_open-source_projects_on_GitHub/links/548fb94e0cf225bf66a80433.pdf" TargetMode="External"/><Relationship Id="rId337" Type="http://schemas.openxmlformats.org/officeDocument/2006/relationships/hyperlink" Target="http://dl.acm.org/citation.cfm?id=2635901" TargetMode="External"/><Relationship Id="rId458" Type="http://schemas.openxmlformats.org/officeDocument/2006/relationships/hyperlink" Target="http://www.tandfonline.com/doi/abs/10.1080/01639269.2015.1062586" TargetMode="External"/><Relationship Id="rId215" Type="http://schemas.openxmlformats.org/officeDocument/2006/relationships/hyperlink" Target="http://dl.acm.org/citation.cfm?id=2597074" TargetMode="External"/><Relationship Id="rId336" Type="http://schemas.openxmlformats.org/officeDocument/2006/relationships/hyperlink" Target="http://link.springer.com/chapter/10.1007/978-3-319-26054-9_16" TargetMode="External"/><Relationship Id="rId457" Type="http://schemas.openxmlformats.org/officeDocument/2006/relationships/hyperlink" Target="http://link.springer.com/chapter/10.1007/978-1-4842-1718-4_4" TargetMode="External"/><Relationship Id="rId214" Type="http://schemas.openxmlformats.org/officeDocument/2006/relationships/hyperlink" Target="http://arxiv.org/abs/1407.2535" TargetMode="External"/><Relationship Id="rId335" Type="http://schemas.openxmlformats.org/officeDocument/2006/relationships/hyperlink" Target="http://dl.acm.org/citation.cfm?id=2568305" TargetMode="External"/><Relationship Id="rId456" Type="http://schemas.openxmlformats.org/officeDocument/2006/relationships/hyperlink" Target="http://www.phillipadsmith.com/2015/11/getting-down-with-github.html" TargetMode="External"/><Relationship Id="rId219" Type="http://schemas.openxmlformats.org/officeDocument/2006/relationships/hyperlink" Target="http://dl.acm.org/citation.cfm?id=2597118" TargetMode="External"/><Relationship Id="rId218" Type="http://schemas.openxmlformats.org/officeDocument/2006/relationships/hyperlink" Target="https://www.researchgate.net/profile/Alexander_Serebrenik/publication/264799488_Security_and_emotion_Sentiment_analysis_of_security_discussions_on_GitHub/links/53f1cc770cf23733e815e2f7.pdf" TargetMode="External"/><Relationship Id="rId339" Type="http://schemas.openxmlformats.org/officeDocument/2006/relationships/hyperlink" Target="http://dl.acm.org/citation.cfm?id=2462950" TargetMode="External"/><Relationship Id="rId330" Type="http://schemas.openxmlformats.org/officeDocument/2006/relationships/hyperlink" Target="http://link.springer.com/chapter/10.1007/978-3-642-30287-9_27" TargetMode="External"/><Relationship Id="rId451" Type="http://schemas.openxmlformats.org/officeDocument/2006/relationships/hyperlink" Target="https://paginas.fe.up.pt/~prodei/dsie15/web/papers/proceedings.pdf" TargetMode="External"/><Relationship Id="rId450" Type="http://schemas.openxmlformats.org/officeDocument/2006/relationships/hyperlink" Target="http://dspace.library.uu.nl/handle/1874/298574" TargetMode="External"/><Relationship Id="rId213" Type="http://schemas.openxmlformats.org/officeDocument/2006/relationships/hyperlink" Target="http://dl.acm.org/citation.cfm?id=2568315" TargetMode="External"/><Relationship Id="rId334" Type="http://schemas.openxmlformats.org/officeDocument/2006/relationships/hyperlink" Target="http://dl.acm.org/citation.cfm?id=2464498" TargetMode="External"/><Relationship Id="rId455" Type="http://schemas.openxmlformats.org/officeDocument/2006/relationships/hyperlink" Target="http://www.lbd.dcc.ufmg.br/colecoes/vem/2015/005.pdf" TargetMode="External"/><Relationship Id="rId212" Type="http://schemas.openxmlformats.org/officeDocument/2006/relationships/hyperlink" Target="http://dl.acm.org/citation.cfm?id=2593875" TargetMode="External"/><Relationship Id="rId333" Type="http://schemas.openxmlformats.org/officeDocument/2006/relationships/hyperlink" Target="http://s3.amazonaws.com/academia.edu.documents/46131851/Common_Logic_Importation_Resolution_Impl20160601-15896-6znvdw.pdf?AWSAccessKeyId=AKIAJ56TQJRTWSMTNPEA&amp;Expires=1468833141&amp;Signature=8V2nRahaoGHvK6TxKJRrARHpafs%3D&amp;response-content-disposition=inline%3B%20filename%3DCommon_Logic_Importation_Resolution_Impl.pdf" TargetMode="External"/><Relationship Id="rId454" Type="http://schemas.openxmlformats.org/officeDocument/2006/relationships/hyperlink" Target="https://www.semanticscholar.org/paper/Applying-Link-Prediction-for-Repository-Lee-Chen/68ff7df3a23c44d0aeab3511eb1cc5d2c5596846/pdf" TargetMode="External"/><Relationship Id="rId211" Type="http://schemas.openxmlformats.org/officeDocument/2006/relationships/hyperlink" Target="http://dl.acm.org/citation.cfm?id=2652564" TargetMode="External"/><Relationship Id="rId332" Type="http://schemas.openxmlformats.org/officeDocument/2006/relationships/hyperlink" Target="http://www.degruyter.com/view/j/pralin.2012.98.issue--1/v10108-012-0010-0/v10108-012-0010-0.xml" TargetMode="External"/><Relationship Id="rId453" Type="http://schemas.openxmlformats.org/officeDocument/2006/relationships/hyperlink" Target="http://digitalcommons.brockport.edu/gradconf/2014/Schedule/133/" TargetMode="External"/><Relationship Id="rId210" Type="http://schemas.openxmlformats.org/officeDocument/2006/relationships/hyperlink" Target="http://dl.acm.org/citation.cfm?id=2601269" TargetMode="External"/><Relationship Id="rId331" Type="http://schemas.openxmlformats.org/officeDocument/2006/relationships/hyperlink" Target="http://leif.singer.is/papers/Pham2014.pdf" TargetMode="External"/><Relationship Id="rId452" Type="http://schemas.openxmlformats.org/officeDocument/2006/relationships/hyperlink" Target="http://dspace.library.uvic.ca:8080/handle/1828/6624" TargetMode="External"/><Relationship Id="rId370" Type="http://schemas.openxmlformats.org/officeDocument/2006/relationships/hyperlink" Target="http://www.opensym.org/os2015/proceedings-files/c104-yan.pdf" TargetMode="External"/><Relationship Id="rId491" Type="http://schemas.openxmlformats.org/officeDocument/2006/relationships/hyperlink" Target="http://link.springer.com/chapter/10.1007/978-3-319-13835-0_32" TargetMode="External"/><Relationship Id="rId490" Type="http://schemas.openxmlformats.org/officeDocument/2006/relationships/hyperlink" Target="http://dl.acm.org/citation.cfm?id=2675215" TargetMode="External"/><Relationship Id="rId129" Type="http://schemas.openxmlformats.org/officeDocument/2006/relationships/hyperlink" Target="http://ieeexplore.ieee.org/xpl/login.jsp?tp=&amp;arnumber=7476634&amp;url=http%3A%2F%2Fieeexplore.ieee.org%2Fxpls%2Fabs_all.jsp%3Farnumber%3D7476634" TargetMode="External"/><Relationship Id="rId128" Type="http://schemas.openxmlformats.org/officeDocument/2006/relationships/hyperlink" Target="http://dl.acm.org/citation.cfm?id=2487153" TargetMode="External"/><Relationship Id="rId249" Type="http://schemas.openxmlformats.org/officeDocument/2006/relationships/hyperlink" Target="http://www.sciencedirect.com/science/article/pii/S092523121630306X" TargetMode="External"/><Relationship Id="rId127" Type="http://schemas.openxmlformats.org/officeDocument/2006/relationships/hyperlink" Target="http://ieeexplore.ieee.org/xpl/login.jsp?tp=&amp;arnumber=6564733&amp;url=http%3A%2F%2Fieeexplore.ieee.org%2Fxpls%2Fabs_all.jsp%3Farnumber%3D6564733" TargetMode="External"/><Relationship Id="rId248" Type="http://schemas.openxmlformats.org/officeDocument/2006/relationships/hyperlink" Target="http://www.sciencedirect.com/science/article/pii/S0955799716300315" TargetMode="External"/><Relationship Id="rId369" Type="http://schemas.openxmlformats.org/officeDocument/2006/relationships/hyperlink" Target="http://dl.acm.org/citation.cfm?id=2886499" TargetMode="External"/><Relationship Id="rId126" Type="http://schemas.openxmlformats.org/officeDocument/2006/relationships/hyperlink" Target="http://ieeexplore.ieee.org/xpl/login.jsp?tp=&amp;arnumber=6224294&amp;url=http%3A%2F%2Fieeexplore.ieee.org%2Fxpls%2Fabs_all.jsp%3Farnumber%3D6224294" TargetMode="External"/><Relationship Id="rId247" Type="http://schemas.openxmlformats.org/officeDocument/2006/relationships/hyperlink" Target="http://www.sciencedirect.com/science/article/pii/S0167947315002923" TargetMode="External"/><Relationship Id="rId368" Type="http://schemas.openxmlformats.org/officeDocument/2006/relationships/hyperlink" Target="http://dl.acm.org/citation.cfm?id=2735554" TargetMode="External"/><Relationship Id="rId489" Type="http://schemas.openxmlformats.org/officeDocument/2006/relationships/hyperlink" Target="http://ieeexplore.ieee.org/xpl/login.jsp?tp=&amp;arnumber=6336698&amp;url=http%3A%2F%2Fieeexplore.ieee.org%2Fxpls%2Fabs_all.jsp%3Farnumber%3D6336698" TargetMode="External"/><Relationship Id="rId121" Type="http://schemas.openxmlformats.org/officeDocument/2006/relationships/hyperlink" Target="http://ieeexplore.ieee.org/xpl/login.jsp?tp=&amp;arnumber=7332478&amp;url=http%3A%2F%2Fieeexplore.ieee.org%2Fxpls%2Fabs_all.jsp%3Farnumber%3D7332478" TargetMode="External"/><Relationship Id="rId242" Type="http://schemas.openxmlformats.org/officeDocument/2006/relationships/hyperlink" Target="http://www.sciencedirect.com/science/article/pii/S0097849316300528" TargetMode="External"/><Relationship Id="rId363" Type="http://schemas.openxmlformats.org/officeDocument/2006/relationships/hyperlink" Target="http://dl.acm.org/citation.cfm?id=2597135" TargetMode="External"/><Relationship Id="rId484" Type="http://schemas.openxmlformats.org/officeDocument/2006/relationships/hyperlink" Target="https://brage.bibsys.no/xmlui//handle/11250/253492" TargetMode="External"/><Relationship Id="rId120" Type="http://schemas.openxmlformats.org/officeDocument/2006/relationships/hyperlink" Target="http://ieeexplore.ieee.org/xpl/login.jsp?tp=&amp;arnumber=6696481&amp;url=http%3A%2F%2Fieeexplore.ieee.org%2Fxpls%2Fabs_all.jsp%3Farnumber%3D6696481" TargetMode="External"/><Relationship Id="rId241" Type="http://schemas.openxmlformats.org/officeDocument/2006/relationships/hyperlink" Target="http://www.sciencedirect.com/science/article/pii/S1364815216302870" TargetMode="External"/><Relationship Id="rId362" Type="http://schemas.openxmlformats.org/officeDocument/2006/relationships/hyperlink" Target="http://dl.acm.org/citation.cfm?id=2855678" TargetMode="External"/><Relationship Id="rId483" Type="http://schemas.openxmlformats.org/officeDocument/2006/relationships/hyperlink" Target="https://www.researchgate.net/profile/Juan_Merelo_Guervos/publication/281972638_Github_users_in_Spain_a_report_on_geographical_distribution_of_open_source_production/links/560036cd08aeba1d9f84bcc9.pdf" TargetMode="External"/><Relationship Id="rId240" Type="http://schemas.openxmlformats.org/officeDocument/2006/relationships/hyperlink" Target="http://www.sciencedirect.com/science/article/pii/S2352711016300085" TargetMode="External"/><Relationship Id="rId361" Type="http://schemas.openxmlformats.org/officeDocument/2006/relationships/hyperlink" Target="http://dl.acm.org/citation.cfm?id=2458551" TargetMode="External"/><Relationship Id="rId482" Type="http://schemas.openxmlformats.org/officeDocument/2006/relationships/hyperlink" Target="http://arxiv.org/abs/1607.02459" TargetMode="External"/><Relationship Id="rId360" Type="http://schemas.openxmlformats.org/officeDocument/2006/relationships/hyperlink" Target="http://dl.acm.org/citation.cfm?id=2491081" TargetMode="External"/><Relationship Id="rId481" Type="http://schemas.openxmlformats.org/officeDocument/2006/relationships/hyperlink" Target="https://books.google.fr/books?hl=it&amp;lr=&amp;id=XNuJCwAAQBAJ&amp;oi=fnd&amp;pg=PR2&amp;dq=Building+Tools+with+GitHub:+Customize+Your+Workflow&amp;ots=dcdvEr00TG&amp;sig=R0dOlriks3MDFMdFDC0-ARQ6rkk&amp;redir_esc=y" TargetMode="External"/><Relationship Id="rId125" Type="http://schemas.openxmlformats.org/officeDocument/2006/relationships/hyperlink" Target="http://ieeexplore.ieee.org/xpl/login.jsp?tp=&amp;arnumber=6498480&amp;url=http%3A%2F%2Fieeexplore.ieee.org%2Fxpls%2Fabs_all.jsp%3Farnumber%3D6498480" TargetMode="External"/><Relationship Id="rId246" Type="http://schemas.openxmlformats.org/officeDocument/2006/relationships/hyperlink" Target="http://www.sciencedirect.com/science/article/pii/S1045926X15000762" TargetMode="External"/><Relationship Id="rId367" Type="http://schemas.openxmlformats.org/officeDocument/2006/relationships/hyperlink" Target="http://dl.acm.org/citation.cfm?id=2804366" TargetMode="External"/><Relationship Id="rId488" Type="http://schemas.openxmlformats.org/officeDocument/2006/relationships/hyperlink" Target="https://tampub.uta.fi/bitstream/handle/10024/95846/GRADU-1404127019.pdf?sequence=1" TargetMode="External"/><Relationship Id="rId124" Type="http://schemas.openxmlformats.org/officeDocument/2006/relationships/hyperlink" Target="http://ieeexplore.ieee.org/xpl/login.jsp?tp=&amp;arnumber=7372014&amp;url=http%3A%2F%2Fieeexplore.ieee.org%2Fxpls%2Fabs_all.jsp%3Farnumber%3D7372014" TargetMode="External"/><Relationship Id="rId245" Type="http://schemas.openxmlformats.org/officeDocument/2006/relationships/hyperlink" Target="http://arxiv.org/abs/1601.06429" TargetMode="External"/><Relationship Id="rId366" Type="http://schemas.openxmlformats.org/officeDocument/2006/relationships/hyperlink" Target="http://dl.acm.org/citation.cfm?id=2616576" TargetMode="External"/><Relationship Id="rId487" Type="http://schemas.openxmlformats.org/officeDocument/2006/relationships/hyperlink" Target="http://digitalcommons.unl.edu/csetechreports/149/" TargetMode="External"/><Relationship Id="rId123" Type="http://schemas.openxmlformats.org/officeDocument/2006/relationships/hyperlink" Target="http://ieeexplore.ieee.org/xpl/login.jsp?tp=&amp;arnumber=7169443&amp;url=http%3A%2F%2Fieeexplore.ieee.org%2Fxpls%2Fabs_all.jsp%3Farnumber%3D7169443" TargetMode="External"/><Relationship Id="rId244" Type="http://schemas.openxmlformats.org/officeDocument/2006/relationships/hyperlink" Target="http://www.sciencedirect.com/science/article/pii/S1877050916308778" TargetMode="External"/><Relationship Id="rId365" Type="http://schemas.openxmlformats.org/officeDocument/2006/relationships/hyperlink" Target="http://dl.acm.org/citation.cfm?id=2903493" TargetMode="External"/><Relationship Id="rId486" Type="http://schemas.openxmlformats.org/officeDocument/2006/relationships/hyperlink" Target="http://dspace.library.uvic.ca:8080/bitstream/handle/1828/7222/Wang_Weiliang_MSc_2016.pdf?sequence=1&amp;isAllowed=y" TargetMode="External"/><Relationship Id="rId122" Type="http://schemas.openxmlformats.org/officeDocument/2006/relationships/hyperlink" Target="http://ieeexplore.ieee.org/xpl/login.jsp?tp=&amp;arnumber=6671288&amp;url=http%3A%2F%2Fieeexplore.ieee.org%2Fxpls%2Fabs_all.jsp%3Farnumber%3D6671288" TargetMode="External"/><Relationship Id="rId243" Type="http://schemas.openxmlformats.org/officeDocument/2006/relationships/hyperlink" Target="http://www.sciencedirect.com/science/article/pii/S0950705115004761" TargetMode="External"/><Relationship Id="rId364" Type="http://schemas.openxmlformats.org/officeDocument/2006/relationships/hyperlink" Target="http://dl.acm.org/citation.cfm?id=2903499" TargetMode="External"/><Relationship Id="rId485" Type="http://schemas.openxmlformats.org/officeDocument/2006/relationships/hyperlink" Target="https://ideas.repec.org/p/war/wpaper/2016-15.html" TargetMode="External"/><Relationship Id="rId95" Type="http://schemas.openxmlformats.org/officeDocument/2006/relationships/hyperlink" Target="http://ieeexplore.ieee.org/xpls/abs_all.jsp?arnumber=7350989" TargetMode="External"/><Relationship Id="rId94" Type="http://schemas.openxmlformats.org/officeDocument/2006/relationships/hyperlink" Target="http://ieeexplore.ieee.org/xpls/abs_all.jsp?arnumber=7385840" TargetMode="External"/><Relationship Id="rId97" Type="http://schemas.openxmlformats.org/officeDocument/2006/relationships/hyperlink" Target="http://goldberg.berkeley.edu/pubs/icra2016-final-suturing.pdf" TargetMode="External"/><Relationship Id="rId96" Type="http://schemas.openxmlformats.org/officeDocument/2006/relationships/hyperlink" Target="http://ieeexplore.ieee.org/xpls/abs_all.jsp?arnumber=7332461" TargetMode="External"/><Relationship Id="rId99" Type="http://schemas.openxmlformats.org/officeDocument/2006/relationships/hyperlink" Target="http://ieeexplore.ieee.org/xpl/articleDetails.jsp?reload=true&amp;arnumber=7081817" TargetMode="External"/><Relationship Id="rId480" Type="http://schemas.openxmlformats.org/officeDocument/2006/relationships/hyperlink" Target="https://www.researchgate.net/profile/Mohamed_Amine_Ferrag/publication/276025159_Proceedings_of_the_2nd_International_Conference_on_Networking_and_Advanced_Systems/links/554dff3008ae93634ec6ff0d.pdf" TargetMode="External"/><Relationship Id="rId98" Type="http://schemas.openxmlformats.org/officeDocument/2006/relationships/hyperlink" Target="https://www.computer.org/csdl/proceedings/vissoft/2013/9999/00/06650532.pdf" TargetMode="External"/><Relationship Id="rId91" Type="http://schemas.openxmlformats.org/officeDocument/2006/relationships/hyperlink" Target="http://ieeexplore.ieee.org/xpls/abs_all.jsp?arnumber=7342358" TargetMode="External"/><Relationship Id="rId90" Type="http://schemas.openxmlformats.org/officeDocument/2006/relationships/hyperlink" Target="https://www.researchgate.net/publication/292982370_Non-parametric_Change_Point_Detection_for_Spike_Trains" TargetMode="External"/><Relationship Id="rId93" Type="http://schemas.openxmlformats.org/officeDocument/2006/relationships/hyperlink" Target="https://www.computer.org/csdl/mags/an/2015/03/man2015030078.pdf" TargetMode="External"/><Relationship Id="rId92" Type="http://schemas.openxmlformats.org/officeDocument/2006/relationships/hyperlink" Target="http://ieeexplore.ieee.org/xpls/abs_all.jsp?arnumber=7180102" TargetMode="External"/><Relationship Id="rId118" Type="http://schemas.openxmlformats.org/officeDocument/2006/relationships/hyperlink" Target="https://www.semanticscholar.org/paper/Reviewer-Recommender-of-Pull-Requests-in-GitHub-Yu-Wang/dccb1f1d6490b44f930b2413d1a1aa1b471478df/pdf" TargetMode="External"/><Relationship Id="rId239" Type="http://schemas.openxmlformats.org/officeDocument/2006/relationships/hyperlink" Target="http://www.sciencedirect.com/science/article/pii/S0898122116302681" TargetMode="External"/><Relationship Id="rId117" Type="http://schemas.openxmlformats.org/officeDocument/2006/relationships/hyperlink" Target="http://dl.acm.org/citation.cfm?id=2820544" TargetMode="External"/><Relationship Id="rId238" Type="http://schemas.openxmlformats.org/officeDocument/2006/relationships/hyperlink" Target="http://www.sciencedirect.com/science/article/pii/S0950584913002322" TargetMode="External"/><Relationship Id="rId359" Type="http://schemas.openxmlformats.org/officeDocument/2006/relationships/hyperlink" Target="http://dl.acm.org/citation.cfm?id=2884826" TargetMode="External"/><Relationship Id="rId116" Type="http://schemas.openxmlformats.org/officeDocument/2006/relationships/hyperlink" Target="http://ieeexplore.ieee.org/xpl/login.jsp?tp=&amp;arnumber=7332486&amp;url=http%3A%2F%2Fieeexplore.ieee.org%2Fxpls%2Fabs_all.jsp%3Farnumber%3D7332486" TargetMode="External"/><Relationship Id="rId237" Type="http://schemas.openxmlformats.org/officeDocument/2006/relationships/hyperlink" Target="http://dl.acm.org/citation.cfm?id=2145396" TargetMode="External"/><Relationship Id="rId358" Type="http://schemas.openxmlformats.org/officeDocument/2006/relationships/hyperlink" Target="http://dl.acm.org/citation.cfm?id=2903497" TargetMode="External"/><Relationship Id="rId479" Type="http://schemas.openxmlformats.org/officeDocument/2006/relationships/hyperlink" Target="http://cds.cern.ch/record/2113619" TargetMode="External"/><Relationship Id="rId115" Type="http://schemas.openxmlformats.org/officeDocument/2006/relationships/hyperlink" Target="http://ieeexplore.ieee.org/xpl/login.jsp?tp=&amp;arnumber=6606557&amp;url=http%3A%2F%2Fieeexplore.ieee.org%2Fxpls%2Fabs_all.jsp%3Farnumber%3D6606557" TargetMode="External"/><Relationship Id="rId236" Type="http://schemas.openxmlformats.org/officeDocument/2006/relationships/hyperlink" Target="https://books.google.fr/books?hl=it&amp;lr=&amp;id=aM7-Oxo3qdQC&amp;oi=fnd&amp;pg=PR3&amp;dq=Version+Control+with+Git+-+Powerful+Tools+and+Techniques+for+Collaborative+Software+Development:+Covers+GitHub,+Second+Edition&amp;ots=38zkPCSlug&amp;sig=TPCiWMTfL7_kq3KW6zjiq55IuzQ&amp;redir_esc=y" TargetMode="External"/><Relationship Id="rId357" Type="http://schemas.openxmlformats.org/officeDocument/2006/relationships/hyperlink" Target="http://dl.acm.org/citation.cfm?id=2876035" TargetMode="External"/><Relationship Id="rId478" Type="http://schemas.openxmlformats.org/officeDocument/2006/relationships/hyperlink" Target="https://avandeursen.com/2013/12/30/teaching-software-architecture-with-github/" TargetMode="External"/><Relationship Id="rId119" Type="http://schemas.openxmlformats.org/officeDocument/2006/relationships/hyperlink" Target="http://ieeexplore.ieee.org/xpl/login.jsp?tp=&amp;arnumber=6676910&amp;url=http%3A%2F%2Fieeexplore.ieee.org%2Fxpls%2Fabs_all.jsp%3Farnumber%3D6676910" TargetMode="External"/><Relationship Id="rId110" Type="http://schemas.openxmlformats.org/officeDocument/2006/relationships/hyperlink" Target="http://ieeexplore.ieee.org/xpl/login.jsp?tp=&amp;arnumber=7007913&amp;url=http%3A%2F%2Fieeexplore.ieee.org%2Fxpls%2Fabs_all.jsp%3Farnumber%3D7007913" TargetMode="External"/><Relationship Id="rId231" Type="http://schemas.openxmlformats.org/officeDocument/2006/relationships/hyperlink" Target="http://dl.acm.org/citation.cfm?id=2578843" TargetMode="External"/><Relationship Id="rId352" Type="http://schemas.openxmlformats.org/officeDocument/2006/relationships/hyperlink" Target="http://dl.acm.org/citation.cfm?id=2661678" TargetMode="External"/><Relationship Id="rId473" Type="http://schemas.openxmlformats.org/officeDocument/2006/relationships/hyperlink" Target="http://docs.lib.purdue.edu/lib_fsdocs/133/" TargetMode="External"/><Relationship Id="rId230" Type="http://schemas.openxmlformats.org/officeDocument/2006/relationships/hyperlink" Target="http://link.springer.com/chapter/10.1007/978-3-319-13734-6_6" TargetMode="External"/><Relationship Id="rId351" Type="http://schemas.openxmlformats.org/officeDocument/2006/relationships/hyperlink" Target="http://dl.acm.org/citation.cfm?id=2663368" TargetMode="External"/><Relationship Id="rId472" Type="http://schemas.openxmlformats.org/officeDocument/2006/relationships/hyperlink" Target="http://www.cs.cmu.edu/~arunkaly/resources/Arunkaly_Final_Paper_DNA.pdf" TargetMode="External"/><Relationship Id="rId350" Type="http://schemas.openxmlformats.org/officeDocument/2006/relationships/hyperlink" Target="https://www.researchgate.net/profile/Roland_Geyer3/publication/224181720_A_case_for_smartphone_reuse_to_augment_elementary_school_education/links/00b7d5231f7038fdbc000000.pdf" TargetMode="External"/><Relationship Id="rId471" Type="http://schemas.openxmlformats.org/officeDocument/2006/relationships/hyperlink" Target="http://search.proquest.com/openview/c46bdea34bd5ea2d9621bac971d3859f/1?pq-origsite=gscholar" TargetMode="External"/><Relationship Id="rId470" Type="http://schemas.openxmlformats.org/officeDocument/2006/relationships/hyperlink" Target="http://www.cs.cmu.edu/~arunkaly/resources/Arunkaly_Final_Paper_ML.pdf" TargetMode="External"/><Relationship Id="rId114" Type="http://schemas.openxmlformats.org/officeDocument/2006/relationships/hyperlink" Target="http://dl.acm.org/citation.cfm?id=2487132" TargetMode="External"/><Relationship Id="rId235" Type="http://schemas.openxmlformats.org/officeDocument/2006/relationships/hyperlink" Target="http://dl.acm.org/citation.cfm?id=2441792" TargetMode="External"/><Relationship Id="rId356" Type="http://schemas.openxmlformats.org/officeDocument/2006/relationships/hyperlink" Target="http://dl.acm.org/citation.cfm?id=2813604" TargetMode="External"/><Relationship Id="rId477" Type="http://schemas.openxmlformats.org/officeDocument/2006/relationships/hyperlink" Target="http://ieeexplore.ieee.org/xpl/login.jsp?tp=&amp;arnumber=7342358&amp;url=http%3A%2F%2Fieeexplore.ieee.org%2Fxpls%2Fabs_all.jsp%3Farnumber%3D7342358" TargetMode="External"/><Relationship Id="rId113" Type="http://schemas.openxmlformats.org/officeDocument/2006/relationships/hyperlink" Target="http://dl.acm.org/citation.cfm?id=2486869" TargetMode="External"/><Relationship Id="rId234" Type="http://schemas.openxmlformats.org/officeDocument/2006/relationships/hyperlink" Target="http://dl.acm.org/citation.cfm?id=2468382" TargetMode="External"/><Relationship Id="rId355" Type="http://schemas.openxmlformats.org/officeDocument/2006/relationships/hyperlink" Target="http://arxiv.org/abs/1503.07431" TargetMode="External"/><Relationship Id="rId476" Type="http://schemas.openxmlformats.org/officeDocument/2006/relationships/hyperlink" Target="https://hal.inria.fr/hal-01257474/" TargetMode="External"/><Relationship Id="rId112" Type="http://schemas.openxmlformats.org/officeDocument/2006/relationships/hyperlink" Target="http://dl.acm.org/citation.cfm?id=2820554" TargetMode="External"/><Relationship Id="rId233" Type="http://schemas.openxmlformats.org/officeDocument/2006/relationships/hyperlink" Target="http://dl.acm.org/citation.cfm?id=2468381" TargetMode="External"/><Relationship Id="rId354" Type="http://schemas.openxmlformats.org/officeDocument/2006/relationships/hyperlink" Target="http://dl.acm.org/citation.cfm?id=2522735" TargetMode="External"/><Relationship Id="rId475" Type="http://schemas.openxmlformats.org/officeDocument/2006/relationships/hyperlink" Target="http://repository.tudelft.nl/islandora/object/uuid:7179edff-b498-4c3b-900d-62d61f8665df?collection=education" TargetMode="External"/><Relationship Id="rId111" Type="http://schemas.openxmlformats.org/officeDocument/2006/relationships/hyperlink" Target="http://ieeexplore.ieee.org/xpl/login.jsp?tp=&amp;arnumber=6601829&amp;url=http%3A%2F%2Fieeexplore.ieee.org%2Fxpls%2Fabs_all.jsp%3Farnumber%3D6601829" TargetMode="External"/><Relationship Id="rId232" Type="http://schemas.openxmlformats.org/officeDocument/2006/relationships/hyperlink" Target="http://arxiv.org/abs/1409.4253" TargetMode="External"/><Relationship Id="rId353" Type="http://schemas.openxmlformats.org/officeDocument/2006/relationships/hyperlink" Target="http://dl.acm.org/citation.cfm?id=2648627" TargetMode="External"/><Relationship Id="rId474" Type="http://schemas.openxmlformats.org/officeDocument/2006/relationships/hyperlink" Target="http://www.biorxiv.org/content/early/2016/05/13/048744.abstract" TargetMode="External"/><Relationship Id="rId305" Type="http://schemas.openxmlformats.org/officeDocument/2006/relationships/hyperlink" Target="http://www.sciencedirect.com/science/article/pii/S0098300412002865" TargetMode="External"/><Relationship Id="rId426" Type="http://schemas.openxmlformats.org/officeDocument/2006/relationships/hyperlink" Target="http://www.cs.cmu.edu/afs/cs/Web/People/norii/pub/github-ctr.pdf" TargetMode="External"/><Relationship Id="rId547" Type="http://schemas.openxmlformats.org/officeDocument/2006/relationships/hyperlink" Target="http://dl.acm.org/citation.cfm?id=2819950" TargetMode="External"/><Relationship Id="rId304" Type="http://schemas.openxmlformats.org/officeDocument/2006/relationships/hyperlink" Target="http://www.sciencedirect.com/science/article/pii/S1532046415001550" TargetMode="External"/><Relationship Id="rId425" Type="http://schemas.openxmlformats.org/officeDocument/2006/relationships/hyperlink" Target="http://kevinp.me/github-process-research/github-process-research.pdf" TargetMode="External"/><Relationship Id="rId546" Type="http://schemas.openxmlformats.org/officeDocument/2006/relationships/hyperlink" Target="http://plg.uwaterloo.ca/~migod/846/current/projects/01-ChenPortugal-report.pdf" TargetMode="External"/><Relationship Id="rId303" Type="http://schemas.openxmlformats.org/officeDocument/2006/relationships/hyperlink" Target="http://www.sciencedirect.com/science/article/pii/S0098300413003166" TargetMode="External"/><Relationship Id="rId424" Type="http://schemas.openxmlformats.org/officeDocument/2006/relationships/hyperlink" Target="http://dl.acm.org/citation.cfm?id=2339690" TargetMode="External"/><Relationship Id="rId545" Type="http://schemas.openxmlformats.org/officeDocument/2006/relationships/hyperlink" Target="https://repository.iiitd.edu.in/jspui/handle/123456789/388" TargetMode="External"/><Relationship Id="rId302" Type="http://schemas.openxmlformats.org/officeDocument/2006/relationships/hyperlink" Target="http://www.sciencedirect.com/science/article/pii/S1532046414000185" TargetMode="External"/><Relationship Id="rId423" Type="http://schemas.openxmlformats.org/officeDocument/2006/relationships/hyperlink" Target="http://dl.acm.org/citation.cfm?id=2903501" TargetMode="External"/><Relationship Id="rId544" Type="http://schemas.openxmlformats.org/officeDocument/2006/relationships/hyperlink" Target="http://papers.ssrn.com/sol3/papers.cfm?abstract_id=2785874" TargetMode="External"/><Relationship Id="rId309" Type="http://schemas.openxmlformats.org/officeDocument/2006/relationships/hyperlink" Target="http://www.sciencedirect.com/science/article/pii/S0010465515000168" TargetMode="External"/><Relationship Id="rId308" Type="http://schemas.openxmlformats.org/officeDocument/2006/relationships/hyperlink" Target="http://www.sciencedirect.com/science/article/pii/S0010465515002957" TargetMode="External"/><Relationship Id="rId429" Type="http://schemas.openxmlformats.org/officeDocument/2006/relationships/hyperlink" Target="http://arxiv.org/abs/1207.5545" TargetMode="External"/><Relationship Id="rId307" Type="http://schemas.openxmlformats.org/officeDocument/2006/relationships/hyperlink" Target="http://www.sciencedirect.com/science/article/pii/S0010465513003834" TargetMode="External"/><Relationship Id="rId428" Type="http://schemas.openxmlformats.org/officeDocument/2006/relationships/hyperlink" Target="http://dl.acm.org/citation.cfm?id=1882435" TargetMode="External"/><Relationship Id="rId549" Type="http://schemas.openxmlformats.org/officeDocument/2006/relationships/hyperlink" Target="http://dl.acm.org/citation.cfm?id=2889259" TargetMode="External"/><Relationship Id="rId306" Type="http://schemas.openxmlformats.org/officeDocument/2006/relationships/hyperlink" Target="http://www.sciencedirect.com/science/article/pii/S0010465515003690" TargetMode="External"/><Relationship Id="rId427" Type="http://schemas.openxmlformats.org/officeDocument/2006/relationships/hyperlink" Target="http://arxiv.org/abs/1408.6012" TargetMode="External"/><Relationship Id="rId548" Type="http://schemas.openxmlformats.org/officeDocument/2006/relationships/hyperlink" Target="https://kola.opus.hbz-nrw.de/files/1328/LOSSD.pdf" TargetMode="External"/><Relationship Id="rId301" Type="http://schemas.openxmlformats.org/officeDocument/2006/relationships/hyperlink" Target="http://www.sciencedirect.com/science/article/pii/S136184151500064X" TargetMode="External"/><Relationship Id="rId422" Type="http://schemas.openxmlformats.org/officeDocument/2006/relationships/hyperlink" Target="http://dl.acm.org/citation.cfm?id=2884874" TargetMode="External"/><Relationship Id="rId543" Type="http://schemas.openxmlformats.org/officeDocument/2006/relationships/hyperlink" Target="http://papers.ssrn.com/sol3/papers.cfm?abstract_id=2678478" TargetMode="External"/><Relationship Id="rId300" Type="http://schemas.openxmlformats.org/officeDocument/2006/relationships/hyperlink" Target="http://www.sciencedirect.com/science/article/pii/S0167819113001178" TargetMode="External"/><Relationship Id="rId421" Type="http://schemas.openxmlformats.org/officeDocument/2006/relationships/hyperlink" Target="http://dl.acm.org/citation.cfm?id=2745833" TargetMode="External"/><Relationship Id="rId542" Type="http://schemas.openxmlformats.org/officeDocument/2006/relationships/hyperlink" Target="https://peerj.com/preprints/1920/" TargetMode="External"/><Relationship Id="rId420" Type="http://schemas.openxmlformats.org/officeDocument/2006/relationships/hyperlink" Target="http://dl.acm.org/citation.cfm?id=2908145" TargetMode="External"/><Relationship Id="rId541" Type="http://schemas.openxmlformats.org/officeDocument/2006/relationships/hyperlink" Target="http://link.springer.com/article/10.1007/s10664-015-9406-4" TargetMode="External"/><Relationship Id="rId540" Type="http://schemas.openxmlformats.org/officeDocument/2006/relationships/hyperlink" Target="http://dl.acm.org/citation.cfm?id=2675254" TargetMode="External"/><Relationship Id="rId415" Type="http://schemas.openxmlformats.org/officeDocument/2006/relationships/hyperlink" Target="http://dl.acm.org/citation.cfm?id=2691870" TargetMode="External"/><Relationship Id="rId536" Type="http://schemas.openxmlformats.org/officeDocument/2006/relationships/hyperlink" Target="http://dl.acm.org/citation.cfm?id=2915972" TargetMode="External"/><Relationship Id="rId414" Type="http://schemas.openxmlformats.org/officeDocument/2006/relationships/hyperlink" Target="http://dl.acm.org/citation.cfm?id=2901743" TargetMode="External"/><Relationship Id="rId535" Type="http://schemas.openxmlformats.org/officeDocument/2006/relationships/hyperlink" Target="https://www.jstage.jst.go.jp/article/ipsjjip/24/2/24_339/_article" TargetMode="External"/><Relationship Id="rId413" Type="http://schemas.openxmlformats.org/officeDocument/2006/relationships/hyperlink" Target="http://kstolee.github.io/papers/ISSTA2016.pdf" TargetMode="External"/><Relationship Id="rId534" Type="http://schemas.openxmlformats.org/officeDocument/2006/relationships/hyperlink" Target="http://dl.acm.org/citation.cfm?id=2903494" TargetMode="External"/><Relationship Id="rId412" Type="http://schemas.openxmlformats.org/officeDocument/2006/relationships/hyperlink" Target="http://ieeexplore.ieee.org/xpl/login.jsp?tp=&amp;arnumber=7194593&amp;url=http%3A%2F%2Fieeexplore.ieee.org%2Fxpls%2Fabs_all.jsp%3Farnumber%3D7194593" TargetMode="External"/><Relationship Id="rId533" Type="http://schemas.openxmlformats.org/officeDocument/2006/relationships/hyperlink" Target="http://blog.jot.fm/2015/03/18/what-makes-an-unsuccessful-software-project/" TargetMode="External"/><Relationship Id="rId419" Type="http://schemas.openxmlformats.org/officeDocument/2006/relationships/hyperlink" Target="http://dl.acm.org/citation.cfm?id=2502228" TargetMode="External"/><Relationship Id="rId418" Type="http://schemas.openxmlformats.org/officeDocument/2006/relationships/hyperlink" Target="http://dl.acm.org/citation.cfm?id=2858479" TargetMode="External"/><Relationship Id="rId539" Type="http://schemas.openxmlformats.org/officeDocument/2006/relationships/hyperlink" Target="https://peerj.com/preprints/1771/" TargetMode="External"/><Relationship Id="rId417" Type="http://schemas.openxmlformats.org/officeDocument/2006/relationships/hyperlink" Target="http://dl.acm.org/citation.cfm?id=2652549" TargetMode="External"/><Relationship Id="rId538" Type="http://schemas.openxmlformats.org/officeDocument/2006/relationships/hyperlink" Target="http://dl.acm.org/citation.cfm?id=2820018" TargetMode="External"/><Relationship Id="rId416" Type="http://schemas.openxmlformats.org/officeDocument/2006/relationships/hyperlink" Target="http://dl.acm.org/citation.cfm?id=2656440" TargetMode="External"/><Relationship Id="rId537" Type="http://schemas.openxmlformats.org/officeDocument/2006/relationships/hyperlink" Target="http://ir.library.oregonstate.edu/xmlui/handle/1957/58811" TargetMode="External"/><Relationship Id="rId411" Type="http://schemas.openxmlformats.org/officeDocument/2006/relationships/hyperlink" Target="http://dl.acm.org/citation.cfm?id=2904085" TargetMode="External"/><Relationship Id="rId532" Type="http://schemas.openxmlformats.org/officeDocument/2006/relationships/hyperlink" Target="http://ieeexplore.ieee.org/xpl/login.jsp?tp=&amp;arnumber=7180092&amp;url=http%3A%2F%2Fieeexplore.ieee.org%2Fxpls%2Fabs_all.jsp%3Farnumber%3D7180092" TargetMode="External"/><Relationship Id="rId410" Type="http://schemas.openxmlformats.org/officeDocument/2006/relationships/hyperlink" Target="http://dl.acm.org/citation.cfm?id=2903498" TargetMode="External"/><Relationship Id="rId531" Type="http://schemas.openxmlformats.org/officeDocument/2006/relationships/hyperlink" Target="http://dl.acm.org/citation.cfm?id=2568229" TargetMode="External"/><Relationship Id="rId530" Type="http://schemas.openxmlformats.org/officeDocument/2006/relationships/hyperlink" Target="https://reftest2014.files.wordpress.com/2014/05/ortu_destefanis1.pdf" TargetMode="External"/><Relationship Id="rId206" Type="http://schemas.openxmlformats.org/officeDocument/2006/relationships/hyperlink" Target="https://peerj.com/preprints/1233/" TargetMode="External"/><Relationship Id="rId327" Type="http://schemas.openxmlformats.org/officeDocument/2006/relationships/hyperlink" Target="http://dl.acm.org/citation.cfm?id=2878382" TargetMode="External"/><Relationship Id="rId448" Type="http://schemas.openxmlformats.org/officeDocument/2006/relationships/hyperlink" Target="http://datalegend.net/assets/paper7.pdf" TargetMode="External"/><Relationship Id="rId205" Type="http://schemas.openxmlformats.org/officeDocument/2006/relationships/hyperlink" Target="http://arxiv.org/abs/1512.05558" TargetMode="External"/><Relationship Id="rId326" Type="http://schemas.openxmlformats.org/officeDocument/2006/relationships/hyperlink" Target="http://dl.acm.org/citation.cfm?id=2890056" TargetMode="External"/><Relationship Id="rId447" Type="http://schemas.openxmlformats.org/officeDocument/2006/relationships/hyperlink" Target="https://books.google.fr/books?hl=it&amp;lr=&amp;id=OhdOBQAAQBAJ&amp;oi=fnd&amp;pg=PR3&amp;dq=Introducing+GitHub:+A+Non-technical+Guide&amp;ots=LiJ7J6iV6P&amp;sig=fPRfoEip1-rWUzAz62GWRSftmPc&amp;redir_esc=y" TargetMode="External"/><Relationship Id="rId204" Type="http://schemas.openxmlformats.org/officeDocument/2006/relationships/hyperlink" Target="http://arxiv.org/abs/1507.00604" TargetMode="External"/><Relationship Id="rId325" Type="http://schemas.openxmlformats.org/officeDocument/2006/relationships/hyperlink" Target="http://dl.acm.org/citation.cfm?id=2487153" TargetMode="External"/><Relationship Id="rId446" Type="http://schemas.openxmlformats.org/officeDocument/2006/relationships/hyperlink" Target="http://papers.ssrn.com/sol3/papers.cfm?abstract_id=2497204" TargetMode="External"/><Relationship Id="rId203" Type="http://schemas.openxmlformats.org/officeDocument/2006/relationships/hyperlink" Target="http://arxiv.org/abs/1501.06857" TargetMode="External"/><Relationship Id="rId324" Type="http://schemas.openxmlformats.org/officeDocument/2006/relationships/hyperlink" Target="http://dl.acm.org/citation.cfm?id=2441794" TargetMode="External"/><Relationship Id="rId445" Type="http://schemas.openxmlformats.org/officeDocument/2006/relationships/hyperlink" Target="http://link.springer.com/article/10.1007/s10664-015-9393-5" TargetMode="External"/><Relationship Id="rId209" Type="http://schemas.openxmlformats.org/officeDocument/2006/relationships/hyperlink" Target="http://dl.acm.org/citation.cfm?id=2556483" TargetMode="External"/><Relationship Id="rId208" Type="http://schemas.openxmlformats.org/officeDocument/2006/relationships/hyperlink" Target="http://dl.acm.org/citation.cfm?id=2735527" TargetMode="External"/><Relationship Id="rId329" Type="http://schemas.openxmlformats.org/officeDocument/2006/relationships/hyperlink" Target="http://ctan.mackichan.com/macros/latex/contrib/reledmac/reledpar.pdf" TargetMode="External"/><Relationship Id="rId207" Type="http://schemas.openxmlformats.org/officeDocument/2006/relationships/hyperlink" Target="http://www.worldscientific.com/doi/abs/10.1142/S0219525914500246" TargetMode="External"/><Relationship Id="rId328" Type="http://schemas.openxmlformats.org/officeDocument/2006/relationships/hyperlink" Target="http://arxiv.org/abs/1508.04515" TargetMode="External"/><Relationship Id="rId449" Type="http://schemas.openxmlformats.org/officeDocument/2006/relationships/hyperlink" Target="http://ceur-ws.org/Vol-1489/paper-05.pdf" TargetMode="External"/><Relationship Id="rId440" Type="http://schemas.openxmlformats.org/officeDocument/2006/relationships/hyperlink" Target="http://onlinelibrary.wiley.com/doi/10.1002/meet.14504901347/full" TargetMode="External"/><Relationship Id="rId560" Type="http://schemas.openxmlformats.org/officeDocument/2006/relationships/drawing" Target="../drawings/drawing2.xml"/><Relationship Id="rId202" Type="http://schemas.openxmlformats.org/officeDocument/2006/relationships/hyperlink" Target="http://dl.acm.org/citation.cfm?id=2789838" TargetMode="External"/><Relationship Id="rId323" Type="http://schemas.openxmlformats.org/officeDocument/2006/relationships/hyperlink" Target="http://bioc.ism.ac.jp/packages/2.14/bioc/vignettes/Risa/inst/doc/Risa.pdf" TargetMode="External"/><Relationship Id="rId444" Type="http://schemas.openxmlformats.org/officeDocument/2006/relationships/hyperlink" Target="http://openresearchsoftware.metajnl.com/articles/10.5334/jors.bx/" TargetMode="External"/><Relationship Id="rId201" Type="http://schemas.openxmlformats.org/officeDocument/2006/relationships/hyperlink" Target="http://ceur-ws.org/Vol-1525/paper-12.pdf" TargetMode="External"/><Relationship Id="rId322" Type="http://schemas.openxmlformats.org/officeDocument/2006/relationships/hyperlink" Target="http://dl.acm.org/citation.cfm?id=2487832" TargetMode="External"/><Relationship Id="rId443" Type="http://schemas.openxmlformats.org/officeDocument/2006/relationships/hyperlink" Target="http://zmjones.com/static/papers/git.pdf" TargetMode="External"/><Relationship Id="rId200" Type="http://schemas.openxmlformats.org/officeDocument/2006/relationships/hyperlink" Target="http://dl.acm.org/citation.cfm?id=2791083" TargetMode="External"/><Relationship Id="rId321" Type="http://schemas.openxmlformats.org/officeDocument/2006/relationships/hyperlink" Target="http://dl.acm.org/citation.cfm?id=1985476" TargetMode="External"/><Relationship Id="rId442" Type="http://schemas.openxmlformats.org/officeDocument/2006/relationships/hyperlink" Target="http://papers.ssrn.com/sol3/papers.cfm?abstract_id=2199367" TargetMode="External"/><Relationship Id="rId320" Type="http://schemas.openxmlformats.org/officeDocument/2006/relationships/hyperlink" Target="http://mockiene.com/papers/folder-short.pdf" TargetMode="External"/><Relationship Id="rId441" Type="http://schemas.openxmlformats.org/officeDocument/2006/relationships/hyperlink" Target="https://books.google.fr/books?hl=it&amp;lr=&amp;id=_VkrAQAAQBAJ&amp;oi=fnd&amp;pg=PR4&amp;dq=Mining+the+Social+Web:+Data+Mining+Facebook,+Twitter,+LinkedIn,+Google%2B,+GitHub,+and+More&amp;ots=JqoytySshG&amp;sig=JOqXfwsLg47ubV_eCCAlrYO5r7U&amp;redir_esc=y" TargetMode="External"/><Relationship Id="rId316" Type="http://schemas.openxmlformats.org/officeDocument/2006/relationships/hyperlink" Target="http://citeseerx.ist.psu.edu/viewdoc/download?doi=10.1.1.634.9359&amp;rep=rep1&amp;type=pdf" TargetMode="External"/><Relationship Id="rId437" Type="http://schemas.openxmlformats.org/officeDocument/2006/relationships/hyperlink" Target="http://www.jsebs.org/jsebs/index.php/jsebs/article/view/152" TargetMode="External"/><Relationship Id="rId558" Type="http://schemas.openxmlformats.org/officeDocument/2006/relationships/hyperlink" Target="http://link.springer.com/chapter/10.1007/978-3-319-10933-6_12" TargetMode="External"/><Relationship Id="rId315" Type="http://schemas.openxmlformats.org/officeDocument/2006/relationships/hyperlink" Target="http://citeseerx.ist.psu.edu/viewdoc/download?doi=10.1.1.728.2463&amp;rep=rep1&amp;type=pdf" TargetMode="External"/><Relationship Id="rId436" Type="http://schemas.openxmlformats.org/officeDocument/2006/relationships/hyperlink" Target="https://www.semanticscholar.org/paper/Finding-Great-Software-Engineers-with-Github-Group-Kunz-Root/c625c598a2a39982bef391eef46d6f4a522862ee/pdf" TargetMode="External"/><Relationship Id="rId557" Type="http://schemas.openxmlformats.org/officeDocument/2006/relationships/hyperlink" Target="http://dl.acm.org/citation.cfm?id=2639506" TargetMode="External"/><Relationship Id="rId314" Type="http://schemas.openxmlformats.org/officeDocument/2006/relationships/hyperlink" Target="http://ieeexplore.ieee.org/xpl/login.jsp?tp=&amp;arnumber=7166088&amp;url=http%3A%2F%2Fieeexplore.ieee.org%2Fxpls%2Fabs_all.jsp%3Farnumber%3D7166088" TargetMode="External"/><Relationship Id="rId435" Type="http://schemas.openxmlformats.org/officeDocument/2006/relationships/hyperlink" Target="http://etd.library.vanderbilt.edu/available/etd-03232015-135032/" TargetMode="External"/><Relationship Id="rId556" Type="http://schemas.openxmlformats.org/officeDocument/2006/relationships/hyperlink" Target="http://msr2014.inf.usi.ch/preprints/Do%20developers%20discuss%20design.pdf" TargetMode="External"/><Relationship Id="rId313" Type="http://schemas.openxmlformats.org/officeDocument/2006/relationships/hyperlink" Target="http://takhteyev.org/papers/Takhteyev-Hilts-2010.pdf" TargetMode="External"/><Relationship Id="rId434" Type="http://schemas.openxmlformats.org/officeDocument/2006/relationships/hyperlink" Target="http://ieeexplore.ieee.org/xpl/login.jsp?tp=&amp;arnumber=6605914&amp;url=http%3A%2F%2Fieeexplore.ieee.org%2Fxpls%2Fabs_all.jsp%3Farnumber%3D6605914" TargetMode="External"/><Relationship Id="rId555" Type="http://schemas.openxmlformats.org/officeDocument/2006/relationships/hyperlink" Target="http://posl.ait.kyushu-u.ac.jp/~kamei/publications/Yamashita_MSRChallenge2014.pdf" TargetMode="External"/><Relationship Id="rId319" Type="http://schemas.openxmlformats.org/officeDocument/2006/relationships/hyperlink" Target="http://cs229.stanford.edu/proj2012/KhadkeTehShen-PredictingAcceptanceOfGitHubPullRequests.pdf" TargetMode="External"/><Relationship Id="rId318" Type="http://schemas.openxmlformats.org/officeDocument/2006/relationships/hyperlink" Target="http://citeseerx.ist.psu.edu/viewdoc/download?doi=10.1.1.190.9755&amp;rep=rep1&amp;type=pdf" TargetMode="External"/><Relationship Id="rId439" Type="http://schemas.openxmlformats.org/officeDocument/2006/relationships/hyperlink" Target="http://lascam.facom.ufu.br/cms/userfiles/downloads/2014/CbsoftToolsEduardo2014preprint.pdf" TargetMode="External"/><Relationship Id="rId317" Type="http://schemas.openxmlformats.org/officeDocument/2006/relationships/hyperlink" Target="http://ieeexplore.ieee.org/xpl/login.jsp?tp=&amp;arnumber=7181450&amp;url=http%3A%2F%2Fieeexplore.ieee.org%2Fxpls%2Fabs_all.jsp%3Farnumber%3D7181450" TargetMode="External"/><Relationship Id="rId438" Type="http://schemas.openxmlformats.org/officeDocument/2006/relationships/hyperlink" Target="http://search.proquest.com/openview/737f3c30e3af1d2b8f8e4157ad1cace9/1?pq-origsite=gscholar" TargetMode="External"/><Relationship Id="rId559" Type="http://schemas.openxmlformats.org/officeDocument/2006/relationships/hyperlink" Target="https://helda.helsinki.fi/bitstream/handle/10138/153194/esem2014.pdf?sequence=1" TargetMode="External"/><Relationship Id="rId550" Type="http://schemas.openxmlformats.org/officeDocument/2006/relationships/hyperlink" Target="http://arxiv.org/abs/1604.01450" TargetMode="External"/><Relationship Id="rId312" Type="http://schemas.openxmlformats.org/officeDocument/2006/relationships/hyperlink" Target="http://www.sciencedirect.com/science/article/pii/S2213133715000633" TargetMode="External"/><Relationship Id="rId433" Type="http://schemas.openxmlformats.org/officeDocument/2006/relationships/hyperlink" Target="http://ieeexplore.ieee.org/xpl/login.jsp?tp=&amp;arnumber=6498487&amp;url=http%3A%2F%2Fieeexplore.ieee.org%2Fxpls%2Fabs_all.jsp%3Farnumber%3D6498487" TargetMode="External"/><Relationship Id="rId554" Type="http://schemas.openxmlformats.org/officeDocument/2006/relationships/hyperlink" Target="http://dl.acm.org/citation.cfm?id=2597119" TargetMode="External"/><Relationship Id="rId311" Type="http://schemas.openxmlformats.org/officeDocument/2006/relationships/hyperlink" Target="http://www.sciencedirect.com/science/article/pii/S0010465515002611" TargetMode="External"/><Relationship Id="rId432" Type="http://schemas.openxmlformats.org/officeDocument/2006/relationships/hyperlink" Target="https://www.semanticscholar.org/paper/Social-Coding-Evaluating-Github-s-Network-Using-Marrama-Low/8232b29c5b60d8e2e8a83f805eb731b93c7750d7/pdf" TargetMode="External"/><Relationship Id="rId553" Type="http://schemas.openxmlformats.org/officeDocument/2006/relationships/hyperlink" Target="http://dl.acm.org/citation.cfm?id=2786843" TargetMode="External"/><Relationship Id="rId310" Type="http://schemas.openxmlformats.org/officeDocument/2006/relationships/hyperlink" Target="http://www.sciencedirect.com/science/article/pii/S0010465514001519" TargetMode="External"/><Relationship Id="rId431" Type="http://schemas.openxmlformats.org/officeDocument/2006/relationships/hyperlink" Target="https://www.researchgate.net/profile/Jan_Bosch/publication/260649475_Bridging_Software_Communities_through_Social_Networking/links/54cf76430cf24601c0937b7e.pdf" TargetMode="External"/><Relationship Id="rId552" Type="http://schemas.openxmlformats.org/officeDocument/2006/relationships/hyperlink" Target="http://www.sciencedirect.com/science/article/pii/S0950584916300027" TargetMode="External"/><Relationship Id="rId430" Type="http://schemas.openxmlformats.org/officeDocument/2006/relationships/hyperlink" Target="http://ieeexplore.ieee.org/xpl/login.jsp?tp=&amp;arnumber=6747228&amp;url=http%3A%2F%2Fieeexplore.ieee.org%2Fxpls%2Fabs_all.jsp%3Farnumber%3D6747228" TargetMode="External"/><Relationship Id="rId551" Type="http://schemas.openxmlformats.org/officeDocument/2006/relationships/hyperlink" Target="http://dl.acm.org/citation.cfm?id=291597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8.43"/>
    <col customWidth="1" min="3" max="3" width="17.14"/>
    <col customWidth="1" min="4" max="4" width="20.86"/>
    <col customWidth="1" min="5" max="5" width="9.0"/>
    <col customWidth="1" min="6" max="6" width="16.0"/>
    <col customWidth="1" min="7" max="7" width="12.86"/>
    <col customWidth="1" min="8" max="8" width="11.57"/>
    <col customWidth="1" min="13" max="13" width="21.29"/>
    <col customWidth="1" min="14" max="14" width="25.29"/>
    <col customWidth="1" min="15" max="15" width="29.57"/>
    <col customWidth="1" min="16" max="16" width="17.86"/>
    <col customWidth="1" min="17" max="17" width="13.57"/>
    <col customWidth="1" min="21" max="21" width="17.0"/>
    <col customWidth="1" min="22" max="22" width="24.57"/>
    <col customWidth="1" min="23" max="23" width="22.71"/>
    <col customWidth="1" min="24" max="24" width="28.29"/>
    <col customWidth="1" min="25" max="25" width="22.14"/>
    <col customWidth="1" min="26" max="26" width="27.57"/>
    <col customWidth="1" min="27" max="27" width="23.14"/>
  </cols>
  <sheetData>
    <row r="1">
      <c r="A1" s="5" t="s">
        <v>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11" t="s">
        <v>16</v>
      </c>
      <c r="H1" s="13" t="s">
        <v>18</v>
      </c>
      <c r="I1" s="5" t="s">
        <v>5</v>
      </c>
      <c r="M1" s="5" t="s">
        <v>19</v>
      </c>
      <c r="N1" s="5" t="s">
        <v>20</v>
      </c>
      <c r="O1" s="5" t="s">
        <v>21</v>
      </c>
    </row>
    <row r="2">
      <c r="A2" s="13" t="s">
        <v>22</v>
      </c>
      <c r="B2" s="13">
        <v>165.0</v>
      </c>
      <c r="C2" s="13">
        <f>ROWS(A11:A498)</f>
        <v>488</v>
      </c>
      <c r="D2">
        <f>D9+E9</f>
        <v>173</v>
      </c>
      <c r="E2" s="19">
        <f>C2-D2</f>
        <v>315</v>
      </c>
      <c r="F2">
        <f>COUNTIF(D499:D563, "")</f>
        <v>21</v>
      </c>
      <c r="G2">
        <f>E2+F2</f>
        <v>336</v>
      </c>
      <c r="H2">
        <f>G2+COUNTIF(D564:D569, "")</f>
        <v>342</v>
      </c>
      <c r="I2" s="13" t="s">
        <v>7</v>
      </c>
      <c r="J2">
        <f>COUNTIF(F11:F569, "TARGET-*")</f>
        <v>157</v>
      </c>
      <c r="M2">
        <f>COUNTIF(G11:G569, "Y")</f>
        <v>86</v>
      </c>
      <c r="N2">
        <f>COUNTIF(H11:H569,"&lt;&gt;")</f>
        <v>6</v>
      </c>
      <c r="O2">
        <f>M2-N2</f>
        <v>80</v>
      </c>
    </row>
    <row r="3">
      <c r="A3" s="13" t="s">
        <v>31</v>
      </c>
      <c r="B3" s="13">
        <v>105.0</v>
      </c>
      <c r="D3" s="5"/>
      <c r="I3" s="13" t="s">
        <v>32</v>
      </c>
      <c r="J3" s="19">
        <f>COUNTIF(F11:F569, "SOURCE-*")</f>
        <v>167</v>
      </c>
    </row>
    <row r="4">
      <c r="A4" s="13" t="s">
        <v>35</v>
      </c>
      <c r="B4" s="13">
        <v>79.0</v>
      </c>
      <c r="D4" s="5"/>
      <c r="F4" s="13"/>
      <c r="I4" s="13" t="s">
        <v>37</v>
      </c>
      <c r="J4">
        <f>COUNTIF(F11:F569, "DESCRIPTION*")</f>
        <v>18</v>
      </c>
      <c r="K4">
        <f>SUM(J2:J4)</f>
        <v>342</v>
      </c>
    </row>
    <row r="5">
      <c r="A5" s="13" t="s">
        <v>40</v>
      </c>
      <c r="B5" s="13">
        <v>158.0</v>
      </c>
      <c r="I5" s="13" t="s">
        <v>41</v>
      </c>
      <c r="J5" s="13">
        <f>COUNTIF(F11:F569, "")</f>
        <v>217</v>
      </c>
    </row>
    <row r="6">
      <c r="A6" s="13" t="s">
        <v>43</v>
      </c>
      <c r="B6" s="13" t="s">
        <v>44</v>
      </c>
      <c r="F6" s="13"/>
    </row>
    <row r="7">
      <c r="A7" s="13" t="s">
        <v>45</v>
      </c>
      <c r="B7" s="13">
        <v>198.0</v>
      </c>
    </row>
    <row r="8">
      <c r="A8" s="13" t="s">
        <v>46</v>
      </c>
    </row>
    <row r="9">
      <c r="D9">
        <f t="shared" ref="D9:E9" si="1">COUNTIF(D11:D498, "X")</f>
        <v>142</v>
      </c>
      <c r="E9">
        <f t="shared" si="1"/>
        <v>31</v>
      </c>
    </row>
    <row r="10">
      <c r="A10" s="5" t="s">
        <v>48</v>
      </c>
      <c r="B10" s="5" t="s">
        <v>49</v>
      </c>
      <c r="C10" s="5" t="s">
        <v>50</v>
      </c>
      <c r="D10" s="5" t="s">
        <v>2</v>
      </c>
      <c r="E10" s="5" t="s">
        <v>3</v>
      </c>
      <c r="F10" s="5" t="s">
        <v>5</v>
      </c>
      <c r="G10" s="5" t="s">
        <v>19</v>
      </c>
      <c r="H10" s="5" t="s">
        <v>20</v>
      </c>
      <c r="I10" s="5" t="s">
        <v>51</v>
      </c>
      <c r="J10" s="5" t="s">
        <v>53</v>
      </c>
      <c r="K10" s="5" t="s">
        <v>54</v>
      </c>
      <c r="L10" s="5" t="s">
        <v>55</v>
      </c>
      <c r="M10" s="30" t="s">
        <v>56</v>
      </c>
      <c r="N10" s="30" t="s">
        <v>61</v>
      </c>
      <c r="O10" s="30" t="s">
        <v>62</v>
      </c>
      <c r="P10" s="30" t="s">
        <v>63</v>
      </c>
      <c r="Q10" s="30" t="s">
        <v>64</v>
      </c>
      <c r="R10" s="30" t="s">
        <v>65</v>
      </c>
      <c r="S10" s="30" t="s">
        <v>66</v>
      </c>
      <c r="T10" s="30" t="s">
        <v>67</v>
      </c>
      <c r="U10" s="30" t="s">
        <v>68</v>
      </c>
      <c r="V10" s="32" t="s">
        <v>70</v>
      </c>
      <c r="W10" s="32" t="s">
        <v>71</v>
      </c>
      <c r="X10" s="35" t="s">
        <v>72</v>
      </c>
      <c r="Y10" s="32" t="s">
        <v>76</v>
      </c>
      <c r="Z10" s="5" t="s">
        <v>77</v>
      </c>
      <c r="AA10" s="5" t="s">
        <v>78</v>
      </c>
      <c r="AB10" s="32"/>
      <c r="AC10" s="32"/>
      <c r="AD10" s="32"/>
      <c r="AE10" s="32"/>
      <c r="AF10" s="32"/>
      <c r="AG10" s="32"/>
      <c r="AH10" s="32"/>
      <c r="AI10" s="32"/>
    </row>
    <row r="11">
      <c r="A11" s="37" t="s">
        <v>80</v>
      </c>
      <c r="B11" s="37">
        <v>2013.0</v>
      </c>
      <c r="C11" s="38" t="s">
        <v>84</v>
      </c>
      <c r="D11" s="37"/>
      <c r="E11" s="37"/>
      <c r="F11" s="37" t="s">
        <v>86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40"/>
      <c r="AA11" s="40"/>
      <c r="AB11" s="40"/>
      <c r="AC11" s="40"/>
      <c r="AD11" s="40"/>
      <c r="AE11" s="40"/>
      <c r="AF11" s="40"/>
      <c r="AG11" s="40"/>
      <c r="AH11" s="40"/>
      <c r="AI11" s="40"/>
    </row>
    <row r="12">
      <c r="A12" s="37" t="s">
        <v>89</v>
      </c>
      <c r="B12" s="37">
        <v>2014.0</v>
      </c>
      <c r="C12" s="38" t="s">
        <v>90</v>
      </c>
      <c r="D12" s="37"/>
      <c r="E12" s="37"/>
      <c r="F12" s="37" t="s">
        <v>91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40"/>
      <c r="AA12" s="40"/>
      <c r="AB12" s="40"/>
      <c r="AC12" s="40"/>
      <c r="AD12" s="40"/>
      <c r="AE12" s="40"/>
      <c r="AF12" s="40"/>
      <c r="AG12" s="40"/>
      <c r="AH12" s="40"/>
      <c r="AI12" s="40"/>
    </row>
    <row r="13">
      <c r="A13" s="37" t="s">
        <v>93</v>
      </c>
      <c r="B13" s="37">
        <v>2016.0</v>
      </c>
      <c r="C13" s="38" t="s">
        <v>94</v>
      </c>
      <c r="D13" s="20"/>
      <c r="E13" s="37" t="s">
        <v>95</v>
      </c>
      <c r="F13" s="37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40"/>
      <c r="AA13" s="40"/>
      <c r="AB13" s="40"/>
      <c r="AC13" s="40"/>
      <c r="AD13" s="40"/>
      <c r="AE13" s="40"/>
      <c r="AF13" s="40"/>
      <c r="AG13" s="40"/>
      <c r="AH13" s="40"/>
      <c r="AI13" s="40"/>
    </row>
    <row r="14">
      <c r="A14" s="42" t="s">
        <v>97</v>
      </c>
      <c r="B14" s="37">
        <v>2015.0</v>
      </c>
      <c r="C14" s="38" t="s">
        <v>100</v>
      </c>
      <c r="D14" s="37" t="s">
        <v>95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40"/>
      <c r="AA14" s="40"/>
      <c r="AB14" s="40"/>
      <c r="AC14" s="40"/>
      <c r="AD14" s="40"/>
      <c r="AE14" s="40"/>
      <c r="AF14" s="40"/>
      <c r="AG14" s="40"/>
      <c r="AH14" s="40"/>
      <c r="AI14" s="40"/>
    </row>
    <row r="15">
      <c r="A15" s="42" t="s">
        <v>102</v>
      </c>
      <c r="B15" s="37">
        <v>2015.0</v>
      </c>
      <c r="C15" s="38" t="s">
        <v>103</v>
      </c>
      <c r="D15" s="37" t="s">
        <v>95</v>
      </c>
      <c r="E15" s="20"/>
      <c r="F15" s="20"/>
      <c r="G15" s="20"/>
      <c r="H15" s="20"/>
      <c r="I15" s="20"/>
      <c r="J15" s="20"/>
      <c r="K15" s="20"/>
      <c r="L15" s="20"/>
      <c r="M15" s="46" t="s">
        <v>104</v>
      </c>
      <c r="N15" s="48" t="s">
        <v>109</v>
      </c>
      <c r="O15" s="49"/>
      <c r="P15" s="46" t="s">
        <v>113</v>
      </c>
      <c r="Q15" s="51" t="s">
        <v>114</v>
      </c>
      <c r="R15" s="46" t="s">
        <v>117</v>
      </c>
      <c r="S15" s="20"/>
      <c r="T15" s="20"/>
      <c r="U15" s="20"/>
      <c r="V15" s="20"/>
      <c r="W15" s="20"/>
      <c r="X15" s="20"/>
      <c r="Y15" s="20"/>
      <c r="Z15" s="40"/>
      <c r="AA15" s="40"/>
      <c r="AB15" s="40"/>
      <c r="AC15" s="40"/>
      <c r="AD15" s="40"/>
      <c r="AE15" s="40"/>
      <c r="AF15" s="40"/>
      <c r="AG15" s="40"/>
      <c r="AH15" s="40"/>
      <c r="AI15" s="40"/>
    </row>
    <row r="16">
      <c r="A16" s="53" t="s">
        <v>119</v>
      </c>
      <c r="B16" s="55">
        <v>2016.0</v>
      </c>
      <c r="C16" s="57" t="s">
        <v>124</v>
      </c>
      <c r="D16" s="55"/>
      <c r="E16" s="59"/>
      <c r="F16" s="55" t="s">
        <v>130</v>
      </c>
      <c r="G16" s="55" t="s">
        <v>131</v>
      </c>
      <c r="H16" s="59"/>
      <c r="I16" s="55" t="s">
        <v>57</v>
      </c>
      <c r="J16" s="55" t="s">
        <v>132</v>
      </c>
      <c r="K16" s="55" t="s">
        <v>133</v>
      </c>
      <c r="L16" s="55" t="s">
        <v>134</v>
      </c>
      <c r="M16" s="55" t="s">
        <v>135</v>
      </c>
      <c r="N16" s="55" t="s">
        <v>136</v>
      </c>
      <c r="O16" s="55"/>
      <c r="P16" s="55" t="s">
        <v>137</v>
      </c>
      <c r="Q16" s="55" t="s">
        <v>138</v>
      </c>
      <c r="R16" s="55" t="s">
        <v>139</v>
      </c>
      <c r="S16" s="55" t="s">
        <v>141</v>
      </c>
      <c r="T16" s="55" t="s">
        <v>142</v>
      </c>
      <c r="U16" s="59"/>
      <c r="V16" s="55" t="s">
        <v>95</v>
      </c>
      <c r="W16" s="55" t="s">
        <v>95</v>
      </c>
      <c r="X16" s="59"/>
      <c r="Y16" s="59"/>
      <c r="Z16" s="61" t="s">
        <v>143</v>
      </c>
      <c r="AA16" s="61" t="s">
        <v>145</v>
      </c>
      <c r="AB16" s="40"/>
      <c r="AC16" s="40"/>
      <c r="AD16" s="40"/>
      <c r="AE16" s="40"/>
      <c r="AF16" s="40"/>
      <c r="AG16" s="40"/>
      <c r="AH16" s="40"/>
      <c r="AI16" s="40"/>
    </row>
    <row r="17">
      <c r="A17" s="42" t="s">
        <v>146</v>
      </c>
      <c r="B17" s="37">
        <v>2016.0</v>
      </c>
      <c r="C17" s="38" t="s">
        <v>148</v>
      </c>
      <c r="D17" s="37"/>
      <c r="E17" s="20"/>
      <c r="F17" s="37" t="s">
        <v>130</v>
      </c>
      <c r="G17" s="37" t="s">
        <v>149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40"/>
      <c r="AA17" s="40"/>
      <c r="AB17" s="40"/>
      <c r="AC17" s="40"/>
      <c r="AD17" s="40"/>
      <c r="AE17" s="40"/>
      <c r="AF17" s="40"/>
      <c r="AG17" s="40"/>
      <c r="AH17" s="40"/>
      <c r="AI17" s="40"/>
    </row>
    <row r="18">
      <c r="A18" s="42" t="s">
        <v>150</v>
      </c>
      <c r="B18" s="37">
        <v>2014.0</v>
      </c>
      <c r="C18" s="38" t="s">
        <v>151</v>
      </c>
      <c r="D18" s="20"/>
      <c r="E18" s="20"/>
      <c r="F18" s="37" t="s">
        <v>130</v>
      </c>
      <c r="G18" s="37" t="s">
        <v>149</v>
      </c>
      <c r="H18" s="20"/>
      <c r="I18" s="20"/>
      <c r="J18" s="20"/>
      <c r="K18" s="37" t="s">
        <v>152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40"/>
      <c r="AA18" s="40"/>
      <c r="AB18" s="40"/>
      <c r="AC18" s="40"/>
      <c r="AD18" s="40"/>
      <c r="AE18" s="40"/>
      <c r="AF18" s="40"/>
      <c r="AG18" s="40"/>
      <c r="AH18" s="40"/>
      <c r="AI18" s="40"/>
    </row>
    <row r="19">
      <c r="A19" s="42" t="s">
        <v>153</v>
      </c>
      <c r="B19" s="37">
        <v>2013.0</v>
      </c>
      <c r="C19" s="38" t="s">
        <v>154</v>
      </c>
      <c r="D19" s="37" t="s">
        <v>95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40"/>
      <c r="AA19" s="40"/>
      <c r="AB19" s="40"/>
      <c r="AC19" s="40"/>
      <c r="AD19" s="40"/>
      <c r="AE19" s="40"/>
      <c r="AF19" s="40"/>
      <c r="AG19" s="40"/>
      <c r="AH19" s="40"/>
      <c r="AI19" s="40"/>
    </row>
    <row r="20">
      <c r="A20" s="53" t="s">
        <v>155</v>
      </c>
      <c r="B20" s="55">
        <v>2013.0</v>
      </c>
      <c r="C20" s="57" t="s">
        <v>156</v>
      </c>
      <c r="D20" s="59"/>
      <c r="E20" s="59"/>
      <c r="F20" s="55" t="s">
        <v>130</v>
      </c>
      <c r="G20" s="55" t="s">
        <v>131</v>
      </c>
      <c r="H20" s="59"/>
      <c r="I20" s="55" t="s">
        <v>39</v>
      </c>
      <c r="J20" s="55" t="s">
        <v>132</v>
      </c>
      <c r="K20" s="55" t="s">
        <v>158</v>
      </c>
      <c r="L20" s="55" t="s">
        <v>159</v>
      </c>
      <c r="M20" s="59"/>
      <c r="N20" s="66" t="s">
        <v>109</v>
      </c>
      <c r="O20" s="68" t="s">
        <v>161</v>
      </c>
      <c r="P20" s="70" t="s">
        <v>164</v>
      </c>
      <c r="Q20" s="70" t="s">
        <v>165</v>
      </c>
      <c r="R20" s="70" t="s">
        <v>166</v>
      </c>
      <c r="S20" s="70" t="s">
        <v>158</v>
      </c>
      <c r="T20" s="70" t="s">
        <v>158</v>
      </c>
      <c r="U20" s="72"/>
      <c r="V20" s="59"/>
      <c r="W20" s="59"/>
      <c r="X20" s="55" t="s">
        <v>95</v>
      </c>
      <c r="Y20" s="59"/>
      <c r="Z20" s="61" t="s">
        <v>167</v>
      </c>
      <c r="AA20" s="61" t="s">
        <v>168</v>
      </c>
      <c r="AB20" s="40"/>
      <c r="AC20" s="40"/>
      <c r="AD20" s="40"/>
      <c r="AE20" s="40"/>
      <c r="AF20" s="40"/>
      <c r="AG20" s="40"/>
      <c r="AH20" s="40"/>
      <c r="AI20" s="40"/>
    </row>
    <row r="21">
      <c r="A21" s="42" t="s">
        <v>169</v>
      </c>
      <c r="B21" s="37">
        <v>2015.0</v>
      </c>
      <c r="C21" s="38" t="s">
        <v>170</v>
      </c>
      <c r="D21" s="20"/>
      <c r="E21" s="20"/>
      <c r="F21" s="37" t="s">
        <v>86</v>
      </c>
      <c r="G21" s="20"/>
      <c r="H21" s="20"/>
      <c r="I21" s="20"/>
      <c r="J21" s="20"/>
      <c r="K21" s="37" t="s">
        <v>152</v>
      </c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40"/>
      <c r="AA21" s="40"/>
      <c r="AB21" s="40"/>
      <c r="AC21" s="40"/>
      <c r="AD21" s="40"/>
      <c r="AE21" s="40"/>
      <c r="AF21" s="40"/>
      <c r="AG21" s="40"/>
      <c r="AH21" s="40"/>
      <c r="AI21" s="40"/>
    </row>
    <row r="22">
      <c r="A22" s="42" t="s">
        <v>171</v>
      </c>
      <c r="B22" s="37">
        <v>2013.0</v>
      </c>
      <c r="C22" s="38" t="s">
        <v>172</v>
      </c>
      <c r="D22" s="20"/>
      <c r="E22" s="20"/>
      <c r="F22" s="37" t="s">
        <v>130</v>
      </c>
      <c r="G22" s="37" t="s">
        <v>149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40"/>
      <c r="AA22" s="40"/>
      <c r="AB22" s="40"/>
      <c r="AC22" s="40"/>
      <c r="AD22" s="40"/>
      <c r="AE22" s="40"/>
      <c r="AF22" s="40"/>
      <c r="AG22" s="40"/>
      <c r="AH22" s="40"/>
      <c r="AI22" s="40"/>
    </row>
    <row r="23">
      <c r="A23" s="42" t="s">
        <v>173</v>
      </c>
      <c r="B23" s="37">
        <v>2016.0</v>
      </c>
      <c r="C23" s="38" t="s">
        <v>174</v>
      </c>
      <c r="D23" s="37" t="s">
        <v>95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40"/>
      <c r="AA23" s="40"/>
      <c r="AB23" s="40"/>
      <c r="AC23" s="40"/>
      <c r="AD23" s="40"/>
      <c r="AE23" s="40"/>
      <c r="AF23" s="40"/>
      <c r="AG23" s="40"/>
      <c r="AH23" s="40"/>
      <c r="AI23" s="40"/>
    </row>
    <row r="24">
      <c r="A24" s="53" t="s">
        <v>175</v>
      </c>
      <c r="B24" s="55">
        <v>2015.0</v>
      </c>
      <c r="C24" s="57" t="s">
        <v>176</v>
      </c>
      <c r="D24" s="59"/>
      <c r="E24" s="59"/>
      <c r="F24" s="55" t="s">
        <v>130</v>
      </c>
      <c r="G24" s="55" t="s">
        <v>131</v>
      </c>
      <c r="H24" s="59"/>
      <c r="I24" s="55" t="s">
        <v>29</v>
      </c>
      <c r="J24" s="55" t="s">
        <v>132</v>
      </c>
      <c r="K24" s="55" t="s">
        <v>158</v>
      </c>
      <c r="L24" s="53" t="s">
        <v>159</v>
      </c>
      <c r="M24" s="59"/>
      <c r="N24" s="55" t="s">
        <v>136</v>
      </c>
      <c r="O24" s="59" t="s">
        <v>177</v>
      </c>
      <c r="P24" s="59" t="s">
        <v>137</v>
      </c>
      <c r="Q24" s="59" t="s">
        <v>114</v>
      </c>
      <c r="R24" s="59" t="s">
        <v>178</v>
      </c>
      <c r="S24" s="59" t="s">
        <v>158</v>
      </c>
      <c r="T24" s="59" t="s">
        <v>142</v>
      </c>
      <c r="U24" s="59" t="s">
        <v>95</v>
      </c>
      <c r="V24" s="59"/>
      <c r="W24" s="59"/>
      <c r="X24" s="59"/>
      <c r="Y24" s="59"/>
      <c r="Z24" s="61" t="s">
        <v>179</v>
      </c>
      <c r="AA24" s="61" t="s">
        <v>180</v>
      </c>
      <c r="AB24" s="40"/>
      <c r="AC24" s="40"/>
      <c r="AD24" s="40"/>
      <c r="AE24" s="40"/>
      <c r="AF24" s="40"/>
      <c r="AG24" s="40"/>
      <c r="AH24" s="40"/>
      <c r="AI24" s="40"/>
    </row>
    <row r="25">
      <c r="A25" s="42" t="s">
        <v>181</v>
      </c>
      <c r="B25" s="37">
        <v>2013.0</v>
      </c>
      <c r="C25" s="38" t="s">
        <v>182</v>
      </c>
      <c r="D25" s="37" t="s">
        <v>95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40"/>
      <c r="AA25" s="40"/>
      <c r="AB25" s="40"/>
      <c r="AC25" s="40"/>
      <c r="AD25" s="40"/>
      <c r="AE25" s="40"/>
      <c r="AF25" s="40"/>
      <c r="AG25" s="40"/>
      <c r="AH25" s="40"/>
      <c r="AI25" s="40"/>
    </row>
    <row r="26">
      <c r="A26" s="42" t="s">
        <v>183</v>
      </c>
      <c r="B26" s="37">
        <v>2013.0</v>
      </c>
      <c r="C26" s="38" t="s">
        <v>184</v>
      </c>
      <c r="D26" s="37" t="s">
        <v>95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40"/>
      <c r="AA26" s="40"/>
      <c r="AB26" s="40"/>
      <c r="AC26" s="40"/>
      <c r="AD26" s="40"/>
      <c r="AE26" s="40"/>
      <c r="AF26" s="40"/>
      <c r="AG26" s="40"/>
      <c r="AH26" s="40"/>
      <c r="AI26" s="40"/>
    </row>
    <row r="27">
      <c r="A27" s="42" t="s">
        <v>185</v>
      </c>
      <c r="B27" s="37">
        <v>2014.0</v>
      </c>
      <c r="C27" s="38" t="s">
        <v>186</v>
      </c>
      <c r="D27" s="20"/>
      <c r="E27" s="20"/>
      <c r="F27" s="37" t="s">
        <v>187</v>
      </c>
      <c r="G27" s="37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40"/>
      <c r="AA27" s="40"/>
      <c r="AB27" s="40"/>
      <c r="AC27" s="40"/>
      <c r="AD27" s="40"/>
      <c r="AE27" s="40"/>
      <c r="AF27" s="40"/>
      <c r="AG27" s="40"/>
      <c r="AH27" s="40"/>
      <c r="AI27" s="40"/>
    </row>
    <row r="28">
      <c r="A28" s="53" t="s">
        <v>188</v>
      </c>
      <c r="B28" s="55">
        <v>2014.0</v>
      </c>
      <c r="C28" s="57" t="s">
        <v>189</v>
      </c>
      <c r="D28" s="59"/>
      <c r="E28" s="59"/>
      <c r="F28" s="55" t="s">
        <v>130</v>
      </c>
      <c r="G28" s="55" t="s">
        <v>131</v>
      </c>
      <c r="H28" s="59"/>
      <c r="I28" s="55" t="s">
        <v>47</v>
      </c>
      <c r="J28" s="55" t="s">
        <v>132</v>
      </c>
      <c r="K28" s="55" t="s">
        <v>158</v>
      </c>
      <c r="L28" s="59" t="s">
        <v>159</v>
      </c>
      <c r="M28" s="59"/>
      <c r="N28" s="59" t="s">
        <v>109</v>
      </c>
      <c r="O28" s="59" t="s">
        <v>161</v>
      </c>
      <c r="P28" s="59" t="s">
        <v>164</v>
      </c>
      <c r="Q28" s="59" t="s">
        <v>190</v>
      </c>
      <c r="R28" s="59" t="s">
        <v>166</v>
      </c>
      <c r="S28" s="59" t="s">
        <v>158</v>
      </c>
      <c r="T28" s="55" t="s">
        <v>158</v>
      </c>
      <c r="U28" s="59"/>
      <c r="V28" s="59"/>
      <c r="W28" s="59"/>
      <c r="X28" s="59"/>
      <c r="Y28" s="59"/>
      <c r="Z28" s="61" t="s">
        <v>191</v>
      </c>
      <c r="AA28" s="61" t="s">
        <v>192</v>
      </c>
      <c r="AB28" s="40"/>
      <c r="AC28" s="40"/>
      <c r="AD28" s="40"/>
      <c r="AE28" s="40"/>
      <c r="AF28" s="40"/>
      <c r="AG28" s="40"/>
      <c r="AH28" s="40"/>
      <c r="AI28" s="40"/>
    </row>
    <row r="29">
      <c r="A29" s="42" t="s">
        <v>193</v>
      </c>
      <c r="B29" s="37">
        <v>2015.0</v>
      </c>
      <c r="C29" s="38" t="s">
        <v>194</v>
      </c>
      <c r="D29" s="20"/>
      <c r="E29" s="37" t="s">
        <v>95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40"/>
      <c r="AA29" s="40"/>
      <c r="AB29" s="40"/>
      <c r="AC29" s="40"/>
      <c r="AD29" s="40"/>
      <c r="AE29" s="40"/>
      <c r="AF29" s="40"/>
      <c r="AG29" s="40"/>
      <c r="AH29" s="40"/>
      <c r="AI29" s="40"/>
    </row>
    <row r="30">
      <c r="A30" s="42" t="s">
        <v>195</v>
      </c>
      <c r="B30" s="37">
        <v>2014.0</v>
      </c>
      <c r="C30" s="38" t="s">
        <v>196</v>
      </c>
      <c r="D30" s="20"/>
      <c r="E30" s="20"/>
      <c r="F30" s="37" t="s">
        <v>86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40"/>
      <c r="AA30" s="40"/>
      <c r="AB30" s="40"/>
      <c r="AC30" s="40"/>
      <c r="AD30" s="40"/>
      <c r="AE30" s="40"/>
      <c r="AF30" s="40"/>
      <c r="AG30" s="40"/>
      <c r="AH30" s="40"/>
      <c r="AI30" s="40"/>
    </row>
    <row r="31">
      <c r="A31" s="42" t="s">
        <v>197</v>
      </c>
      <c r="B31" s="37">
        <v>2014.0</v>
      </c>
      <c r="C31" s="38" t="s">
        <v>198</v>
      </c>
      <c r="D31" s="20"/>
      <c r="E31" s="20"/>
      <c r="F31" s="37" t="s">
        <v>199</v>
      </c>
      <c r="G31" s="37" t="s">
        <v>149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40"/>
      <c r="AA31" s="40"/>
      <c r="AB31" s="40"/>
      <c r="AC31" s="40"/>
      <c r="AD31" s="40"/>
      <c r="AE31" s="40"/>
      <c r="AF31" s="40"/>
      <c r="AG31" s="40"/>
      <c r="AH31" s="40"/>
      <c r="AI31" s="40"/>
    </row>
    <row r="32">
      <c r="A32" s="42" t="s">
        <v>200</v>
      </c>
      <c r="B32" s="37">
        <v>2015.0</v>
      </c>
      <c r="C32" s="38" t="s">
        <v>201</v>
      </c>
      <c r="D32" s="20"/>
      <c r="E32" s="20"/>
      <c r="F32" s="37" t="s">
        <v>86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40"/>
      <c r="AA32" s="40"/>
      <c r="AB32" s="40"/>
      <c r="AC32" s="40"/>
      <c r="AD32" s="40"/>
      <c r="AE32" s="40"/>
      <c r="AF32" s="40"/>
      <c r="AG32" s="40"/>
      <c r="AH32" s="40"/>
      <c r="AI32" s="40"/>
    </row>
    <row r="33">
      <c r="A33" s="42" t="s">
        <v>203</v>
      </c>
      <c r="B33" s="37">
        <v>2013.0</v>
      </c>
      <c r="C33" s="38" t="s">
        <v>204</v>
      </c>
      <c r="D33" s="20"/>
      <c r="E33" s="20"/>
      <c r="F33" s="37" t="s">
        <v>91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40"/>
      <c r="AA33" s="40"/>
      <c r="AB33" s="40"/>
      <c r="AC33" s="40"/>
      <c r="AD33" s="40"/>
      <c r="AE33" s="40"/>
      <c r="AF33" s="40"/>
      <c r="AG33" s="40"/>
      <c r="AH33" s="40"/>
      <c r="AI33" s="40"/>
    </row>
    <row r="34">
      <c r="A34" s="42" t="s">
        <v>205</v>
      </c>
      <c r="B34" s="37">
        <v>2016.0</v>
      </c>
      <c r="C34" s="38" t="s">
        <v>206</v>
      </c>
      <c r="D34" s="20"/>
      <c r="E34" s="20"/>
      <c r="F34" s="37" t="s">
        <v>91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>
      <c r="A35" s="42" t="s">
        <v>207</v>
      </c>
      <c r="B35" s="37">
        <v>2016.0</v>
      </c>
      <c r="C35" s="38" t="s">
        <v>208</v>
      </c>
      <c r="D35" s="37" t="s">
        <v>95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>
      <c r="A36" s="42" t="s">
        <v>209</v>
      </c>
      <c r="B36" s="37">
        <v>2013.0</v>
      </c>
      <c r="C36" s="38" t="s">
        <v>210</v>
      </c>
      <c r="D36" s="37" t="s">
        <v>95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>
      <c r="A37" s="42" t="s">
        <v>211</v>
      </c>
      <c r="B37" s="37">
        <v>2015.0</v>
      </c>
      <c r="C37" s="38" t="s">
        <v>212</v>
      </c>
      <c r="D37" s="20"/>
      <c r="E37" s="20"/>
      <c r="F37" s="37" t="s">
        <v>91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>
      <c r="A38" s="42" t="s">
        <v>213</v>
      </c>
      <c r="B38" s="37">
        <v>2015.0</v>
      </c>
      <c r="C38" s="38" t="s">
        <v>214</v>
      </c>
      <c r="D38" s="37" t="s">
        <v>95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>
      <c r="A39" s="42" t="s">
        <v>216</v>
      </c>
      <c r="B39" s="37">
        <v>2014.0</v>
      </c>
      <c r="C39" s="38" t="s">
        <v>217</v>
      </c>
      <c r="D39" s="37" t="s">
        <v>95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>
      <c r="A40" s="42" t="s">
        <v>218</v>
      </c>
      <c r="B40" s="37">
        <v>2014.0</v>
      </c>
      <c r="C40" s="38" t="s">
        <v>219</v>
      </c>
      <c r="D40" s="37" t="s">
        <v>95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>
      <c r="A41" s="42" t="s">
        <v>220</v>
      </c>
      <c r="B41" s="37">
        <v>2015.0</v>
      </c>
      <c r="C41" s="38" t="s">
        <v>221</v>
      </c>
      <c r="D41" s="20"/>
      <c r="E41" s="20"/>
      <c r="F41" s="37" t="s">
        <v>199</v>
      </c>
      <c r="G41" s="37" t="s">
        <v>149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>
      <c r="A42" s="53" t="s">
        <v>222</v>
      </c>
      <c r="B42" s="55">
        <v>2012.0</v>
      </c>
      <c r="C42" s="57" t="s">
        <v>223</v>
      </c>
      <c r="D42" s="59"/>
      <c r="E42" s="59"/>
      <c r="F42" s="55" t="s">
        <v>199</v>
      </c>
      <c r="G42" s="55" t="s">
        <v>131</v>
      </c>
      <c r="H42" s="59"/>
      <c r="I42" s="55" t="s">
        <v>162</v>
      </c>
      <c r="J42" s="55" t="s">
        <v>132</v>
      </c>
      <c r="K42" s="55" t="s">
        <v>158</v>
      </c>
      <c r="L42" s="59" t="s">
        <v>159</v>
      </c>
      <c r="M42" s="59"/>
      <c r="N42" s="59" t="s">
        <v>136</v>
      </c>
      <c r="O42" s="59"/>
      <c r="P42" s="59" t="s">
        <v>137</v>
      </c>
      <c r="Q42" s="59" t="s">
        <v>224</v>
      </c>
      <c r="R42" s="59" t="s">
        <v>166</v>
      </c>
      <c r="S42" s="59" t="s">
        <v>158</v>
      </c>
      <c r="T42" s="79" t="s">
        <v>142</v>
      </c>
      <c r="U42" s="79" t="s">
        <v>95</v>
      </c>
      <c r="V42" s="80"/>
      <c r="W42" s="80" t="s">
        <v>95</v>
      </c>
      <c r="X42" s="81" t="s">
        <v>95</v>
      </c>
      <c r="Y42" s="59"/>
      <c r="Z42" s="61" t="s">
        <v>226</v>
      </c>
      <c r="AA42" s="61" t="s">
        <v>227</v>
      </c>
      <c r="AB42" s="40"/>
      <c r="AC42" s="40"/>
      <c r="AD42" s="40"/>
      <c r="AE42" s="40"/>
      <c r="AF42" s="40"/>
      <c r="AG42" s="40"/>
      <c r="AH42" s="40"/>
      <c r="AI42" s="40"/>
    </row>
    <row r="43">
      <c r="A43" s="53" t="s">
        <v>228</v>
      </c>
      <c r="B43" s="55">
        <v>2014.0</v>
      </c>
      <c r="C43" s="57" t="s">
        <v>229</v>
      </c>
      <c r="D43" s="59"/>
      <c r="E43" s="59"/>
      <c r="F43" s="55" t="s">
        <v>130</v>
      </c>
      <c r="G43" s="55" t="s">
        <v>131</v>
      </c>
      <c r="H43" s="59"/>
      <c r="I43" s="55" t="s">
        <v>30</v>
      </c>
      <c r="J43" s="55" t="s">
        <v>132</v>
      </c>
      <c r="K43" s="55" t="s">
        <v>158</v>
      </c>
      <c r="L43" s="59" t="s">
        <v>159</v>
      </c>
      <c r="M43" s="59"/>
      <c r="N43" s="55" t="s">
        <v>136</v>
      </c>
      <c r="O43" s="55"/>
      <c r="P43" s="59" t="s">
        <v>137</v>
      </c>
      <c r="Q43" s="59" t="s">
        <v>224</v>
      </c>
      <c r="R43" s="55" t="s">
        <v>230</v>
      </c>
      <c r="S43" s="59" t="s">
        <v>158</v>
      </c>
      <c r="T43" s="59" t="s">
        <v>142</v>
      </c>
      <c r="U43" s="59" t="s">
        <v>95</v>
      </c>
      <c r="V43" s="59"/>
      <c r="W43" s="59" t="s">
        <v>95</v>
      </c>
      <c r="X43" s="59"/>
      <c r="Y43" s="59"/>
      <c r="Z43" s="61" t="s">
        <v>179</v>
      </c>
      <c r="AA43" s="61" t="s">
        <v>180</v>
      </c>
      <c r="AB43" s="40"/>
      <c r="AC43" s="40"/>
      <c r="AD43" s="40"/>
      <c r="AE43" s="40"/>
      <c r="AF43" s="40"/>
      <c r="AG43" s="40"/>
      <c r="AH43" s="40"/>
      <c r="AI43" s="40"/>
    </row>
    <row r="44">
      <c r="A44" s="53" t="s">
        <v>231</v>
      </c>
      <c r="B44" s="55">
        <v>2015.0</v>
      </c>
      <c r="C44" s="57" t="s">
        <v>232</v>
      </c>
      <c r="D44" s="59"/>
      <c r="E44" s="59"/>
      <c r="F44" s="55" t="s">
        <v>130</v>
      </c>
      <c r="G44" s="55" t="s">
        <v>131</v>
      </c>
      <c r="H44" s="59"/>
      <c r="I44" s="55" t="s">
        <v>33</v>
      </c>
      <c r="J44" s="55" t="s">
        <v>132</v>
      </c>
      <c r="K44" s="55" t="s">
        <v>158</v>
      </c>
      <c r="L44" s="79" t="s">
        <v>104</v>
      </c>
      <c r="M44" s="79" t="s">
        <v>233</v>
      </c>
      <c r="N44" s="82" t="s">
        <v>136</v>
      </c>
      <c r="O44" s="80"/>
      <c r="P44" s="79" t="s">
        <v>113</v>
      </c>
      <c r="Q44" s="81" t="s">
        <v>138</v>
      </c>
      <c r="R44" s="79" t="s">
        <v>178</v>
      </c>
      <c r="S44" s="82" t="s">
        <v>141</v>
      </c>
      <c r="T44" s="79" t="s">
        <v>142</v>
      </c>
      <c r="U44" s="80"/>
      <c r="V44" s="80" t="s">
        <v>95</v>
      </c>
      <c r="W44" s="59"/>
      <c r="X44" s="59"/>
      <c r="Y44" s="59"/>
      <c r="Z44" s="61" t="s">
        <v>143</v>
      </c>
      <c r="AA44" s="61" t="s">
        <v>145</v>
      </c>
      <c r="AB44" s="40"/>
      <c r="AC44" s="40"/>
      <c r="AD44" s="40"/>
      <c r="AE44" s="40"/>
      <c r="AF44" s="40"/>
      <c r="AG44" s="40"/>
      <c r="AH44" s="40"/>
      <c r="AI44" s="40"/>
    </row>
    <row r="45">
      <c r="A45" s="42" t="s">
        <v>234</v>
      </c>
      <c r="B45" s="37">
        <v>2015.0</v>
      </c>
      <c r="C45" s="38" t="s">
        <v>235</v>
      </c>
      <c r="D45" s="20"/>
      <c r="E45" s="37" t="s">
        <v>95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>
      <c r="A46" s="42" t="s">
        <v>236</v>
      </c>
      <c r="B46" s="37">
        <v>2016.0</v>
      </c>
      <c r="C46" s="38" t="s">
        <v>237</v>
      </c>
      <c r="D46" s="20"/>
      <c r="E46" s="20"/>
      <c r="F46" s="37" t="s">
        <v>86</v>
      </c>
      <c r="G46" s="20"/>
      <c r="H46" s="20"/>
      <c r="I46" s="20"/>
      <c r="J46" s="20"/>
      <c r="K46" s="37" t="s">
        <v>152</v>
      </c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40"/>
      <c r="AA46" s="40"/>
      <c r="AB46" s="40"/>
      <c r="AC46" s="40"/>
      <c r="AD46" s="40"/>
      <c r="AE46" s="40"/>
      <c r="AF46" s="40"/>
      <c r="AG46" s="40"/>
      <c r="AH46" s="40"/>
      <c r="AI46" s="40"/>
    </row>
    <row r="47">
      <c r="A47" s="42" t="s">
        <v>238</v>
      </c>
      <c r="B47" s="37">
        <v>2013.0</v>
      </c>
      <c r="C47" s="38" t="s">
        <v>239</v>
      </c>
      <c r="D47" s="37" t="s">
        <v>95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40"/>
      <c r="AA47" s="40"/>
      <c r="AB47" s="40"/>
      <c r="AC47" s="40"/>
      <c r="AD47" s="40"/>
      <c r="AE47" s="40"/>
      <c r="AF47" s="40"/>
      <c r="AG47" s="40"/>
      <c r="AH47" s="40"/>
      <c r="AI47" s="40"/>
    </row>
    <row r="48">
      <c r="A48" s="42" t="s">
        <v>240</v>
      </c>
      <c r="B48" s="37">
        <v>2013.0</v>
      </c>
      <c r="C48" s="38" t="s">
        <v>241</v>
      </c>
      <c r="D48" s="20"/>
      <c r="E48" s="37" t="s">
        <v>95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>
      <c r="A49" s="42" t="s">
        <v>242</v>
      </c>
      <c r="B49" s="37">
        <v>2013.0</v>
      </c>
      <c r="C49" s="38" t="s">
        <v>243</v>
      </c>
      <c r="D49" s="20"/>
      <c r="E49" s="20"/>
      <c r="F49" s="37" t="s">
        <v>244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>
      <c r="A50" s="42" t="s">
        <v>245</v>
      </c>
      <c r="B50" s="37">
        <v>2015.0</v>
      </c>
      <c r="C50" s="38" t="s">
        <v>246</v>
      </c>
      <c r="D50" s="37" t="s">
        <v>95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>
      <c r="A51" s="53" t="s">
        <v>248</v>
      </c>
      <c r="B51" s="55">
        <v>2013.0</v>
      </c>
      <c r="C51" s="57" t="s">
        <v>249</v>
      </c>
      <c r="D51" s="59"/>
      <c r="E51" s="59"/>
      <c r="F51" s="55" t="s">
        <v>250</v>
      </c>
      <c r="G51" s="55" t="s">
        <v>131</v>
      </c>
      <c r="H51" s="59"/>
      <c r="I51" s="55" t="s">
        <v>30</v>
      </c>
      <c r="J51" s="55" t="s">
        <v>132</v>
      </c>
      <c r="K51" s="55" t="s">
        <v>158</v>
      </c>
      <c r="L51" s="81" t="s">
        <v>159</v>
      </c>
      <c r="M51" s="80"/>
      <c r="N51" s="79" t="s">
        <v>136</v>
      </c>
      <c r="O51" s="85" t="s">
        <v>251</v>
      </c>
      <c r="P51" s="79" t="s">
        <v>164</v>
      </c>
      <c r="Q51" s="79" t="s">
        <v>252</v>
      </c>
      <c r="R51" s="79" t="s">
        <v>166</v>
      </c>
      <c r="S51" s="79" t="s">
        <v>158</v>
      </c>
      <c r="T51" s="79" t="s">
        <v>142</v>
      </c>
      <c r="U51" s="79" t="s">
        <v>95</v>
      </c>
      <c r="V51" s="80" t="s">
        <v>95</v>
      </c>
      <c r="W51" s="80"/>
      <c r="X51" s="80" t="s">
        <v>95</v>
      </c>
      <c r="Y51" s="59"/>
      <c r="Z51" s="61" t="s">
        <v>167</v>
      </c>
      <c r="AA51" s="61" t="s">
        <v>253</v>
      </c>
      <c r="AB51" s="40"/>
      <c r="AC51" s="40"/>
      <c r="AD51" s="40"/>
      <c r="AE51" s="40"/>
      <c r="AF51" s="40"/>
      <c r="AG51" s="40"/>
      <c r="AH51" s="40"/>
      <c r="AI51" s="40"/>
    </row>
    <row r="52">
      <c r="A52" s="42" t="s">
        <v>254</v>
      </c>
      <c r="B52" s="37">
        <v>2013.0</v>
      </c>
      <c r="C52" s="38" t="s">
        <v>255</v>
      </c>
      <c r="D52" s="20"/>
      <c r="E52" s="20"/>
      <c r="F52" s="37" t="s">
        <v>199</v>
      </c>
      <c r="G52" s="37" t="s">
        <v>149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>
      <c r="A53" s="53" t="s">
        <v>256</v>
      </c>
      <c r="B53" s="55">
        <v>2014.0</v>
      </c>
      <c r="C53" s="57" t="s">
        <v>257</v>
      </c>
      <c r="D53" s="59"/>
      <c r="E53" s="59"/>
      <c r="F53" s="55" t="s">
        <v>199</v>
      </c>
      <c r="G53" s="55" t="s">
        <v>131</v>
      </c>
      <c r="H53" s="59"/>
      <c r="I53" s="79" t="s">
        <v>87</v>
      </c>
      <c r="J53" s="79" t="s">
        <v>258</v>
      </c>
      <c r="K53" s="55" t="s">
        <v>158</v>
      </c>
      <c r="L53" s="59" t="s">
        <v>159</v>
      </c>
      <c r="M53" s="79"/>
      <c r="N53" s="79" t="s">
        <v>136</v>
      </c>
      <c r="O53" s="88" t="s">
        <v>251</v>
      </c>
      <c r="P53" s="79" t="s">
        <v>137</v>
      </c>
      <c r="Q53" s="82" t="s">
        <v>259</v>
      </c>
      <c r="R53" s="79" t="s">
        <v>166</v>
      </c>
      <c r="S53" s="79" t="s">
        <v>158</v>
      </c>
      <c r="T53" s="82" t="s">
        <v>142</v>
      </c>
      <c r="U53" s="59"/>
      <c r="V53" s="55" t="s">
        <v>95</v>
      </c>
      <c r="W53" s="59"/>
      <c r="X53" s="55" t="s">
        <v>95</v>
      </c>
      <c r="Y53" s="59"/>
      <c r="Z53" s="61" t="s">
        <v>260</v>
      </c>
      <c r="AA53" s="61" t="s">
        <v>261</v>
      </c>
      <c r="AB53" s="40"/>
      <c r="AC53" s="40"/>
      <c r="AD53" s="40"/>
      <c r="AE53" s="40"/>
      <c r="AF53" s="40"/>
      <c r="AG53" s="40"/>
      <c r="AH53" s="40"/>
      <c r="AI53" s="40"/>
    </row>
    <row r="54">
      <c r="A54" s="42" t="s">
        <v>262</v>
      </c>
      <c r="B54" s="37">
        <v>2015.0</v>
      </c>
      <c r="C54" s="38" t="s">
        <v>263</v>
      </c>
      <c r="D54" s="20"/>
      <c r="E54" s="20"/>
      <c r="F54" s="37" t="s">
        <v>86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>
      <c r="A55" s="42" t="s">
        <v>264</v>
      </c>
      <c r="B55" s="37">
        <v>2015.0</v>
      </c>
      <c r="C55" s="38" t="s">
        <v>265</v>
      </c>
      <c r="D55" s="37" t="s">
        <v>95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>
      <c r="A56" s="42" t="s">
        <v>266</v>
      </c>
      <c r="B56" s="37">
        <v>2016.0</v>
      </c>
      <c r="C56" s="38" t="s">
        <v>267</v>
      </c>
      <c r="D56" s="37" t="s">
        <v>95</v>
      </c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>
      <c r="A57" s="42" t="s">
        <v>268</v>
      </c>
      <c r="B57" s="37">
        <v>2015.0</v>
      </c>
      <c r="C57" s="38" t="s">
        <v>269</v>
      </c>
      <c r="D57" s="37" t="s">
        <v>95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>
      <c r="A58" s="42" t="s">
        <v>270</v>
      </c>
      <c r="B58" s="37">
        <v>2013.0</v>
      </c>
      <c r="C58" s="38" t="s">
        <v>271</v>
      </c>
      <c r="D58" s="20"/>
      <c r="E58" s="20"/>
      <c r="F58" s="37" t="s">
        <v>130</v>
      </c>
      <c r="G58" s="37" t="s">
        <v>149</v>
      </c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>
      <c r="A59" s="53" t="s">
        <v>272</v>
      </c>
      <c r="B59" s="55">
        <v>2016.0</v>
      </c>
      <c r="C59" s="57" t="s">
        <v>273</v>
      </c>
      <c r="D59" s="59"/>
      <c r="E59" s="59"/>
      <c r="F59" s="55" t="s">
        <v>130</v>
      </c>
      <c r="G59" s="55" t="s">
        <v>131</v>
      </c>
      <c r="H59" s="59"/>
      <c r="I59" s="85" t="s">
        <v>101</v>
      </c>
      <c r="J59" s="92" t="s">
        <v>274</v>
      </c>
      <c r="K59" s="55" t="s">
        <v>133</v>
      </c>
      <c r="L59" s="55" t="s">
        <v>104</v>
      </c>
      <c r="M59" s="55" t="s">
        <v>275</v>
      </c>
      <c r="N59" s="79" t="s">
        <v>136</v>
      </c>
      <c r="O59" s="59"/>
      <c r="P59" s="55" t="s">
        <v>113</v>
      </c>
      <c r="Q59" s="55" t="s">
        <v>224</v>
      </c>
      <c r="R59" s="55" t="s">
        <v>276</v>
      </c>
      <c r="S59" s="55" t="s">
        <v>141</v>
      </c>
      <c r="T59" s="55" t="s">
        <v>142</v>
      </c>
      <c r="U59" s="59"/>
      <c r="V59" s="55" t="s">
        <v>95</v>
      </c>
      <c r="W59" s="55" t="s">
        <v>95</v>
      </c>
      <c r="X59" s="59"/>
      <c r="Y59" s="59"/>
      <c r="Z59" s="61" t="s">
        <v>277</v>
      </c>
      <c r="AA59" s="61" t="s">
        <v>278</v>
      </c>
      <c r="AB59" s="40"/>
      <c r="AC59" s="40"/>
      <c r="AD59" s="40"/>
      <c r="AE59" s="40"/>
      <c r="AF59" s="40"/>
      <c r="AG59" s="40"/>
      <c r="AH59" s="40"/>
      <c r="AI59" s="40"/>
    </row>
    <row r="60">
      <c r="A60" s="42" t="s">
        <v>279</v>
      </c>
      <c r="B60" s="37">
        <v>2015.0</v>
      </c>
      <c r="C60" s="38" t="s">
        <v>280</v>
      </c>
      <c r="D60" s="20"/>
      <c r="E60" s="37" t="s">
        <v>95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>
      <c r="A61" s="42" t="s">
        <v>281</v>
      </c>
      <c r="B61" s="37">
        <v>2011.0</v>
      </c>
      <c r="C61" s="38" t="s">
        <v>282</v>
      </c>
      <c r="D61" s="37" t="s">
        <v>95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40"/>
      <c r="AA61" s="40"/>
      <c r="AB61" s="40"/>
      <c r="AC61" s="40"/>
      <c r="AD61" s="40"/>
      <c r="AE61" s="40"/>
      <c r="AF61" s="40"/>
      <c r="AG61" s="40"/>
      <c r="AH61" s="40"/>
      <c r="AI61" s="40"/>
    </row>
    <row r="62">
      <c r="A62" s="42" t="s">
        <v>283</v>
      </c>
      <c r="B62" s="37">
        <v>2015.0</v>
      </c>
      <c r="C62" s="38" t="s">
        <v>284</v>
      </c>
      <c r="D62" s="20"/>
      <c r="E62" s="20"/>
      <c r="F62" s="37" t="s">
        <v>199</v>
      </c>
      <c r="G62" s="37" t="s">
        <v>149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40"/>
      <c r="AA62" s="40"/>
      <c r="AB62" s="40"/>
      <c r="AC62" s="40"/>
      <c r="AD62" s="40"/>
      <c r="AE62" s="40"/>
      <c r="AF62" s="40"/>
      <c r="AG62" s="40"/>
      <c r="AH62" s="40"/>
      <c r="AI62" s="40"/>
    </row>
    <row r="63">
      <c r="A63" s="53" t="s">
        <v>287</v>
      </c>
      <c r="B63" s="55">
        <v>2015.0</v>
      </c>
      <c r="C63" s="57" t="s">
        <v>288</v>
      </c>
      <c r="D63" s="59"/>
      <c r="E63" s="59"/>
      <c r="F63" s="55" t="s">
        <v>130</v>
      </c>
      <c r="G63" s="55" t="s">
        <v>131</v>
      </c>
      <c r="H63" s="59"/>
      <c r="I63" s="55" t="s">
        <v>107</v>
      </c>
      <c r="J63" s="55" t="s">
        <v>132</v>
      </c>
      <c r="K63" s="55" t="s">
        <v>133</v>
      </c>
      <c r="L63" s="55" t="s">
        <v>159</v>
      </c>
      <c r="M63" s="59"/>
      <c r="N63" s="55" t="s">
        <v>109</v>
      </c>
      <c r="O63" s="55" t="s">
        <v>289</v>
      </c>
      <c r="P63" s="55" t="s">
        <v>164</v>
      </c>
      <c r="Q63" s="82" t="s">
        <v>290</v>
      </c>
      <c r="R63" s="79" t="s">
        <v>166</v>
      </c>
      <c r="S63" s="55" t="s">
        <v>141</v>
      </c>
      <c r="T63" s="55" t="s">
        <v>142</v>
      </c>
      <c r="U63" s="55" t="s">
        <v>95</v>
      </c>
      <c r="V63" s="59"/>
      <c r="W63" s="55" t="s">
        <v>95</v>
      </c>
      <c r="X63" s="55" t="s">
        <v>95</v>
      </c>
      <c r="Y63" s="59"/>
      <c r="Z63" s="61" t="s">
        <v>291</v>
      </c>
      <c r="AA63" s="61" t="s">
        <v>292</v>
      </c>
      <c r="AB63" s="40"/>
      <c r="AC63" s="40"/>
      <c r="AD63" s="40"/>
      <c r="AE63" s="40"/>
      <c r="AF63" s="40"/>
      <c r="AG63" s="40"/>
      <c r="AH63" s="40"/>
      <c r="AI63" s="40"/>
    </row>
    <row r="64">
      <c r="A64" s="42" t="s">
        <v>293</v>
      </c>
      <c r="B64" s="37">
        <v>2015.0</v>
      </c>
      <c r="C64" s="38" t="s">
        <v>294</v>
      </c>
      <c r="D64" s="37" t="s">
        <v>95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40"/>
      <c r="AA64" s="40"/>
      <c r="AB64" s="40"/>
      <c r="AC64" s="40"/>
      <c r="AD64" s="40"/>
      <c r="AE64" s="40"/>
      <c r="AF64" s="40"/>
      <c r="AG64" s="40"/>
      <c r="AH64" s="40"/>
      <c r="AI64" s="40"/>
    </row>
    <row r="65">
      <c r="A65" s="42" t="s">
        <v>295</v>
      </c>
      <c r="B65" s="37">
        <v>2013.0</v>
      </c>
      <c r="C65" s="38" t="s">
        <v>296</v>
      </c>
      <c r="D65" s="37" t="s">
        <v>95</v>
      </c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40"/>
      <c r="AA65" s="40"/>
      <c r="AB65" s="40"/>
      <c r="AC65" s="40"/>
      <c r="AD65" s="40"/>
      <c r="AE65" s="40"/>
      <c r="AF65" s="40"/>
      <c r="AG65" s="40"/>
      <c r="AH65" s="40"/>
      <c r="AI65" s="40"/>
    </row>
    <row r="66">
      <c r="A66" s="42" t="s">
        <v>297</v>
      </c>
      <c r="B66" s="37">
        <v>2015.0</v>
      </c>
      <c r="C66" s="38" t="s">
        <v>298</v>
      </c>
      <c r="D66" s="20"/>
      <c r="E66" s="20"/>
      <c r="F66" s="37" t="s">
        <v>199</v>
      </c>
      <c r="G66" s="37" t="s">
        <v>149</v>
      </c>
      <c r="H66" s="20"/>
      <c r="I66" s="20"/>
      <c r="J66" s="20"/>
      <c r="K66" s="20"/>
      <c r="L66" s="20"/>
      <c r="M66" s="46" t="s">
        <v>104</v>
      </c>
      <c r="N66" s="93" t="s">
        <v>136</v>
      </c>
      <c r="O66" s="49"/>
      <c r="P66" s="46" t="s">
        <v>113</v>
      </c>
      <c r="Q66" s="46" t="s">
        <v>138</v>
      </c>
      <c r="R66" s="46" t="s">
        <v>299</v>
      </c>
      <c r="S66" s="20"/>
      <c r="T66" s="20"/>
      <c r="U66" s="20"/>
      <c r="V66" s="20"/>
      <c r="W66" s="20"/>
      <c r="X66" s="20"/>
      <c r="Y66" s="20"/>
      <c r="Z66" s="40"/>
      <c r="AA66" s="40"/>
      <c r="AB66" s="40"/>
      <c r="AC66" s="40"/>
      <c r="AD66" s="40"/>
      <c r="AE66" s="40"/>
      <c r="AF66" s="40"/>
      <c r="AG66" s="40"/>
      <c r="AH66" s="40"/>
      <c r="AI66" s="40"/>
    </row>
    <row r="67">
      <c r="A67" s="53" t="s">
        <v>300</v>
      </c>
      <c r="B67" s="55">
        <v>2016.0</v>
      </c>
      <c r="C67" s="57" t="s">
        <v>301</v>
      </c>
      <c r="D67" s="59"/>
      <c r="E67" s="59"/>
      <c r="F67" s="55" t="s">
        <v>130</v>
      </c>
      <c r="G67" s="55" t="s">
        <v>131</v>
      </c>
      <c r="H67" s="59"/>
      <c r="I67" s="55" t="s">
        <v>88</v>
      </c>
      <c r="J67" s="55" t="s">
        <v>132</v>
      </c>
      <c r="K67" s="55" t="s">
        <v>133</v>
      </c>
      <c r="L67" s="55" t="s">
        <v>134</v>
      </c>
      <c r="M67" s="55" t="s">
        <v>135</v>
      </c>
      <c r="N67" s="79" t="s">
        <v>136</v>
      </c>
      <c r="O67" s="59"/>
      <c r="P67" s="55" t="s">
        <v>137</v>
      </c>
      <c r="Q67" s="55" t="s">
        <v>138</v>
      </c>
      <c r="R67" s="55" t="s">
        <v>166</v>
      </c>
      <c r="S67" s="55" t="s">
        <v>141</v>
      </c>
      <c r="T67" s="55" t="s">
        <v>142</v>
      </c>
      <c r="U67" s="55"/>
      <c r="V67" s="55" t="s">
        <v>95</v>
      </c>
      <c r="W67" s="55" t="s">
        <v>95</v>
      </c>
      <c r="X67" s="55"/>
      <c r="Y67" s="59"/>
      <c r="Z67" s="61" t="s">
        <v>179</v>
      </c>
      <c r="AA67" s="61" t="s">
        <v>302</v>
      </c>
      <c r="AB67" s="40"/>
      <c r="AC67" s="40"/>
      <c r="AD67" s="40"/>
      <c r="AE67" s="40"/>
      <c r="AF67" s="40"/>
      <c r="AG67" s="40"/>
      <c r="AH67" s="40"/>
      <c r="AI67" s="40"/>
    </row>
    <row r="68">
      <c r="A68" s="42" t="s">
        <v>303</v>
      </c>
      <c r="B68" s="37">
        <v>2016.0</v>
      </c>
      <c r="C68" s="38" t="s">
        <v>304</v>
      </c>
      <c r="D68" s="37" t="s">
        <v>95</v>
      </c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40"/>
      <c r="AA68" s="40"/>
      <c r="AB68" s="40"/>
      <c r="AC68" s="40"/>
      <c r="AD68" s="40"/>
      <c r="AE68" s="40"/>
      <c r="AF68" s="40"/>
      <c r="AG68" s="40"/>
      <c r="AH68" s="40"/>
      <c r="AI68" s="40"/>
    </row>
    <row r="69">
      <c r="A69" s="42" t="s">
        <v>305</v>
      </c>
      <c r="B69" s="37">
        <v>2015.0</v>
      </c>
      <c r="C69" s="38" t="s">
        <v>306</v>
      </c>
      <c r="D69" s="37" t="s">
        <v>95</v>
      </c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40"/>
      <c r="AA69" s="40"/>
      <c r="AB69" s="40"/>
      <c r="AC69" s="40"/>
      <c r="AD69" s="40"/>
      <c r="AE69" s="40"/>
      <c r="AF69" s="40"/>
      <c r="AG69" s="40"/>
      <c r="AH69" s="40"/>
      <c r="AI69" s="40"/>
    </row>
    <row r="70">
      <c r="A70" s="42" t="s">
        <v>307</v>
      </c>
      <c r="B70" s="37">
        <v>2013.0</v>
      </c>
      <c r="C70" s="38" t="s">
        <v>308</v>
      </c>
      <c r="D70" s="20"/>
      <c r="E70" s="20"/>
      <c r="F70" s="37" t="s">
        <v>130</v>
      </c>
      <c r="G70" s="37" t="s">
        <v>149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40"/>
      <c r="AA70" s="40"/>
      <c r="AB70" s="40"/>
      <c r="AC70" s="40"/>
      <c r="AD70" s="40"/>
      <c r="AE70" s="40"/>
      <c r="AF70" s="40"/>
      <c r="AG70" s="40"/>
      <c r="AH70" s="40"/>
      <c r="AI70" s="40"/>
    </row>
    <row r="71">
      <c r="A71" s="42" t="s">
        <v>309</v>
      </c>
      <c r="B71" s="37">
        <v>2015.0</v>
      </c>
      <c r="C71" s="38" t="s">
        <v>310</v>
      </c>
      <c r="D71" s="20"/>
      <c r="E71" s="20"/>
      <c r="F71" s="37" t="s">
        <v>86</v>
      </c>
      <c r="G71" s="20"/>
      <c r="H71" s="20"/>
      <c r="I71" s="20"/>
      <c r="J71" s="20"/>
      <c r="K71" s="37" t="s">
        <v>152</v>
      </c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40"/>
      <c r="AA71" s="40"/>
      <c r="AB71" s="40"/>
      <c r="AC71" s="40"/>
      <c r="AD71" s="40"/>
      <c r="AE71" s="40"/>
      <c r="AF71" s="40"/>
      <c r="AG71" s="40"/>
      <c r="AH71" s="40"/>
      <c r="AI71" s="40"/>
    </row>
    <row r="72">
      <c r="A72" s="42" t="s">
        <v>311</v>
      </c>
      <c r="B72" s="37">
        <v>2016.0</v>
      </c>
      <c r="C72" s="38" t="s">
        <v>312</v>
      </c>
      <c r="D72" s="37" t="s">
        <v>95</v>
      </c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40"/>
      <c r="AA72" s="40"/>
      <c r="AB72" s="40"/>
      <c r="AC72" s="40"/>
      <c r="AD72" s="40"/>
      <c r="AE72" s="40"/>
      <c r="AF72" s="40"/>
      <c r="AG72" s="40"/>
      <c r="AH72" s="40"/>
      <c r="AI72" s="40"/>
    </row>
    <row r="73">
      <c r="A73" s="42" t="s">
        <v>313</v>
      </c>
      <c r="B73" s="37">
        <v>2015.0</v>
      </c>
      <c r="C73" s="38" t="s">
        <v>314</v>
      </c>
      <c r="D73" s="37" t="s">
        <v>95</v>
      </c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40"/>
      <c r="AA73" s="40"/>
      <c r="AB73" s="40"/>
      <c r="AC73" s="40"/>
      <c r="AD73" s="40"/>
      <c r="AE73" s="40"/>
      <c r="AF73" s="40"/>
      <c r="AG73" s="40"/>
      <c r="AH73" s="40"/>
      <c r="AI73" s="40"/>
    </row>
    <row r="74">
      <c r="A74" s="42" t="s">
        <v>315</v>
      </c>
      <c r="B74" s="37">
        <v>2015.0</v>
      </c>
      <c r="C74" s="38" t="s">
        <v>316</v>
      </c>
      <c r="D74" s="20"/>
      <c r="E74" s="20"/>
      <c r="F74" s="37" t="s">
        <v>199</v>
      </c>
      <c r="G74" s="37" t="s">
        <v>149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40"/>
      <c r="AA74" s="40"/>
      <c r="AB74" s="40"/>
      <c r="AC74" s="40"/>
      <c r="AD74" s="40"/>
      <c r="AE74" s="40"/>
      <c r="AF74" s="40"/>
      <c r="AG74" s="40"/>
      <c r="AH74" s="40"/>
      <c r="AI74" s="40"/>
    </row>
    <row r="75">
      <c r="A75" s="42" t="s">
        <v>317</v>
      </c>
      <c r="B75" s="37">
        <v>2015.0</v>
      </c>
      <c r="C75" s="38" t="s">
        <v>318</v>
      </c>
      <c r="D75" s="20"/>
      <c r="E75" s="20"/>
      <c r="F75" s="37" t="s">
        <v>130</v>
      </c>
      <c r="G75" s="37" t="s">
        <v>149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40"/>
      <c r="AA75" s="40"/>
      <c r="AB75" s="40"/>
      <c r="AC75" s="40"/>
      <c r="AD75" s="40"/>
      <c r="AE75" s="40"/>
      <c r="AF75" s="40"/>
      <c r="AG75" s="40"/>
      <c r="AH75" s="40"/>
      <c r="AI75" s="40"/>
    </row>
    <row r="76">
      <c r="A76" s="42" t="s">
        <v>319</v>
      </c>
      <c r="B76" s="37">
        <v>2015.0</v>
      </c>
      <c r="C76" s="38" t="s">
        <v>320</v>
      </c>
      <c r="D76" s="37" t="s">
        <v>95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40"/>
      <c r="AA76" s="40"/>
      <c r="AB76" s="40"/>
      <c r="AC76" s="40"/>
      <c r="AD76" s="40"/>
      <c r="AE76" s="40"/>
      <c r="AF76" s="40"/>
      <c r="AG76" s="40"/>
      <c r="AH76" s="40"/>
      <c r="AI76" s="40"/>
    </row>
    <row r="77">
      <c r="A77" s="53" t="s">
        <v>321</v>
      </c>
      <c r="B77" s="55">
        <v>2015.0</v>
      </c>
      <c r="C77" s="57" t="s">
        <v>322</v>
      </c>
      <c r="D77" s="59"/>
      <c r="E77" s="59"/>
      <c r="F77" s="55" t="s">
        <v>130</v>
      </c>
      <c r="G77" s="55" t="s">
        <v>131</v>
      </c>
      <c r="H77" s="59"/>
      <c r="I77" s="55" t="s">
        <v>29</v>
      </c>
      <c r="J77" s="55" t="s">
        <v>132</v>
      </c>
      <c r="K77" s="55" t="s">
        <v>158</v>
      </c>
      <c r="L77" s="59" t="s">
        <v>159</v>
      </c>
      <c r="M77" s="59"/>
      <c r="N77" s="59" t="s">
        <v>136</v>
      </c>
      <c r="O77" s="59" t="s">
        <v>177</v>
      </c>
      <c r="P77" s="59" t="s">
        <v>137</v>
      </c>
      <c r="Q77" s="59" t="s">
        <v>114</v>
      </c>
      <c r="R77" s="59" t="s">
        <v>166</v>
      </c>
      <c r="S77" s="59" t="s">
        <v>158</v>
      </c>
      <c r="T77" s="59" t="s">
        <v>142</v>
      </c>
      <c r="U77" s="59"/>
      <c r="V77" s="59" t="s">
        <v>95</v>
      </c>
      <c r="W77" s="55" t="s">
        <v>95</v>
      </c>
      <c r="X77" s="59"/>
      <c r="Y77" s="59"/>
      <c r="Z77" s="61" t="s">
        <v>179</v>
      </c>
      <c r="AA77" s="61" t="s">
        <v>323</v>
      </c>
      <c r="AB77" s="40"/>
      <c r="AC77" s="40"/>
      <c r="AD77" s="40"/>
      <c r="AE77" s="40"/>
      <c r="AF77" s="40"/>
      <c r="AG77" s="40"/>
      <c r="AH77" s="40"/>
      <c r="AI77" s="40"/>
    </row>
    <row r="78">
      <c r="A78" s="42" t="s">
        <v>324</v>
      </c>
      <c r="B78" s="37">
        <v>2015.0</v>
      </c>
      <c r="C78" s="38" t="s">
        <v>325</v>
      </c>
      <c r="D78" s="37" t="s">
        <v>95</v>
      </c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40"/>
      <c r="AA78" s="40"/>
      <c r="AB78" s="40"/>
      <c r="AC78" s="40"/>
      <c r="AD78" s="40"/>
      <c r="AE78" s="40"/>
      <c r="AF78" s="40"/>
      <c r="AG78" s="40"/>
      <c r="AH78" s="40"/>
      <c r="AI78" s="40"/>
    </row>
    <row r="79">
      <c r="A79" s="42" t="s">
        <v>326</v>
      </c>
      <c r="B79" s="37">
        <v>2014.0</v>
      </c>
      <c r="C79" s="38" t="s">
        <v>327</v>
      </c>
      <c r="D79" s="20"/>
      <c r="E79" s="20"/>
      <c r="F79" s="37" t="s">
        <v>86</v>
      </c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40"/>
      <c r="AA79" s="40"/>
      <c r="AB79" s="40"/>
      <c r="AC79" s="40"/>
      <c r="AD79" s="40"/>
      <c r="AE79" s="40"/>
      <c r="AF79" s="40"/>
      <c r="AG79" s="40"/>
      <c r="AH79" s="40"/>
      <c r="AI79" s="40"/>
    </row>
    <row r="80">
      <c r="A80" s="42" t="s">
        <v>328</v>
      </c>
      <c r="B80" s="37">
        <v>2016.0</v>
      </c>
      <c r="C80" s="38" t="s">
        <v>329</v>
      </c>
      <c r="D80" s="37" t="s">
        <v>95</v>
      </c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40"/>
      <c r="AA80" s="40"/>
      <c r="AB80" s="40"/>
      <c r="AC80" s="40"/>
      <c r="AD80" s="40"/>
      <c r="AE80" s="40"/>
      <c r="AF80" s="40"/>
      <c r="AG80" s="40"/>
      <c r="AH80" s="40"/>
      <c r="AI80" s="40"/>
    </row>
    <row r="81">
      <c r="A81" s="42" t="s">
        <v>330</v>
      </c>
      <c r="B81" s="37">
        <v>2015.0</v>
      </c>
      <c r="C81" s="38" t="s">
        <v>331</v>
      </c>
      <c r="D81" s="20"/>
      <c r="E81" s="20"/>
      <c r="F81" s="37" t="s">
        <v>86</v>
      </c>
      <c r="G81" s="20"/>
      <c r="H81" s="20"/>
      <c r="I81" s="20"/>
      <c r="J81" s="20"/>
      <c r="K81" s="37" t="s">
        <v>152</v>
      </c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40"/>
      <c r="AA81" s="40"/>
      <c r="AB81" s="40"/>
      <c r="AC81" s="40"/>
      <c r="AD81" s="40"/>
      <c r="AE81" s="40"/>
      <c r="AF81" s="40"/>
      <c r="AG81" s="40"/>
      <c r="AH81" s="40"/>
      <c r="AI81" s="40"/>
    </row>
    <row r="82">
      <c r="A82" s="53" t="s">
        <v>333</v>
      </c>
      <c r="B82" s="55">
        <v>2016.0</v>
      </c>
      <c r="C82" s="57" t="s">
        <v>334</v>
      </c>
      <c r="D82" s="59"/>
      <c r="E82" s="59"/>
      <c r="F82" s="55" t="s">
        <v>130</v>
      </c>
      <c r="G82" s="55" t="s">
        <v>131</v>
      </c>
      <c r="H82" s="59"/>
      <c r="I82" s="94" t="s">
        <v>112</v>
      </c>
      <c r="J82" s="55" t="s">
        <v>132</v>
      </c>
      <c r="K82" s="55" t="s">
        <v>133</v>
      </c>
      <c r="L82" s="55" t="s">
        <v>104</v>
      </c>
      <c r="M82" s="95" t="s">
        <v>335</v>
      </c>
      <c r="N82" s="55" t="s">
        <v>136</v>
      </c>
      <c r="O82" s="59"/>
      <c r="P82" s="55" t="s">
        <v>164</v>
      </c>
      <c r="Q82" s="55" t="s">
        <v>336</v>
      </c>
      <c r="R82" s="55" t="s">
        <v>178</v>
      </c>
      <c r="S82" s="55" t="s">
        <v>158</v>
      </c>
      <c r="T82" s="55" t="s">
        <v>158</v>
      </c>
      <c r="U82" s="59"/>
      <c r="V82" s="59"/>
      <c r="W82" s="59"/>
      <c r="X82" s="59"/>
      <c r="Y82" s="59"/>
      <c r="Z82" s="61" t="s">
        <v>167</v>
      </c>
      <c r="AA82" s="61" t="s">
        <v>253</v>
      </c>
      <c r="AB82" s="40"/>
      <c r="AC82" s="40"/>
      <c r="AD82" s="40"/>
      <c r="AE82" s="40"/>
      <c r="AF82" s="40"/>
      <c r="AG82" s="40"/>
      <c r="AH82" s="40"/>
      <c r="AI82" s="40"/>
    </row>
    <row r="83">
      <c r="A83" s="42" t="s">
        <v>337</v>
      </c>
      <c r="B83" s="37">
        <v>2015.0</v>
      </c>
      <c r="C83" s="38" t="s">
        <v>338</v>
      </c>
      <c r="D83" s="37" t="s">
        <v>95</v>
      </c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40"/>
      <c r="AA83" s="40"/>
      <c r="AB83" s="40"/>
      <c r="AC83" s="40"/>
      <c r="AD83" s="40"/>
      <c r="AE83" s="40"/>
      <c r="AF83" s="40"/>
      <c r="AG83" s="40"/>
      <c r="AH83" s="40"/>
      <c r="AI83" s="40"/>
    </row>
    <row r="84">
      <c r="A84" s="42" t="s">
        <v>339</v>
      </c>
      <c r="B84" s="37">
        <v>2015.0</v>
      </c>
      <c r="C84" s="38" t="s">
        <v>340</v>
      </c>
      <c r="D84" s="20"/>
      <c r="E84" s="20"/>
      <c r="F84" s="37" t="s">
        <v>91</v>
      </c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40"/>
      <c r="AA84" s="40"/>
      <c r="AB84" s="40"/>
      <c r="AC84" s="40"/>
      <c r="AD84" s="40"/>
      <c r="AE84" s="40"/>
      <c r="AF84" s="40"/>
      <c r="AG84" s="40"/>
      <c r="AH84" s="40"/>
      <c r="AI84" s="40"/>
    </row>
    <row r="85">
      <c r="A85" s="55" t="s">
        <v>341</v>
      </c>
      <c r="B85" s="55">
        <v>2015.0</v>
      </c>
      <c r="C85" s="57" t="s">
        <v>342</v>
      </c>
      <c r="D85" s="59"/>
      <c r="E85" s="59"/>
      <c r="F85" s="55" t="s">
        <v>130</v>
      </c>
      <c r="G85" s="55" t="s">
        <v>131</v>
      </c>
      <c r="H85" s="59"/>
      <c r="I85" s="80" t="s">
        <v>30</v>
      </c>
      <c r="J85" s="80" t="s">
        <v>132</v>
      </c>
      <c r="K85" s="55" t="s">
        <v>133</v>
      </c>
      <c r="L85" s="59" t="s">
        <v>159</v>
      </c>
      <c r="M85" s="59"/>
      <c r="N85" s="59" t="s">
        <v>136</v>
      </c>
      <c r="O85" s="55" t="s">
        <v>251</v>
      </c>
      <c r="P85" s="59" t="s">
        <v>137</v>
      </c>
      <c r="Q85" s="59" t="s">
        <v>114</v>
      </c>
      <c r="R85" s="59" t="s">
        <v>178</v>
      </c>
      <c r="S85" s="55" t="s">
        <v>343</v>
      </c>
      <c r="T85" s="55" t="s">
        <v>142</v>
      </c>
      <c r="U85" s="55" t="s">
        <v>95</v>
      </c>
      <c r="V85" s="55" t="s">
        <v>95</v>
      </c>
      <c r="W85" s="55" t="s">
        <v>95</v>
      </c>
      <c r="X85" s="59"/>
      <c r="Y85" s="59"/>
      <c r="Z85" s="61" t="s">
        <v>260</v>
      </c>
      <c r="AA85" s="61" t="s">
        <v>344</v>
      </c>
      <c r="AB85" s="40"/>
      <c r="AC85" s="40"/>
      <c r="AD85" s="40"/>
      <c r="AE85" s="40"/>
      <c r="AF85" s="40"/>
      <c r="AG85" s="40"/>
      <c r="AH85" s="40"/>
      <c r="AI85" s="40"/>
    </row>
    <row r="86">
      <c r="A86" s="42" t="s">
        <v>345</v>
      </c>
      <c r="B86" s="37">
        <v>2015.0</v>
      </c>
      <c r="C86" s="38" t="s">
        <v>346</v>
      </c>
      <c r="D86" s="20"/>
      <c r="E86" s="20"/>
      <c r="F86" s="37" t="s">
        <v>91</v>
      </c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40"/>
      <c r="AA86" s="40"/>
      <c r="AB86" s="40"/>
      <c r="AC86" s="40"/>
      <c r="AD86" s="40"/>
      <c r="AE86" s="40"/>
      <c r="AF86" s="40"/>
      <c r="AG86" s="40"/>
      <c r="AH86" s="40"/>
      <c r="AI86" s="40"/>
    </row>
    <row r="87">
      <c r="A87" s="42" t="s">
        <v>347</v>
      </c>
      <c r="B87" s="37">
        <v>2015.0</v>
      </c>
      <c r="C87" s="38" t="s">
        <v>348</v>
      </c>
      <c r="D87" s="37" t="s">
        <v>95</v>
      </c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40"/>
      <c r="AA87" s="40"/>
      <c r="AB87" s="40"/>
      <c r="AC87" s="40"/>
      <c r="AD87" s="40"/>
      <c r="AE87" s="40"/>
      <c r="AF87" s="40"/>
      <c r="AG87" s="40"/>
      <c r="AH87" s="40"/>
      <c r="AI87" s="40"/>
    </row>
    <row r="88">
      <c r="A88" s="42" t="s">
        <v>349</v>
      </c>
      <c r="B88" s="37">
        <v>2014.0</v>
      </c>
      <c r="C88" s="38" t="s">
        <v>350</v>
      </c>
      <c r="D88" s="37" t="s">
        <v>95</v>
      </c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>
      <c r="A89" s="42" t="s">
        <v>351</v>
      </c>
      <c r="B89" s="37">
        <v>2015.0</v>
      </c>
      <c r="C89" s="38" t="s">
        <v>352</v>
      </c>
      <c r="D89" s="20"/>
      <c r="E89" s="20"/>
      <c r="F89" s="37" t="s">
        <v>199</v>
      </c>
      <c r="G89" s="37" t="s">
        <v>149</v>
      </c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>
      <c r="A90" s="42" t="s">
        <v>353</v>
      </c>
      <c r="B90" s="37">
        <v>2014.0</v>
      </c>
      <c r="C90" s="38" t="s">
        <v>354</v>
      </c>
      <c r="D90" s="20"/>
      <c r="E90" s="20"/>
      <c r="F90" s="37" t="s">
        <v>91</v>
      </c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>
      <c r="A91" s="42" t="s">
        <v>355</v>
      </c>
      <c r="B91" s="37">
        <v>2012.0</v>
      </c>
      <c r="C91" s="38" t="s">
        <v>356</v>
      </c>
      <c r="D91" s="37" t="s">
        <v>95</v>
      </c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>
      <c r="A92" s="42" t="s">
        <v>357</v>
      </c>
      <c r="B92" s="37">
        <v>2015.0</v>
      </c>
      <c r="C92" s="38" t="s">
        <v>358</v>
      </c>
      <c r="D92" s="20"/>
      <c r="E92" s="20"/>
      <c r="F92" s="37" t="s">
        <v>86</v>
      </c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>
      <c r="A93" s="42" t="s">
        <v>359</v>
      </c>
      <c r="B93" s="37">
        <v>2014.0</v>
      </c>
      <c r="C93" s="38" t="s">
        <v>360</v>
      </c>
      <c r="D93" s="20"/>
      <c r="E93" s="20"/>
      <c r="F93" s="37" t="s">
        <v>86</v>
      </c>
      <c r="G93" s="20"/>
      <c r="H93" s="20"/>
      <c r="I93" s="20"/>
      <c r="J93" s="20"/>
      <c r="K93" s="37" t="s">
        <v>152</v>
      </c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>
      <c r="A94" s="42" t="s">
        <v>361</v>
      </c>
      <c r="B94" s="37">
        <v>2015.0</v>
      </c>
      <c r="C94" s="38" t="s">
        <v>362</v>
      </c>
      <c r="D94" s="20"/>
      <c r="E94" s="20"/>
      <c r="F94" s="37" t="s">
        <v>199</v>
      </c>
      <c r="G94" s="37" t="s">
        <v>149</v>
      </c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>
      <c r="A95" s="53" t="s">
        <v>363</v>
      </c>
      <c r="B95" s="55">
        <v>2013.0</v>
      </c>
      <c r="C95" s="57" t="s">
        <v>364</v>
      </c>
      <c r="D95" s="59"/>
      <c r="E95" s="59"/>
      <c r="F95" s="55" t="s">
        <v>130</v>
      </c>
      <c r="G95" s="55" t="s">
        <v>131</v>
      </c>
      <c r="H95" s="59"/>
      <c r="I95" s="79" t="s">
        <v>110</v>
      </c>
      <c r="J95" s="79" t="s">
        <v>132</v>
      </c>
      <c r="K95" s="55" t="s">
        <v>158</v>
      </c>
      <c r="L95" s="59" t="s">
        <v>159</v>
      </c>
      <c r="M95" s="59"/>
      <c r="N95" s="59" t="s">
        <v>109</v>
      </c>
      <c r="O95" s="59" t="s">
        <v>365</v>
      </c>
      <c r="P95" s="59" t="s">
        <v>137</v>
      </c>
      <c r="Q95" s="59" t="s">
        <v>224</v>
      </c>
      <c r="R95" s="59" t="s">
        <v>166</v>
      </c>
      <c r="S95" s="59" t="s">
        <v>158</v>
      </c>
      <c r="T95" s="59" t="s">
        <v>142</v>
      </c>
      <c r="U95" s="59"/>
      <c r="V95" s="59"/>
      <c r="W95" s="59" t="s">
        <v>95</v>
      </c>
      <c r="X95" s="55" t="s">
        <v>95</v>
      </c>
      <c r="Y95" s="59"/>
      <c r="Z95" s="61" t="s">
        <v>366</v>
      </c>
      <c r="AA95" s="61" t="s">
        <v>367</v>
      </c>
      <c r="AB95" s="40"/>
      <c r="AC95" s="40"/>
      <c r="AD95" s="40"/>
      <c r="AE95" s="40"/>
      <c r="AF95" s="40"/>
      <c r="AG95" s="40"/>
      <c r="AH95" s="40"/>
      <c r="AI95" s="40"/>
    </row>
    <row r="96">
      <c r="A96" s="42" t="s">
        <v>368</v>
      </c>
      <c r="B96" s="37">
        <v>2014.0</v>
      </c>
      <c r="C96" s="38" t="s">
        <v>369</v>
      </c>
      <c r="D96" s="20"/>
      <c r="E96" s="20"/>
      <c r="F96" s="37" t="s">
        <v>91</v>
      </c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>
      <c r="A97" s="42" t="s">
        <v>370</v>
      </c>
      <c r="B97" s="37">
        <v>2016.0</v>
      </c>
      <c r="C97" s="38" t="s">
        <v>371</v>
      </c>
      <c r="D97" s="20"/>
      <c r="E97" s="20"/>
      <c r="F97" s="96" t="s">
        <v>86</v>
      </c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>
      <c r="A98" s="42" t="s">
        <v>372</v>
      </c>
      <c r="B98" s="37">
        <v>2015.0</v>
      </c>
      <c r="C98" s="38" t="s">
        <v>373</v>
      </c>
      <c r="D98" s="20"/>
      <c r="E98" s="20"/>
      <c r="F98" s="37" t="s">
        <v>91</v>
      </c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>
      <c r="A99" s="42" t="s">
        <v>374</v>
      </c>
      <c r="B99" s="37">
        <v>2013.0</v>
      </c>
      <c r="C99" s="38" t="s">
        <v>375</v>
      </c>
      <c r="D99" s="20"/>
      <c r="E99" s="20"/>
      <c r="F99" s="37" t="s">
        <v>199</v>
      </c>
      <c r="G99" s="37" t="s">
        <v>149</v>
      </c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>
      <c r="A100" s="42" t="s">
        <v>376</v>
      </c>
      <c r="B100" s="37">
        <v>2016.0</v>
      </c>
      <c r="C100" s="38" t="s">
        <v>377</v>
      </c>
      <c r="D100" s="37" t="s">
        <v>95</v>
      </c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>
      <c r="A101" s="42" t="s">
        <v>378</v>
      </c>
      <c r="B101" s="37">
        <v>2015.0</v>
      </c>
      <c r="C101" s="38" t="s">
        <v>379</v>
      </c>
      <c r="D101" s="20"/>
      <c r="E101" s="20"/>
      <c r="F101" s="37" t="s">
        <v>130</v>
      </c>
      <c r="G101" s="37" t="s">
        <v>149</v>
      </c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>
      <c r="A102" s="42" t="s">
        <v>380</v>
      </c>
      <c r="B102" s="37">
        <v>2015.0</v>
      </c>
      <c r="C102" s="38" t="s">
        <v>381</v>
      </c>
      <c r="D102" s="20"/>
      <c r="E102" s="20"/>
      <c r="F102" s="37" t="s">
        <v>91</v>
      </c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>
      <c r="A103" s="42" t="s">
        <v>382</v>
      </c>
      <c r="B103" s="37">
        <v>2015.0</v>
      </c>
      <c r="C103" s="38" t="s">
        <v>383</v>
      </c>
      <c r="D103" s="37" t="s">
        <v>95</v>
      </c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>
      <c r="A104" s="53" t="s">
        <v>384</v>
      </c>
      <c r="B104" s="55">
        <v>2015.0</v>
      </c>
      <c r="C104" s="57" t="s">
        <v>385</v>
      </c>
      <c r="D104" s="59"/>
      <c r="E104" s="59"/>
      <c r="F104" s="55" t="s">
        <v>130</v>
      </c>
      <c r="G104" s="55" t="s">
        <v>131</v>
      </c>
      <c r="H104" s="59"/>
      <c r="I104" s="55" t="s">
        <v>105</v>
      </c>
      <c r="J104" s="79" t="s">
        <v>132</v>
      </c>
      <c r="K104" s="55" t="s">
        <v>133</v>
      </c>
      <c r="L104" s="59" t="s">
        <v>159</v>
      </c>
      <c r="M104" s="59"/>
      <c r="N104" s="59" t="s">
        <v>136</v>
      </c>
      <c r="O104" s="59"/>
      <c r="P104" s="55" t="s">
        <v>137</v>
      </c>
      <c r="Q104" s="59" t="s">
        <v>224</v>
      </c>
      <c r="R104" s="55" t="s">
        <v>178</v>
      </c>
      <c r="S104" s="55" t="s">
        <v>158</v>
      </c>
      <c r="T104" s="55" t="s">
        <v>142</v>
      </c>
      <c r="U104" s="59"/>
      <c r="V104" s="59"/>
      <c r="W104" s="55" t="s">
        <v>95</v>
      </c>
      <c r="X104" s="59"/>
      <c r="Y104" s="59"/>
      <c r="Z104" s="61" t="s">
        <v>260</v>
      </c>
      <c r="AA104" s="61" t="s">
        <v>386</v>
      </c>
      <c r="AB104" s="40"/>
      <c r="AC104" s="40"/>
      <c r="AD104" s="40"/>
      <c r="AE104" s="40"/>
      <c r="AF104" s="40"/>
      <c r="AG104" s="40"/>
      <c r="AH104" s="40"/>
      <c r="AI104" s="40"/>
    </row>
    <row r="105">
      <c r="A105" s="42" t="s">
        <v>387</v>
      </c>
      <c r="B105" s="37">
        <v>2015.0</v>
      </c>
      <c r="C105" s="38" t="s">
        <v>388</v>
      </c>
      <c r="D105" s="37" t="s">
        <v>95</v>
      </c>
      <c r="E105" s="20"/>
      <c r="F105" s="20"/>
      <c r="G105" s="20"/>
      <c r="H105" s="20"/>
      <c r="I105" s="20"/>
      <c r="J105" s="20"/>
      <c r="K105" s="20"/>
      <c r="L105" s="20"/>
      <c r="M105" s="55" t="s">
        <v>104</v>
      </c>
      <c r="N105" s="59" t="s">
        <v>136</v>
      </c>
      <c r="O105" s="20"/>
      <c r="P105" s="55" t="s">
        <v>113</v>
      </c>
      <c r="Q105" s="55" t="s">
        <v>114</v>
      </c>
      <c r="R105" s="55" t="s">
        <v>389</v>
      </c>
      <c r="S105" s="20"/>
      <c r="T105" s="20"/>
      <c r="U105" s="20"/>
      <c r="V105" s="20"/>
      <c r="W105" s="20"/>
      <c r="X105" s="20"/>
      <c r="Y105" s="2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>
      <c r="A106" s="53" t="s">
        <v>390</v>
      </c>
      <c r="B106" s="55">
        <v>2015.0</v>
      </c>
      <c r="C106" s="57" t="s">
        <v>391</v>
      </c>
      <c r="D106" s="59"/>
      <c r="E106" s="59"/>
      <c r="F106" s="55" t="s">
        <v>130</v>
      </c>
      <c r="G106" s="55" t="s">
        <v>131</v>
      </c>
      <c r="H106" s="59"/>
      <c r="I106" s="79" t="s">
        <v>92</v>
      </c>
      <c r="J106" s="79" t="s">
        <v>132</v>
      </c>
      <c r="K106" s="55" t="s">
        <v>158</v>
      </c>
      <c r="L106" s="59" t="s">
        <v>134</v>
      </c>
      <c r="M106" s="59" t="s">
        <v>392</v>
      </c>
      <c r="N106" s="59" t="s">
        <v>136</v>
      </c>
      <c r="O106" s="55" t="s">
        <v>251</v>
      </c>
      <c r="P106" s="59" t="s">
        <v>164</v>
      </c>
      <c r="Q106" s="55" t="s">
        <v>393</v>
      </c>
      <c r="R106" s="59" t="s">
        <v>166</v>
      </c>
      <c r="S106" s="55" t="s">
        <v>141</v>
      </c>
      <c r="T106" s="59" t="s">
        <v>142</v>
      </c>
      <c r="U106" s="59"/>
      <c r="V106" s="59" t="s">
        <v>95</v>
      </c>
      <c r="W106" s="59" t="s">
        <v>95</v>
      </c>
      <c r="X106" s="59"/>
      <c r="Y106" s="59"/>
      <c r="Z106" s="61" t="s">
        <v>143</v>
      </c>
      <c r="AA106" s="61" t="s">
        <v>394</v>
      </c>
      <c r="AB106" s="40"/>
      <c r="AC106" s="40"/>
      <c r="AD106" s="40"/>
      <c r="AE106" s="40"/>
      <c r="AF106" s="40"/>
      <c r="AG106" s="40"/>
      <c r="AH106" s="40"/>
      <c r="AI106" s="40"/>
    </row>
    <row r="107">
      <c r="A107" s="42" t="s">
        <v>395</v>
      </c>
      <c r="B107" s="37">
        <v>2016.0</v>
      </c>
      <c r="C107" s="38" t="s">
        <v>396</v>
      </c>
      <c r="D107" s="37" t="s">
        <v>95</v>
      </c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</row>
    <row r="108">
      <c r="A108" s="42" t="s">
        <v>397</v>
      </c>
      <c r="B108" s="37">
        <v>2013.0</v>
      </c>
      <c r="C108" s="38" t="s">
        <v>398</v>
      </c>
      <c r="D108" s="20"/>
      <c r="E108" s="20"/>
      <c r="F108" s="37" t="s">
        <v>91</v>
      </c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</row>
    <row r="109">
      <c r="A109" s="42" t="s">
        <v>399</v>
      </c>
      <c r="B109" s="37">
        <v>2015.0</v>
      </c>
      <c r="C109" s="38" t="s">
        <v>400</v>
      </c>
      <c r="D109" s="20"/>
      <c r="E109" s="20"/>
      <c r="F109" s="37" t="s">
        <v>86</v>
      </c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</row>
    <row r="110">
      <c r="A110" s="42" t="s">
        <v>401</v>
      </c>
      <c r="B110" s="37">
        <v>2016.0</v>
      </c>
      <c r="C110" s="38" t="s">
        <v>402</v>
      </c>
      <c r="D110" s="37" t="s">
        <v>95</v>
      </c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</row>
    <row r="111">
      <c r="A111" s="42" t="s">
        <v>403</v>
      </c>
      <c r="B111" s="37">
        <v>2013.0</v>
      </c>
      <c r="C111" s="38" t="s">
        <v>404</v>
      </c>
      <c r="D111" s="37" t="s">
        <v>95</v>
      </c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</row>
    <row r="112">
      <c r="A112" s="42" t="s">
        <v>405</v>
      </c>
      <c r="B112" s="37">
        <v>2015.0</v>
      </c>
      <c r="C112" s="38" t="s">
        <v>406</v>
      </c>
      <c r="D112" s="20"/>
      <c r="E112" s="20"/>
      <c r="F112" s="37" t="s">
        <v>91</v>
      </c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</row>
    <row r="113">
      <c r="A113" s="42" t="s">
        <v>407</v>
      </c>
      <c r="B113" s="37">
        <v>2016.0</v>
      </c>
      <c r="C113" s="38" t="s">
        <v>408</v>
      </c>
      <c r="D113" s="20"/>
      <c r="E113" s="20"/>
      <c r="F113" s="37" t="s">
        <v>91</v>
      </c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</row>
    <row r="114">
      <c r="A114" s="53" t="s">
        <v>409</v>
      </c>
      <c r="B114" s="55">
        <v>2015.0</v>
      </c>
      <c r="C114" s="57" t="s">
        <v>410</v>
      </c>
      <c r="D114" s="59"/>
      <c r="E114" s="59"/>
      <c r="F114" s="55" t="s">
        <v>130</v>
      </c>
      <c r="G114" s="55" t="s">
        <v>131</v>
      </c>
      <c r="H114" s="59"/>
      <c r="I114" s="80" t="s">
        <v>33</v>
      </c>
      <c r="J114" s="79" t="s">
        <v>132</v>
      </c>
      <c r="K114" s="55" t="s">
        <v>158</v>
      </c>
      <c r="L114" s="55" t="s">
        <v>104</v>
      </c>
      <c r="M114" s="55" t="s">
        <v>411</v>
      </c>
      <c r="N114" s="59" t="s">
        <v>136</v>
      </c>
      <c r="O114" s="59"/>
      <c r="P114" s="59" t="s">
        <v>113</v>
      </c>
      <c r="Q114" s="59" t="s">
        <v>138</v>
      </c>
      <c r="R114" s="59" t="s">
        <v>276</v>
      </c>
      <c r="S114" s="59" t="s">
        <v>158</v>
      </c>
      <c r="T114" s="59" t="s">
        <v>142</v>
      </c>
      <c r="U114" s="59"/>
      <c r="V114" s="59"/>
      <c r="W114" s="59" t="s">
        <v>95</v>
      </c>
      <c r="X114" s="59"/>
      <c r="Y114" s="59"/>
      <c r="Z114" s="61" t="s">
        <v>412</v>
      </c>
      <c r="AA114" s="61" t="s">
        <v>413</v>
      </c>
      <c r="AB114" s="40"/>
      <c r="AC114" s="40"/>
      <c r="AD114" s="40"/>
      <c r="AE114" s="40"/>
      <c r="AF114" s="40"/>
      <c r="AG114" s="40"/>
      <c r="AH114" s="40"/>
      <c r="AI114" s="40"/>
    </row>
    <row r="115">
      <c r="A115" s="53" t="s">
        <v>414</v>
      </c>
      <c r="B115" s="55">
        <v>2013.0</v>
      </c>
      <c r="C115" s="57" t="s">
        <v>415</v>
      </c>
      <c r="D115" s="59"/>
      <c r="E115" s="59"/>
      <c r="F115" s="55" t="s">
        <v>130</v>
      </c>
      <c r="G115" s="55" t="s">
        <v>131</v>
      </c>
      <c r="H115" s="59"/>
      <c r="I115" s="80" t="s">
        <v>144</v>
      </c>
      <c r="J115" s="79" t="s">
        <v>132</v>
      </c>
      <c r="K115" s="55" t="s">
        <v>158</v>
      </c>
      <c r="L115" s="59" t="s">
        <v>159</v>
      </c>
      <c r="M115" s="59"/>
      <c r="N115" s="59" t="s">
        <v>136</v>
      </c>
      <c r="O115" s="59"/>
      <c r="P115" s="59" t="s">
        <v>113</v>
      </c>
      <c r="Q115" s="59" t="s">
        <v>224</v>
      </c>
      <c r="R115" s="59" t="s">
        <v>178</v>
      </c>
      <c r="S115" s="55" t="s">
        <v>141</v>
      </c>
      <c r="T115" s="59" t="s">
        <v>158</v>
      </c>
      <c r="U115" s="59"/>
      <c r="V115" s="59"/>
      <c r="W115" s="59"/>
      <c r="X115" s="59"/>
      <c r="Y115" s="59"/>
      <c r="Z115" s="61" t="s">
        <v>226</v>
      </c>
      <c r="AA115" s="61" t="s">
        <v>416</v>
      </c>
      <c r="AB115" s="40"/>
      <c r="AC115" s="40"/>
      <c r="AD115" s="40"/>
      <c r="AE115" s="40"/>
      <c r="AF115" s="40"/>
      <c r="AG115" s="40"/>
      <c r="AH115" s="40"/>
      <c r="AI115" s="40"/>
    </row>
    <row r="116">
      <c r="A116" s="42" t="s">
        <v>417</v>
      </c>
      <c r="B116" s="37">
        <v>2016.0</v>
      </c>
      <c r="C116" s="38" t="s">
        <v>418</v>
      </c>
      <c r="D116" s="20"/>
      <c r="E116" s="20"/>
      <c r="F116" s="37" t="s">
        <v>91</v>
      </c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>
      <c r="A117" s="42" t="s">
        <v>419</v>
      </c>
      <c r="B117" s="37">
        <v>2015.0</v>
      </c>
      <c r="C117" s="38" t="s">
        <v>420</v>
      </c>
      <c r="D117" s="20"/>
      <c r="E117" s="20"/>
      <c r="F117" s="37" t="s">
        <v>199</v>
      </c>
      <c r="G117" s="37" t="s">
        <v>149</v>
      </c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>
      <c r="A118" s="42" t="s">
        <v>421</v>
      </c>
      <c r="B118" s="37">
        <v>2013.0</v>
      </c>
      <c r="C118" s="38" t="s">
        <v>422</v>
      </c>
      <c r="D118" s="37" t="s">
        <v>95</v>
      </c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>
      <c r="A119" s="42" t="s">
        <v>423</v>
      </c>
      <c r="B119" s="37">
        <v>2015.0</v>
      </c>
      <c r="C119" s="38" t="s">
        <v>424</v>
      </c>
      <c r="D119" s="20"/>
      <c r="E119" s="20"/>
      <c r="F119" s="37" t="s">
        <v>86</v>
      </c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>
      <c r="A120" s="42" t="s">
        <v>425</v>
      </c>
      <c r="B120" s="37">
        <v>2014.0</v>
      </c>
      <c r="C120" s="38" t="s">
        <v>426</v>
      </c>
      <c r="D120" s="20"/>
      <c r="E120" s="20"/>
      <c r="F120" s="37" t="s">
        <v>130</v>
      </c>
      <c r="G120" s="37" t="s">
        <v>149</v>
      </c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>
      <c r="A121" s="42" t="s">
        <v>427</v>
      </c>
      <c r="B121" s="37">
        <v>2013.0</v>
      </c>
      <c r="C121" s="38" t="s">
        <v>428</v>
      </c>
      <c r="D121" s="20"/>
      <c r="E121" s="20"/>
      <c r="F121" s="37" t="s">
        <v>91</v>
      </c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>
      <c r="A122" s="42" t="s">
        <v>429</v>
      </c>
      <c r="B122" s="37">
        <v>2015.0</v>
      </c>
      <c r="C122" s="38" t="s">
        <v>430</v>
      </c>
      <c r="D122" s="20"/>
      <c r="E122" s="20"/>
      <c r="F122" s="37" t="s">
        <v>130</v>
      </c>
      <c r="G122" s="37" t="s">
        <v>149</v>
      </c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>
      <c r="A123" s="42" t="s">
        <v>431</v>
      </c>
      <c r="B123" s="37">
        <v>2013.0</v>
      </c>
      <c r="C123" s="38" t="s">
        <v>432</v>
      </c>
      <c r="D123" s="20"/>
      <c r="E123" s="37" t="s">
        <v>95</v>
      </c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>
      <c r="A124" s="42" t="s">
        <v>433</v>
      </c>
      <c r="B124" s="37">
        <v>2013.0</v>
      </c>
      <c r="C124" s="38" t="s">
        <v>434</v>
      </c>
      <c r="D124" s="20"/>
      <c r="E124" s="20"/>
      <c r="F124" s="37" t="s">
        <v>199</v>
      </c>
      <c r="G124" s="37" t="s">
        <v>149</v>
      </c>
      <c r="H124" s="20"/>
      <c r="I124" s="20"/>
      <c r="J124" s="20"/>
      <c r="K124" s="20"/>
      <c r="L124" s="20"/>
      <c r="M124" s="46" t="s">
        <v>104</v>
      </c>
      <c r="N124" s="49" t="s">
        <v>136</v>
      </c>
      <c r="O124" s="49"/>
      <c r="P124" s="46" t="s">
        <v>113</v>
      </c>
      <c r="Q124" s="46" t="s">
        <v>138</v>
      </c>
      <c r="R124" s="46" t="s">
        <v>435</v>
      </c>
      <c r="S124" s="20"/>
      <c r="T124" s="20"/>
      <c r="U124" s="20"/>
      <c r="V124" s="20"/>
      <c r="W124" s="20"/>
      <c r="X124" s="20"/>
      <c r="Y124" s="2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</row>
    <row r="125">
      <c r="A125" s="53" t="s">
        <v>436</v>
      </c>
      <c r="B125" s="55">
        <v>2013.0</v>
      </c>
      <c r="C125" s="57" t="s">
        <v>437</v>
      </c>
      <c r="D125" s="59"/>
      <c r="E125" s="59"/>
      <c r="F125" s="55" t="s">
        <v>130</v>
      </c>
      <c r="G125" s="55" t="s">
        <v>131</v>
      </c>
      <c r="H125" s="59"/>
      <c r="I125" s="55" t="s">
        <v>33</v>
      </c>
      <c r="J125" s="79" t="s">
        <v>132</v>
      </c>
      <c r="K125" s="55" t="s">
        <v>158</v>
      </c>
      <c r="L125" s="59" t="s">
        <v>134</v>
      </c>
      <c r="M125" s="59" t="s">
        <v>438</v>
      </c>
      <c r="N125" s="59" t="s">
        <v>136</v>
      </c>
      <c r="O125" s="59"/>
      <c r="P125" s="59" t="s">
        <v>113</v>
      </c>
      <c r="Q125" s="55" t="s">
        <v>114</v>
      </c>
      <c r="R125" s="59" t="s">
        <v>439</v>
      </c>
      <c r="S125" s="59" t="s">
        <v>158</v>
      </c>
      <c r="T125" s="59" t="s">
        <v>142</v>
      </c>
      <c r="U125" s="59"/>
      <c r="V125" s="59" t="s">
        <v>95</v>
      </c>
      <c r="W125" s="59"/>
      <c r="X125" s="59"/>
      <c r="Y125" s="59"/>
      <c r="Z125" s="61" t="s">
        <v>440</v>
      </c>
      <c r="AA125" s="61" t="s">
        <v>441</v>
      </c>
      <c r="AB125" s="40"/>
      <c r="AC125" s="40"/>
      <c r="AD125" s="40"/>
      <c r="AE125" s="40"/>
      <c r="AF125" s="40"/>
      <c r="AG125" s="40"/>
      <c r="AH125" s="40"/>
      <c r="AI125" s="40"/>
    </row>
    <row r="126">
      <c r="A126" s="42" t="s">
        <v>442</v>
      </c>
      <c r="B126" s="37">
        <v>2015.0</v>
      </c>
      <c r="C126" s="38" t="s">
        <v>443</v>
      </c>
      <c r="D126" s="20"/>
      <c r="E126" s="20"/>
      <c r="F126" s="37" t="s">
        <v>86</v>
      </c>
      <c r="G126" s="20"/>
      <c r="H126" s="20"/>
      <c r="I126" s="20"/>
      <c r="J126" s="20"/>
      <c r="K126" s="37" t="s">
        <v>152</v>
      </c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</row>
    <row r="127">
      <c r="A127" s="53" t="s">
        <v>444</v>
      </c>
      <c r="B127" s="55">
        <v>2015.0</v>
      </c>
      <c r="C127" s="57" t="s">
        <v>445</v>
      </c>
      <c r="D127" s="59"/>
      <c r="E127" s="59"/>
      <c r="F127" s="55" t="s">
        <v>130</v>
      </c>
      <c r="G127" s="55" t="s">
        <v>131</v>
      </c>
      <c r="H127" s="59"/>
      <c r="I127" s="55" t="s">
        <v>29</v>
      </c>
      <c r="J127" s="79" t="s">
        <v>132</v>
      </c>
      <c r="K127" s="55" t="s">
        <v>158</v>
      </c>
      <c r="L127" s="59" t="s">
        <v>159</v>
      </c>
      <c r="M127" s="59"/>
      <c r="N127" s="59" t="s">
        <v>446</v>
      </c>
      <c r="O127" s="59"/>
      <c r="P127" s="59" t="s">
        <v>164</v>
      </c>
      <c r="Q127" s="59" t="s">
        <v>165</v>
      </c>
      <c r="R127" s="59" t="s">
        <v>178</v>
      </c>
      <c r="S127" s="59" t="s">
        <v>158</v>
      </c>
      <c r="T127" s="59" t="s">
        <v>142</v>
      </c>
      <c r="U127" s="59" t="s">
        <v>95</v>
      </c>
      <c r="V127" s="59" t="s">
        <v>95</v>
      </c>
      <c r="W127" s="59" t="s">
        <v>95</v>
      </c>
      <c r="X127" s="59"/>
      <c r="Y127" s="59" t="s">
        <v>95</v>
      </c>
      <c r="Z127" s="61" t="s">
        <v>226</v>
      </c>
      <c r="AA127" s="61" t="s">
        <v>227</v>
      </c>
      <c r="AB127" s="40"/>
      <c r="AC127" s="40"/>
      <c r="AD127" s="40"/>
      <c r="AE127" s="40"/>
      <c r="AF127" s="40"/>
      <c r="AG127" s="40"/>
      <c r="AH127" s="40"/>
      <c r="AI127" s="40"/>
    </row>
    <row r="128">
      <c r="A128" s="42" t="s">
        <v>447</v>
      </c>
      <c r="B128" s="37">
        <v>2014.0</v>
      </c>
      <c r="C128" s="38" t="s">
        <v>448</v>
      </c>
      <c r="D128" s="20"/>
      <c r="E128" s="20"/>
      <c r="F128" s="37" t="s">
        <v>199</v>
      </c>
      <c r="G128" s="37" t="s">
        <v>149</v>
      </c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</row>
    <row r="129">
      <c r="A129" s="42" t="s">
        <v>449</v>
      </c>
      <c r="B129" s="37">
        <v>2013.0</v>
      </c>
      <c r="C129" s="38" t="s">
        <v>450</v>
      </c>
      <c r="D129" s="20"/>
      <c r="E129" s="20"/>
      <c r="F129" s="37" t="s">
        <v>130</v>
      </c>
      <c r="G129" s="37" t="s">
        <v>149</v>
      </c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</row>
    <row r="130">
      <c r="A130" s="42" t="s">
        <v>451</v>
      </c>
      <c r="B130" s="37">
        <v>2013.0</v>
      </c>
      <c r="C130" s="38" t="s">
        <v>452</v>
      </c>
      <c r="D130" s="37" t="s">
        <v>95</v>
      </c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</row>
    <row r="131">
      <c r="A131" s="42" t="s">
        <v>453</v>
      </c>
      <c r="B131" s="37">
        <v>2015.0</v>
      </c>
      <c r="C131" s="38" t="s">
        <v>454</v>
      </c>
      <c r="D131" s="20"/>
      <c r="E131" s="20"/>
      <c r="F131" s="37" t="s">
        <v>199</v>
      </c>
      <c r="G131" s="37" t="s">
        <v>149</v>
      </c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</row>
    <row r="132">
      <c r="A132" s="53" t="s">
        <v>455</v>
      </c>
      <c r="B132" s="55">
        <v>2013.0</v>
      </c>
      <c r="C132" s="57" t="s">
        <v>456</v>
      </c>
      <c r="D132" s="59"/>
      <c r="E132" s="59"/>
      <c r="F132" s="55" t="s">
        <v>130</v>
      </c>
      <c r="G132" s="55" t="s">
        <v>131</v>
      </c>
      <c r="H132" s="59"/>
      <c r="I132" s="55" t="s">
        <v>157</v>
      </c>
      <c r="J132" s="55" t="s">
        <v>132</v>
      </c>
      <c r="K132" s="55" t="s">
        <v>158</v>
      </c>
      <c r="L132" s="59" t="s">
        <v>159</v>
      </c>
      <c r="M132" s="59"/>
      <c r="N132" s="59" t="s">
        <v>136</v>
      </c>
      <c r="O132" s="59" t="s">
        <v>251</v>
      </c>
      <c r="P132" s="59" t="s">
        <v>164</v>
      </c>
      <c r="Q132" s="59" t="s">
        <v>457</v>
      </c>
      <c r="R132" s="59" t="s">
        <v>166</v>
      </c>
      <c r="S132" s="59" t="s">
        <v>158</v>
      </c>
      <c r="T132" s="59" t="s">
        <v>142</v>
      </c>
      <c r="U132" s="59"/>
      <c r="V132" s="55" t="s">
        <v>95</v>
      </c>
      <c r="W132" s="59" t="s">
        <v>95</v>
      </c>
      <c r="X132" s="59"/>
      <c r="Y132" s="59"/>
      <c r="Z132" s="61" t="s">
        <v>167</v>
      </c>
      <c r="AA132" s="61" t="s">
        <v>458</v>
      </c>
      <c r="AB132" s="40"/>
      <c r="AC132" s="40"/>
      <c r="AD132" s="40"/>
      <c r="AE132" s="40"/>
      <c r="AF132" s="40"/>
      <c r="AG132" s="40"/>
      <c r="AH132" s="40"/>
      <c r="AI132" s="40"/>
    </row>
    <row r="133">
      <c r="A133" s="42" t="s">
        <v>459</v>
      </c>
      <c r="B133" s="37">
        <v>2015.0</v>
      </c>
      <c r="C133" s="38" t="s">
        <v>460</v>
      </c>
      <c r="D133" s="20"/>
      <c r="E133" s="37" t="s">
        <v>95</v>
      </c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</row>
    <row r="134">
      <c r="A134" s="42" t="s">
        <v>461</v>
      </c>
      <c r="B134" s="37">
        <v>2015.0</v>
      </c>
      <c r="C134" s="38" t="s">
        <v>462</v>
      </c>
      <c r="D134" s="20"/>
      <c r="E134" s="20"/>
      <c r="F134" s="37" t="s">
        <v>91</v>
      </c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</row>
    <row r="135">
      <c r="A135" s="53" t="s">
        <v>463</v>
      </c>
      <c r="B135" s="55">
        <v>2013.0</v>
      </c>
      <c r="C135" s="57" t="s">
        <v>464</v>
      </c>
      <c r="D135" s="59"/>
      <c r="E135" s="59"/>
      <c r="F135" s="55" t="s">
        <v>130</v>
      </c>
      <c r="G135" s="55" t="s">
        <v>131</v>
      </c>
      <c r="H135" s="59"/>
      <c r="I135" s="55" t="s">
        <v>79</v>
      </c>
      <c r="J135" s="55" t="s">
        <v>132</v>
      </c>
      <c r="K135" s="55" t="s">
        <v>158</v>
      </c>
      <c r="L135" s="59" t="s">
        <v>159</v>
      </c>
      <c r="M135" s="59"/>
      <c r="N135" s="59" t="s">
        <v>109</v>
      </c>
      <c r="O135" s="59" t="s">
        <v>365</v>
      </c>
      <c r="P135" s="59" t="s">
        <v>164</v>
      </c>
      <c r="Q135" s="59" t="s">
        <v>290</v>
      </c>
      <c r="R135" s="59" t="s">
        <v>166</v>
      </c>
      <c r="S135" s="59" t="s">
        <v>158</v>
      </c>
      <c r="T135" s="59" t="s">
        <v>142</v>
      </c>
      <c r="U135" s="59"/>
      <c r="V135" s="59" t="s">
        <v>95</v>
      </c>
      <c r="W135" s="59" t="s">
        <v>95</v>
      </c>
      <c r="X135" s="59"/>
      <c r="Y135" s="59"/>
      <c r="Z135" s="61" t="s">
        <v>226</v>
      </c>
      <c r="AA135" s="61" t="s">
        <v>465</v>
      </c>
      <c r="AB135" s="40"/>
      <c r="AC135" s="40"/>
      <c r="AD135" s="40"/>
      <c r="AE135" s="40"/>
      <c r="AF135" s="40"/>
      <c r="AG135" s="40"/>
      <c r="AH135" s="40"/>
      <c r="AI135" s="40"/>
    </row>
    <row r="136">
      <c r="A136" s="53" t="s">
        <v>466</v>
      </c>
      <c r="B136" s="55">
        <v>2012.0</v>
      </c>
      <c r="C136" s="57" t="s">
        <v>467</v>
      </c>
      <c r="D136" s="59"/>
      <c r="E136" s="59"/>
      <c r="F136" s="55" t="s">
        <v>199</v>
      </c>
      <c r="G136" s="55" t="s">
        <v>131</v>
      </c>
      <c r="H136" s="59"/>
      <c r="I136" s="55" t="s">
        <v>29</v>
      </c>
      <c r="J136" s="55" t="s">
        <v>132</v>
      </c>
      <c r="K136" s="55" t="s">
        <v>158</v>
      </c>
      <c r="L136" s="59" t="s">
        <v>159</v>
      </c>
      <c r="M136" s="59"/>
      <c r="N136" s="59" t="s">
        <v>446</v>
      </c>
      <c r="O136" s="59"/>
      <c r="P136" s="59" t="s">
        <v>164</v>
      </c>
      <c r="Q136" s="59" t="s">
        <v>165</v>
      </c>
      <c r="R136" s="59" t="s">
        <v>166</v>
      </c>
      <c r="S136" s="55" t="s">
        <v>343</v>
      </c>
      <c r="T136" s="59" t="s">
        <v>158</v>
      </c>
      <c r="U136" s="59"/>
      <c r="V136" s="59"/>
      <c r="W136" s="59"/>
      <c r="X136" s="59"/>
      <c r="Y136" s="59"/>
      <c r="Z136" s="61" t="s">
        <v>167</v>
      </c>
      <c r="AA136" s="61" t="s">
        <v>253</v>
      </c>
      <c r="AB136" s="40"/>
      <c r="AC136" s="40"/>
      <c r="AD136" s="40"/>
      <c r="AE136" s="40"/>
      <c r="AF136" s="40"/>
      <c r="AG136" s="40"/>
      <c r="AH136" s="40"/>
      <c r="AI136" s="40"/>
    </row>
    <row r="137">
      <c r="A137" s="42" t="s">
        <v>468</v>
      </c>
      <c r="B137" s="37">
        <v>2013.0</v>
      </c>
      <c r="C137" s="38" t="s">
        <v>469</v>
      </c>
      <c r="D137" s="37" t="s">
        <v>95</v>
      </c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</row>
    <row r="138">
      <c r="A138" s="42" t="s">
        <v>470</v>
      </c>
      <c r="B138" s="37">
        <v>2013.0</v>
      </c>
      <c r="C138" s="38" t="s">
        <v>471</v>
      </c>
      <c r="D138" s="37" t="s">
        <v>95</v>
      </c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</row>
    <row r="139">
      <c r="A139" s="53" t="s">
        <v>472</v>
      </c>
      <c r="B139" s="55">
        <v>2016.0</v>
      </c>
      <c r="C139" s="57" t="s">
        <v>473</v>
      </c>
      <c r="D139" s="59"/>
      <c r="E139" s="59"/>
      <c r="F139" s="55" t="s">
        <v>130</v>
      </c>
      <c r="G139" s="55" t="s">
        <v>131</v>
      </c>
      <c r="H139" s="59"/>
      <c r="I139" s="55" t="s">
        <v>57</v>
      </c>
      <c r="J139" s="55" t="s">
        <v>132</v>
      </c>
      <c r="K139" s="55" t="s">
        <v>133</v>
      </c>
      <c r="L139" s="59" t="s">
        <v>159</v>
      </c>
      <c r="M139" s="55"/>
      <c r="N139" s="59" t="s">
        <v>136</v>
      </c>
      <c r="O139" s="88" t="s">
        <v>251</v>
      </c>
      <c r="P139" s="55" t="s">
        <v>137</v>
      </c>
      <c r="Q139" s="55" t="s">
        <v>224</v>
      </c>
      <c r="R139" s="55" t="s">
        <v>178</v>
      </c>
      <c r="S139" s="55" t="s">
        <v>141</v>
      </c>
      <c r="T139" s="55" t="s">
        <v>142</v>
      </c>
      <c r="U139" s="55" t="s">
        <v>95</v>
      </c>
      <c r="V139" s="55" t="s">
        <v>95</v>
      </c>
      <c r="W139" s="55" t="s">
        <v>95</v>
      </c>
      <c r="X139" s="59"/>
      <c r="Y139" s="55" t="s">
        <v>95</v>
      </c>
      <c r="Z139" s="61" t="s">
        <v>143</v>
      </c>
      <c r="AA139" s="61" t="s">
        <v>394</v>
      </c>
      <c r="AB139" s="40"/>
      <c r="AC139" s="40"/>
      <c r="AD139" s="40"/>
      <c r="AE139" s="40"/>
      <c r="AF139" s="40"/>
      <c r="AG139" s="40"/>
      <c r="AH139" s="40"/>
      <c r="AI139" s="40"/>
    </row>
    <row r="140">
      <c r="A140" s="42" t="s">
        <v>474</v>
      </c>
      <c r="B140" s="37">
        <v>2013.0</v>
      </c>
      <c r="C140" s="38" t="s">
        <v>475</v>
      </c>
      <c r="D140" s="37"/>
      <c r="E140" s="37" t="s">
        <v>95</v>
      </c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</row>
    <row r="141">
      <c r="A141" s="42" t="s">
        <v>476</v>
      </c>
      <c r="B141" s="37">
        <v>2014.0</v>
      </c>
      <c r="C141" s="38" t="s">
        <v>477</v>
      </c>
      <c r="D141" s="20"/>
      <c r="E141" s="20"/>
      <c r="F141" s="37" t="s">
        <v>199</v>
      </c>
      <c r="G141" s="37" t="s">
        <v>149</v>
      </c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</row>
    <row r="142">
      <c r="A142" s="42" t="s">
        <v>478</v>
      </c>
      <c r="B142" s="37">
        <v>2014.0</v>
      </c>
      <c r="C142" s="38" t="s">
        <v>479</v>
      </c>
      <c r="D142" s="20"/>
      <c r="E142" s="20"/>
      <c r="F142" s="37" t="s">
        <v>91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</row>
    <row r="143">
      <c r="A143" s="53" t="s">
        <v>480</v>
      </c>
      <c r="B143" s="55">
        <v>2015.0</v>
      </c>
      <c r="C143" s="57" t="s">
        <v>481</v>
      </c>
      <c r="D143" s="59"/>
      <c r="E143" s="59"/>
      <c r="F143" s="55" t="s">
        <v>130</v>
      </c>
      <c r="G143" s="55" t="s">
        <v>131</v>
      </c>
      <c r="H143" s="59"/>
      <c r="I143" s="55" t="s">
        <v>29</v>
      </c>
      <c r="J143" s="55" t="s">
        <v>132</v>
      </c>
      <c r="K143" s="55" t="s">
        <v>158</v>
      </c>
      <c r="L143" s="59" t="s">
        <v>159</v>
      </c>
      <c r="M143" s="59"/>
      <c r="N143" s="59" t="s">
        <v>109</v>
      </c>
      <c r="O143" s="59" t="s">
        <v>161</v>
      </c>
      <c r="P143" s="59" t="s">
        <v>113</v>
      </c>
      <c r="Q143" s="59" t="s">
        <v>259</v>
      </c>
      <c r="R143" s="59" t="s">
        <v>178</v>
      </c>
      <c r="S143" s="55" t="s">
        <v>141</v>
      </c>
      <c r="T143" s="59" t="s">
        <v>142</v>
      </c>
      <c r="U143" s="59" t="s">
        <v>95</v>
      </c>
      <c r="V143" s="59"/>
      <c r="W143" s="59" t="s">
        <v>95</v>
      </c>
      <c r="X143" s="59" t="s">
        <v>95</v>
      </c>
      <c r="Y143" s="59"/>
      <c r="Z143" s="61" t="s">
        <v>260</v>
      </c>
      <c r="AA143" s="61" t="s">
        <v>344</v>
      </c>
      <c r="AB143" s="40"/>
      <c r="AC143" s="40"/>
      <c r="AD143" s="40"/>
      <c r="AE143" s="40"/>
      <c r="AF143" s="40"/>
      <c r="AG143" s="40"/>
      <c r="AH143" s="40"/>
      <c r="AI143" s="40"/>
    </row>
    <row r="144">
      <c r="A144" s="42" t="s">
        <v>482</v>
      </c>
      <c r="B144" s="37">
        <v>2015.0</v>
      </c>
      <c r="C144" s="38" t="s">
        <v>483</v>
      </c>
      <c r="D144" s="20"/>
      <c r="E144" s="20"/>
      <c r="F144" s="37" t="s">
        <v>199</v>
      </c>
      <c r="G144" s="37" t="s">
        <v>149</v>
      </c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</row>
    <row r="145">
      <c r="A145" s="42" t="s">
        <v>484</v>
      </c>
      <c r="B145" s="37">
        <v>2014.0</v>
      </c>
      <c r="C145" s="38" t="s">
        <v>485</v>
      </c>
      <c r="D145" s="20"/>
      <c r="E145" s="20"/>
      <c r="F145" s="37" t="s">
        <v>91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</row>
    <row r="146">
      <c r="A146" s="42" t="s">
        <v>486</v>
      </c>
      <c r="B146" s="37">
        <v>2013.0</v>
      </c>
      <c r="C146" s="38" t="s">
        <v>487</v>
      </c>
      <c r="D146" s="20"/>
      <c r="E146" s="20"/>
      <c r="F146" s="37" t="s">
        <v>199</v>
      </c>
      <c r="G146" s="37" t="s">
        <v>149</v>
      </c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</row>
    <row r="147">
      <c r="A147" s="42" t="s">
        <v>488</v>
      </c>
      <c r="B147" s="37">
        <v>2015.0</v>
      </c>
      <c r="C147" s="38" t="s">
        <v>489</v>
      </c>
      <c r="D147" s="20"/>
      <c r="E147" s="20"/>
      <c r="F147" s="37" t="s">
        <v>490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</row>
    <row r="148">
      <c r="A148" s="42" t="s">
        <v>491</v>
      </c>
      <c r="B148" s="37">
        <v>2015.0</v>
      </c>
      <c r="C148" s="38" t="s">
        <v>492</v>
      </c>
      <c r="D148" s="20"/>
      <c r="E148" s="37" t="s">
        <v>95</v>
      </c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</row>
    <row r="149">
      <c r="A149" s="42" t="s">
        <v>493</v>
      </c>
      <c r="B149" s="37">
        <v>2014.0</v>
      </c>
      <c r="C149" s="38" t="s">
        <v>494</v>
      </c>
      <c r="D149" s="20"/>
      <c r="E149" s="37" t="s">
        <v>95</v>
      </c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</row>
    <row r="150">
      <c r="A150" s="42" t="s">
        <v>495</v>
      </c>
      <c r="B150" s="37">
        <v>2016.0</v>
      </c>
      <c r="C150" s="38" t="s">
        <v>496</v>
      </c>
      <c r="D150" s="20"/>
      <c r="E150" s="37" t="s">
        <v>95</v>
      </c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</row>
    <row r="151">
      <c r="A151" s="42" t="s">
        <v>497</v>
      </c>
      <c r="B151" s="37">
        <v>2015.0</v>
      </c>
      <c r="C151" s="38" t="s">
        <v>498</v>
      </c>
      <c r="D151" s="20"/>
      <c r="E151" s="20"/>
      <c r="F151" s="37" t="s">
        <v>86</v>
      </c>
      <c r="G151" s="20"/>
      <c r="H151" s="20"/>
      <c r="I151" s="20"/>
      <c r="J151" s="20"/>
      <c r="K151" s="37" t="s">
        <v>152</v>
      </c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</row>
    <row r="152">
      <c r="A152" s="42" t="s">
        <v>499</v>
      </c>
      <c r="B152" s="37">
        <v>2016.0</v>
      </c>
      <c r="C152" s="38" t="s">
        <v>500</v>
      </c>
      <c r="D152" s="20"/>
      <c r="E152" s="20"/>
      <c r="F152" s="37" t="s">
        <v>91</v>
      </c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</row>
    <row r="153">
      <c r="A153" s="53" t="s">
        <v>501</v>
      </c>
      <c r="B153" s="55">
        <v>2013.0</v>
      </c>
      <c r="C153" s="57" t="s">
        <v>502</v>
      </c>
      <c r="D153" s="59"/>
      <c r="E153" s="59"/>
      <c r="F153" s="55" t="s">
        <v>130</v>
      </c>
      <c r="G153" s="55" t="s">
        <v>131</v>
      </c>
      <c r="H153" s="59"/>
      <c r="I153" s="55" t="s">
        <v>503</v>
      </c>
      <c r="J153" s="55" t="s">
        <v>274</v>
      </c>
      <c r="K153" s="55" t="s">
        <v>158</v>
      </c>
      <c r="L153" s="59" t="s">
        <v>504</v>
      </c>
      <c r="M153" s="59"/>
      <c r="N153" s="59" t="s">
        <v>136</v>
      </c>
      <c r="O153" s="59"/>
      <c r="P153" s="59" t="s">
        <v>113</v>
      </c>
      <c r="Q153" s="59" t="s">
        <v>114</v>
      </c>
      <c r="R153" s="59" t="s">
        <v>276</v>
      </c>
      <c r="S153" s="59" t="s">
        <v>158</v>
      </c>
      <c r="T153" s="59" t="s">
        <v>158</v>
      </c>
      <c r="U153" s="59"/>
      <c r="V153" s="59"/>
      <c r="W153" s="59"/>
      <c r="X153" s="59"/>
      <c r="Y153" s="59"/>
      <c r="Z153" s="61" t="s">
        <v>505</v>
      </c>
      <c r="AA153" s="61" t="s">
        <v>506</v>
      </c>
      <c r="AB153" s="40"/>
      <c r="AC153" s="40"/>
      <c r="AD153" s="40"/>
      <c r="AE153" s="40"/>
      <c r="AF153" s="40"/>
      <c r="AG153" s="40"/>
      <c r="AH153" s="40"/>
      <c r="AI153" s="40"/>
    </row>
    <row r="154">
      <c r="A154" s="42" t="s">
        <v>507</v>
      </c>
      <c r="B154" s="37">
        <v>2016.0</v>
      </c>
      <c r="C154" s="38" t="s">
        <v>508</v>
      </c>
      <c r="D154" s="20"/>
      <c r="E154" s="20"/>
      <c r="F154" s="37" t="s">
        <v>91</v>
      </c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</row>
    <row r="155">
      <c r="A155" s="42" t="s">
        <v>509</v>
      </c>
      <c r="B155" s="37">
        <v>2015.0</v>
      </c>
      <c r="C155" s="38" t="s">
        <v>510</v>
      </c>
      <c r="D155" s="20"/>
      <c r="E155" s="20"/>
      <c r="F155" s="37" t="s">
        <v>130</v>
      </c>
      <c r="G155" s="37" t="s">
        <v>149</v>
      </c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</row>
    <row r="156">
      <c r="A156" s="42" t="s">
        <v>512</v>
      </c>
      <c r="B156" s="37">
        <v>2014.0</v>
      </c>
      <c r="C156" s="38" t="s">
        <v>513</v>
      </c>
      <c r="D156" s="20"/>
      <c r="E156" s="20"/>
      <c r="F156" s="37" t="s">
        <v>86</v>
      </c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</row>
    <row r="157">
      <c r="A157" s="42" t="s">
        <v>514</v>
      </c>
      <c r="B157" s="37">
        <v>2015.0</v>
      </c>
      <c r="C157" s="38" t="s">
        <v>515</v>
      </c>
      <c r="D157" s="37" t="s">
        <v>95</v>
      </c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</row>
    <row r="158">
      <c r="A158" s="42" t="s">
        <v>516</v>
      </c>
      <c r="B158" s="37">
        <v>2016.0</v>
      </c>
      <c r="C158" s="38" t="s">
        <v>517</v>
      </c>
      <c r="D158" s="20"/>
      <c r="E158" s="20"/>
      <c r="F158" s="37" t="s">
        <v>86</v>
      </c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</row>
    <row r="159">
      <c r="A159" s="42" t="s">
        <v>518</v>
      </c>
      <c r="B159" s="37">
        <v>2015.0</v>
      </c>
      <c r="C159" s="38" t="s">
        <v>519</v>
      </c>
      <c r="D159" s="37" t="s">
        <v>95</v>
      </c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</row>
    <row r="160">
      <c r="A160" s="42" t="s">
        <v>520</v>
      </c>
      <c r="B160" s="37">
        <v>2015.0</v>
      </c>
      <c r="C160" s="38" t="s">
        <v>521</v>
      </c>
      <c r="D160" s="20"/>
      <c r="E160" s="20"/>
      <c r="F160" s="37" t="s">
        <v>130</v>
      </c>
      <c r="G160" s="37" t="s">
        <v>149</v>
      </c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</row>
    <row r="161">
      <c r="A161" s="42" t="s">
        <v>522</v>
      </c>
      <c r="B161" s="37">
        <v>2016.0</v>
      </c>
      <c r="C161" s="38" t="s">
        <v>523</v>
      </c>
      <c r="D161" s="37" t="s">
        <v>95</v>
      </c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</row>
    <row r="162">
      <c r="A162" s="42" t="s">
        <v>524</v>
      </c>
      <c r="B162" s="37">
        <v>2013.0</v>
      </c>
      <c r="C162" s="38" t="s">
        <v>525</v>
      </c>
      <c r="D162" s="20"/>
      <c r="E162" s="20"/>
      <c r="F162" s="37" t="s">
        <v>86</v>
      </c>
      <c r="G162" s="20"/>
      <c r="H162" s="20"/>
      <c r="I162" s="20"/>
      <c r="J162" s="20"/>
      <c r="K162" s="37" t="s">
        <v>152</v>
      </c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</row>
    <row r="163">
      <c r="A163" s="42" t="s">
        <v>526</v>
      </c>
      <c r="B163" s="37">
        <v>2015.0</v>
      </c>
      <c r="C163" s="38" t="s">
        <v>527</v>
      </c>
      <c r="D163" s="20"/>
      <c r="E163" s="20"/>
      <c r="F163" s="37" t="s">
        <v>199</v>
      </c>
      <c r="G163" s="37" t="s">
        <v>149</v>
      </c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</row>
    <row r="164">
      <c r="A164" s="42" t="s">
        <v>528</v>
      </c>
      <c r="B164" s="37">
        <v>2016.0</v>
      </c>
      <c r="C164" s="38" t="s">
        <v>529</v>
      </c>
      <c r="D164" s="37"/>
      <c r="E164" s="37" t="s">
        <v>95</v>
      </c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</row>
    <row r="165">
      <c r="A165" s="53" t="s">
        <v>530</v>
      </c>
      <c r="B165" s="55">
        <v>2015.0</v>
      </c>
      <c r="C165" s="57" t="s">
        <v>531</v>
      </c>
      <c r="D165" s="59"/>
      <c r="E165" s="59"/>
      <c r="F165" s="55" t="s">
        <v>130</v>
      </c>
      <c r="G165" s="55" t="s">
        <v>131</v>
      </c>
      <c r="H165" s="59"/>
      <c r="I165" s="55" t="s">
        <v>57</v>
      </c>
      <c r="J165" s="55" t="s">
        <v>132</v>
      </c>
      <c r="K165" s="55" t="s">
        <v>158</v>
      </c>
      <c r="L165" s="59" t="s">
        <v>159</v>
      </c>
      <c r="M165" s="59"/>
      <c r="N165" s="59" t="s">
        <v>446</v>
      </c>
      <c r="O165" s="59"/>
      <c r="P165" s="59" t="s">
        <v>137</v>
      </c>
      <c r="Q165" s="59" t="s">
        <v>532</v>
      </c>
      <c r="R165" s="59" t="s">
        <v>178</v>
      </c>
      <c r="S165" s="55" t="s">
        <v>343</v>
      </c>
      <c r="T165" s="59" t="s">
        <v>158</v>
      </c>
      <c r="U165" s="59"/>
      <c r="V165" s="59"/>
      <c r="W165" s="59"/>
      <c r="X165" s="59"/>
      <c r="Y165" s="59"/>
      <c r="Z165" s="61" t="s">
        <v>179</v>
      </c>
      <c r="AA165" s="61" t="s">
        <v>533</v>
      </c>
      <c r="AB165" s="40"/>
      <c r="AC165" s="40"/>
      <c r="AD165" s="40"/>
      <c r="AE165" s="40"/>
      <c r="AF165" s="40"/>
      <c r="AG165" s="40"/>
      <c r="AH165" s="40"/>
      <c r="AI165" s="40"/>
    </row>
    <row r="166">
      <c r="A166" s="42" t="s">
        <v>534</v>
      </c>
      <c r="B166" s="37">
        <v>2016.0</v>
      </c>
      <c r="C166" s="38" t="s">
        <v>535</v>
      </c>
      <c r="D166" s="37" t="s">
        <v>95</v>
      </c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</row>
    <row r="167">
      <c r="A167" s="42" t="s">
        <v>536</v>
      </c>
      <c r="B167" s="37">
        <v>2015.0</v>
      </c>
      <c r="C167" s="38" t="s">
        <v>537</v>
      </c>
      <c r="D167" s="20"/>
      <c r="E167" s="20"/>
      <c r="F167" s="37" t="s">
        <v>199</v>
      </c>
      <c r="G167" s="37" t="s">
        <v>149</v>
      </c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</row>
    <row r="168">
      <c r="A168" s="42" t="s">
        <v>538</v>
      </c>
      <c r="B168" s="37">
        <v>2015.0</v>
      </c>
      <c r="C168" s="38" t="s">
        <v>539</v>
      </c>
      <c r="D168" s="37" t="s">
        <v>95</v>
      </c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</row>
    <row r="169">
      <c r="A169" s="42" t="s">
        <v>540</v>
      </c>
      <c r="B169" s="37">
        <v>2016.0</v>
      </c>
      <c r="C169" s="38" t="s">
        <v>541</v>
      </c>
      <c r="D169" s="20"/>
      <c r="E169" s="20"/>
      <c r="F169" s="37" t="s">
        <v>130</v>
      </c>
      <c r="G169" s="37" t="s">
        <v>149</v>
      </c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</row>
    <row r="170">
      <c r="A170" s="42" t="s">
        <v>542</v>
      </c>
      <c r="B170" s="37">
        <v>2015.0</v>
      </c>
      <c r="C170" s="38" t="s">
        <v>543</v>
      </c>
      <c r="D170" s="20"/>
      <c r="E170" s="20"/>
      <c r="F170" s="37" t="s">
        <v>86</v>
      </c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</row>
    <row r="171">
      <c r="A171" s="42" t="s">
        <v>544</v>
      </c>
      <c r="B171" s="37">
        <v>2012.0</v>
      </c>
      <c r="C171" s="38" t="s">
        <v>545</v>
      </c>
      <c r="D171" s="37" t="s">
        <v>95</v>
      </c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</row>
    <row r="172">
      <c r="A172" s="42" t="s">
        <v>546</v>
      </c>
      <c r="B172" s="37">
        <v>2014.0</v>
      </c>
      <c r="C172" s="38" t="s">
        <v>547</v>
      </c>
      <c r="D172" s="37"/>
      <c r="E172" s="37" t="s">
        <v>95</v>
      </c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</row>
    <row r="173">
      <c r="A173" s="42" t="s">
        <v>548</v>
      </c>
      <c r="B173" s="37">
        <v>2015.0</v>
      </c>
      <c r="C173" s="38" t="s">
        <v>549</v>
      </c>
      <c r="D173" s="20"/>
      <c r="E173" s="20"/>
      <c r="F173" s="37" t="s">
        <v>91</v>
      </c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</row>
    <row r="174">
      <c r="A174" s="55" t="s">
        <v>550</v>
      </c>
      <c r="B174" s="55">
        <v>2016.0</v>
      </c>
      <c r="C174" s="57" t="s">
        <v>551</v>
      </c>
      <c r="D174" s="59"/>
      <c r="E174" s="59"/>
      <c r="F174" s="55" t="s">
        <v>130</v>
      </c>
      <c r="G174" s="55" t="s">
        <v>131</v>
      </c>
      <c r="H174" s="59"/>
      <c r="I174" s="55" t="s">
        <v>106</v>
      </c>
      <c r="J174" s="55" t="s">
        <v>274</v>
      </c>
      <c r="K174" s="55" t="s">
        <v>133</v>
      </c>
      <c r="L174" s="59" t="s">
        <v>159</v>
      </c>
      <c r="M174" s="55"/>
      <c r="N174" s="59" t="s">
        <v>136</v>
      </c>
      <c r="O174" s="88" t="s">
        <v>251</v>
      </c>
      <c r="P174" s="55" t="s">
        <v>137</v>
      </c>
      <c r="Q174" s="53" t="s">
        <v>114</v>
      </c>
      <c r="R174" s="59" t="s">
        <v>178</v>
      </c>
      <c r="S174" s="55" t="s">
        <v>343</v>
      </c>
      <c r="T174" s="55" t="s">
        <v>158</v>
      </c>
      <c r="U174" s="59"/>
      <c r="V174" s="59"/>
      <c r="W174" s="59"/>
      <c r="X174" s="59"/>
      <c r="Y174" s="59"/>
      <c r="Z174" s="61" t="s">
        <v>260</v>
      </c>
      <c r="AA174" s="61" t="s">
        <v>344</v>
      </c>
      <c r="AB174" s="40"/>
      <c r="AC174" s="40"/>
      <c r="AD174" s="40"/>
      <c r="AE174" s="40"/>
      <c r="AF174" s="40"/>
      <c r="AG174" s="40"/>
      <c r="AH174" s="40"/>
      <c r="AI174" s="40"/>
    </row>
    <row r="175">
      <c r="A175" s="53" t="s">
        <v>552</v>
      </c>
      <c r="B175" s="55">
        <v>2016.0</v>
      </c>
      <c r="C175" s="57" t="s">
        <v>553</v>
      </c>
      <c r="D175" s="59"/>
      <c r="E175" s="59"/>
      <c r="F175" s="55" t="s">
        <v>130</v>
      </c>
      <c r="G175" s="55" t="s">
        <v>131</v>
      </c>
      <c r="H175" s="59"/>
      <c r="I175" s="97" t="s">
        <v>111</v>
      </c>
      <c r="J175" s="55" t="s">
        <v>274</v>
      </c>
      <c r="K175" s="55" t="s">
        <v>158</v>
      </c>
      <c r="L175" s="59" t="s">
        <v>134</v>
      </c>
      <c r="M175" s="59" t="s">
        <v>554</v>
      </c>
      <c r="N175" s="59" t="s">
        <v>136</v>
      </c>
      <c r="O175" s="59"/>
      <c r="P175" s="59" t="s">
        <v>113</v>
      </c>
      <c r="Q175" s="55" t="s">
        <v>138</v>
      </c>
      <c r="R175" s="59" t="s">
        <v>178</v>
      </c>
      <c r="S175" s="59" t="s">
        <v>158</v>
      </c>
      <c r="T175" s="59" t="s">
        <v>142</v>
      </c>
      <c r="U175" s="59" t="s">
        <v>95</v>
      </c>
      <c r="V175" s="59"/>
      <c r="W175" s="59" t="s">
        <v>95</v>
      </c>
      <c r="X175" s="59"/>
      <c r="Y175" s="59" t="s">
        <v>95</v>
      </c>
      <c r="Z175" s="61" t="s">
        <v>167</v>
      </c>
      <c r="AA175" s="61" t="s">
        <v>168</v>
      </c>
      <c r="AB175" s="40"/>
      <c r="AC175" s="40"/>
      <c r="AD175" s="40"/>
      <c r="AE175" s="40"/>
      <c r="AF175" s="40"/>
      <c r="AG175" s="40"/>
      <c r="AH175" s="40"/>
      <c r="AI175" s="40"/>
    </row>
    <row r="176">
      <c r="A176" s="37" t="s">
        <v>555</v>
      </c>
      <c r="B176" s="37">
        <v>2016.0</v>
      </c>
      <c r="C176" s="38" t="s">
        <v>556</v>
      </c>
      <c r="D176" s="20"/>
      <c r="E176" s="20"/>
      <c r="F176" s="37" t="s">
        <v>91</v>
      </c>
      <c r="G176" s="20"/>
      <c r="H176" s="20"/>
      <c r="I176" s="20"/>
      <c r="J176" s="20"/>
      <c r="K176" s="20"/>
      <c r="L176" s="20"/>
      <c r="M176" s="20"/>
      <c r="N176" s="49" t="s">
        <v>136</v>
      </c>
      <c r="O176" s="49"/>
      <c r="P176" s="46" t="s">
        <v>113</v>
      </c>
      <c r="Q176" s="46" t="s">
        <v>138</v>
      </c>
      <c r="R176" s="46" t="s">
        <v>557</v>
      </c>
      <c r="S176" s="20"/>
      <c r="T176" s="20"/>
      <c r="U176" s="20"/>
      <c r="V176" s="20"/>
      <c r="W176" s="20"/>
      <c r="X176" s="20"/>
      <c r="Y176" s="2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</row>
    <row r="177">
      <c r="A177" s="37" t="s">
        <v>558</v>
      </c>
      <c r="B177" s="37">
        <v>2016.0</v>
      </c>
      <c r="C177" s="38" t="s">
        <v>559</v>
      </c>
      <c r="D177" s="20"/>
      <c r="E177" s="20"/>
      <c r="F177" s="37" t="s">
        <v>187</v>
      </c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</row>
    <row r="178">
      <c r="A178" s="37" t="s">
        <v>560</v>
      </c>
      <c r="B178" s="37">
        <v>2016.0</v>
      </c>
      <c r="C178" s="38" t="s">
        <v>561</v>
      </c>
      <c r="D178" s="20"/>
      <c r="E178" s="20"/>
      <c r="F178" s="37" t="s">
        <v>199</v>
      </c>
      <c r="G178" s="37" t="s">
        <v>149</v>
      </c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</row>
    <row r="179">
      <c r="A179" s="37" t="s">
        <v>562</v>
      </c>
      <c r="B179" s="37">
        <v>2016.0</v>
      </c>
      <c r="C179" s="38" t="s">
        <v>563</v>
      </c>
      <c r="D179" s="20"/>
      <c r="E179" s="20"/>
      <c r="F179" s="37" t="s">
        <v>91</v>
      </c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</row>
    <row r="180">
      <c r="A180" s="55" t="s">
        <v>564</v>
      </c>
      <c r="B180" s="55">
        <v>2016.0</v>
      </c>
      <c r="C180" s="57" t="s">
        <v>565</v>
      </c>
      <c r="D180" s="59"/>
      <c r="E180" s="59"/>
      <c r="F180" s="55" t="s">
        <v>130</v>
      </c>
      <c r="G180" s="55" t="s">
        <v>131</v>
      </c>
      <c r="H180" s="59"/>
      <c r="I180" s="55" t="s">
        <v>74</v>
      </c>
      <c r="J180" s="55" t="s">
        <v>258</v>
      </c>
      <c r="K180" s="55" t="s">
        <v>133</v>
      </c>
      <c r="L180" s="59" t="s">
        <v>159</v>
      </c>
      <c r="M180" s="55"/>
      <c r="N180" s="55" t="s">
        <v>446</v>
      </c>
      <c r="O180" s="59"/>
      <c r="P180" s="55" t="s">
        <v>113</v>
      </c>
      <c r="Q180" s="55" t="s">
        <v>532</v>
      </c>
      <c r="R180" s="59" t="s">
        <v>178</v>
      </c>
      <c r="S180" s="55" t="s">
        <v>158</v>
      </c>
      <c r="T180" s="55" t="s">
        <v>158</v>
      </c>
      <c r="U180" s="59"/>
      <c r="V180" s="59"/>
      <c r="W180" s="59"/>
      <c r="X180" s="59"/>
      <c r="Y180" s="59"/>
      <c r="Z180" s="61" t="s">
        <v>277</v>
      </c>
      <c r="AA180" s="61" t="s">
        <v>566</v>
      </c>
      <c r="AB180" s="40"/>
      <c r="AC180" s="40"/>
      <c r="AD180" s="40"/>
      <c r="AE180" s="40"/>
      <c r="AF180" s="40"/>
      <c r="AG180" s="40"/>
      <c r="AH180" s="40"/>
      <c r="AI180" s="40"/>
    </row>
    <row r="181">
      <c r="A181" s="37" t="s">
        <v>567</v>
      </c>
      <c r="B181" s="37">
        <v>2016.0</v>
      </c>
      <c r="C181" s="38" t="s">
        <v>568</v>
      </c>
      <c r="D181" s="20"/>
      <c r="E181" s="20"/>
      <c r="F181" s="37" t="s">
        <v>199</v>
      </c>
      <c r="G181" s="37" t="s">
        <v>149</v>
      </c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</row>
    <row r="182">
      <c r="A182" s="37" t="s">
        <v>569</v>
      </c>
      <c r="B182" s="37">
        <v>2016.0</v>
      </c>
      <c r="C182" s="38" t="s">
        <v>570</v>
      </c>
      <c r="D182" s="20"/>
      <c r="E182" s="20"/>
      <c r="F182" s="37" t="s">
        <v>91</v>
      </c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</row>
    <row r="183">
      <c r="A183" s="37" t="s">
        <v>571</v>
      </c>
      <c r="B183" s="37">
        <v>2016.0</v>
      </c>
      <c r="C183" s="38" t="s">
        <v>572</v>
      </c>
      <c r="D183" s="20"/>
      <c r="E183" s="20"/>
      <c r="F183" s="37" t="s">
        <v>130</v>
      </c>
      <c r="G183" s="37" t="s">
        <v>149</v>
      </c>
      <c r="H183" s="20"/>
      <c r="I183" s="20"/>
      <c r="J183" s="20"/>
      <c r="K183" s="20"/>
      <c r="L183" s="20"/>
      <c r="M183" s="20"/>
      <c r="N183" s="20"/>
      <c r="O183" s="20"/>
      <c r="P183" s="37"/>
      <c r="Q183" s="37"/>
      <c r="R183" s="37"/>
      <c r="S183" s="20"/>
      <c r="T183" s="20"/>
      <c r="U183" s="20"/>
      <c r="V183" s="20"/>
      <c r="W183" s="20"/>
      <c r="X183" s="20"/>
      <c r="Y183" s="2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</row>
    <row r="184">
      <c r="A184" s="55" t="s">
        <v>573</v>
      </c>
      <c r="B184" s="55">
        <v>2016.0</v>
      </c>
      <c r="C184" s="57" t="s">
        <v>574</v>
      </c>
      <c r="D184" s="59"/>
      <c r="E184" s="59"/>
      <c r="F184" s="55" t="s">
        <v>130</v>
      </c>
      <c r="G184" s="55" t="s">
        <v>131</v>
      </c>
      <c r="H184" s="55">
        <v>555.0</v>
      </c>
      <c r="I184" s="55" t="s">
        <v>575</v>
      </c>
      <c r="J184" s="55" t="s">
        <v>132</v>
      </c>
      <c r="K184" s="55" t="s">
        <v>133</v>
      </c>
      <c r="L184" s="37"/>
      <c r="M184" s="37"/>
      <c r="N184" s="20"/>
      <c r="O184" s="37"/>
      <c r="P184" s="37"/>
      <c r="Q184" s="37"/>
      <c r="R184" s="20"/>
      <c r="S184" s="37"/>
      <c r="T184" s="37"/>
      <c r="U184" s="20"/>
      <c r="V184" s="20"/>
      <c r="W184" s="20"/>
      <c r="X184" s="20"/>
      <c r="Y184" s="2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</row>
    <row r="185">
      <c r="A185" s="37" t="s">
        <v>576</v>
      </c>
      <c r="B185" s="37">
        <v>2016.0</v>
      </c>
      <c r="C185" s="38" t="s">
        <v>577</v>
      </c>
      <c r="D185" s="20"/>
      <c r="E185" s="20"/>
      <c r="F185" s="37" t="s">
        <v>86</v>
      </c>
      <c r="G185" s="20"/>
      <c r="H185" s="20"/>
      <c r="I185" s="20"/>
      <c r="J185" s="20"/>
      <c r="K185" s="37" t="s">
        <v>152</v>
      </c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</row>
    <row r="186">
      <c r="A186" s="37" t="s">
        <v>578</v>
      </c>
      <c r="B186" s="37">
        <v>2016.0</v>
      </c>
      <c r="C186" s="38" t="s">
        <v>579</v>
      </c>
      <c r="D186" s="20"/>
      <c r="E186" s="20"/>
      <c r="F186" s="37" t="s">
        <v>130</v>
      </c>
      <c r="G186" s="37" t="s">
        <v>149</v>
      </c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</row>
    <row r="187">
      <c r="A187" s="37" t="s">
        <v>580</v>
      </c>
      <c r="B187" s="37">
        <v>2016.0</v>
      </c>
      <c r="C187" s="38" t="s">
        <v>581</v>
      </c>
      <c r="D187" s="20"/>
      <c r="E187" s="20"/>
      <c r="F187" s="37" t="s">
        <v>91</v>
      </c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</row>
    <row r="188">
      <c r="A188" s="37" t="s">
        <v>582</v>
      </c>
      <c r="B188" s="37">
        <v>2016.0</v>
      </c>
      <c r="C188" s="38" t="s">
        <v>583</v>
      </c>
      <c r="D188" s="20"/>
      <c r="E188" s="20"/>
      <c r="F188" s="37" t="s">
        <v>91</v>
      </c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</row>
    <row r="189">
      <c r="A189" s="37" t="s">
        <v>584</v>
      </c>
      <c r="B189" s="37">
        <v>2016.0</v>
      </c>
      <c r="C189" s="38" t="s">
        <v>585</v>
      </c>
      <c r="D189" s="20"/>
      <c r="E189" s="20"/>
      <c r="F189" s="37" t="s">
        <v>130</v>
      </c>
      <c r="G189" s="37" t="s">
        <v>149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</row>
    <row r="190">
      <c r="A190" s="37" t="s">
        <v>586</v>
      </c>
      <c r="B190" s="37">
        <v>2016.0</v>
      </c>
      <c r="C190" s="38" t="s">
        <v>587</v>
      </c>
      <c r="D190" s="20"/>
      <c r="E190" s="20"/>
      <c r="F190" s="37" t="s">
        <v>199</v>
      </c>
      <c r="G190" s="37" t="s">
        <v>149</v>
      </c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</row>
    <row r="191">
      <c r="A191" s="55" t="s">
        <v>588</v>
      </c>
      <c r="B191" s="55">
        <v>2016.0</v>
      </c>
      <c r="C191" s="57" t="s">
        <v>589</v>
      </c>
      <c r="D191" s="59"/>
      <c r="E191" s="59"/>
      <c r="F191" s="55" t="s">
        <v>130</v>
      </c>
      <c r="G191" s="55" t="s">
        <v>131</v>
      </c>
      <c r="H191" s="59"/>
      <c r="I191" s="85" t="s">
        <v>34</v>
      </c>
      <c r="J191" s="81" t="s">
        <v>590</v>
      </c>
      <c r="K191" s="55" t="s">
        <v>133</v>
      </c>
      <c r="L191" s="55" t="s">
        <v>159</v>
      </c>
      <c r="M191" s="55"/>
      <c r="N191" s="55" t="s">
        <v>446</v>
      </c>
      <c r="O191" s="55" t="s">
        <v>251</v>
      </c>
      <c r="P191" s="55" t="s">
        <v>164</v>
      </c>
      <c r="Q191" s="55" t="s">
        <v>165</v>
      </c>
      <c r="R191" s="55" t="s">
        <v>166</v>
      </c>
      <c r="S191" s="55" t="s">
        <v>158</v>
      </c>
      <c r="T191" s="55" t="s">
        <v>142</v>
      </c>
      <c r="U191" s="59"/>
      <c r="V191" s="59"/>
      <c r="W191" s="59"/>
      <c r="X191" s="55" t="s">
        <v>95</v>
      </c>
      <c r="Y191" s="59"/>
      <c r="Z191" s="61" t="s">
        <v>277</v>
      </c>
      <c r="AA191" s="61" t="s">
        <v>591</v>
      </c>
      <c r="AB191" s="40"/>
      <c r="AC191" s="40"/>
      <c r="AD191" s="40"/>
      <c r="AE191" s="40"/>
      <c r="AF191" s="40"/>
      <c r="AG191" s="40"/>
      <c r="AH191" s="40"/>
      <c r="AI191" s="40"/>
    </row>
    <row r="192">
      <c r="A192" s="37" t="s">
        <v>592</v>
      </c>
      <c r="B192" s="37">
        <v>2016.0</v>
      </c>
      <c r="C192" s="38" t="s">
        <v>593</v>
      </c>
      <c r="D192" s="20"/>
      <c r="E192" s="20"/>
      <c r="F192" s="37" t="s">
        <v>86</v>
      </c>
      <c r="G192" s="20"/>
      <c r="H192" s="20"/>
      <c r="I192" s="20"/>
      <c r="J192" s="20"/>
      <c r="K192" s="37" t="s">
        <v>152</v>
      </c>
      <c r="L192" s="20"/>
      <c r="M192" s="20"/>
      <c r="N192" s="49" t="s">
        <v>136</v>
      </c>
      <c r="O192" s="49"/>
      <c r="P192" s="51" t="s">
        <v>113</v>
      </c>
      <c r="Q192" s="46" t="s">
        <v>114</v>
      </c>
      <c r="R192" s="51" t="s">
        <v>594</v>
      </c>
      <c r="S192" s="20"/>
      <c r="T192" s="20"/>
      <c r="U192" s="20"/>
      <c r="V192" s="20"/>
      <c r="W192" s="20"/>
      <c r="X192" s="20"/>
      <c r="Y192" s="2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</row>
    <row r="193">
      <c r="A193" s="55" t="s">
        <v>595</v>
      </c>
      <c r="B193" s="55">
        <v>2016.0</v>
      </c>
      <c r="C193" s="57" t="s">
        <v>596</v>
      </c>
      <c r="D193" s="59"/>
      <c r="E193" s="59"/>
      <c r="F193" s="55" t="s">
        <v>130</v>
      </c>
      <c r="G193" s="55" t="s">
        <v>131</v>
      </c>
      <c r="H193" s="59"/>
      <c r="I193" s="79" t="s">
        <v>96</v>
      </c>
      <c r="J193" s="79" t="s">
        <v>132</v>
      </c>
      <c r="K193" s="55" t="s">
        <v>133</v>
      </c>
      <c r="L193" s="55" t="s">
        <v>134</v>
      </c>
      <c r="M193" s="55" t="s">
        <v>597</v>
      </c>
      <c r="N193" s="59" t="s">
        <v>136</v>
      </c>
      <c r="O193" s="55" t="s">
        <v>251</v>
      </c>
      <c r="P193" s="55" t="s">
        <v>137</v>
      </c>
      <c r="Q193" s="55" t="s">
        <v>224</v>
      </c>
      <c r="R193" s="55" t="s">
        <v>166</v>
      </c>
      <c r="S193" s="55" t="s">
        <v>343</v>
      </c>
      <c r="T193" s="55" t="s">
        <v>142</v>
      </c>
      <c r="U193" s="59"/>
      <c r="V193" s="59"/>
      <c r="W193" s="55" t="s">
        <v>95</v>
      </c>
      <c r="X193" s="55" t="s">
        <v>95</v>
      </c>
      <c r="Y193" s="59"/>
      <c r="Z193" s="61" t="s">
        <v>598</v>
      </c>
      <c r="AA193" s="61" t="s">
        <v>599</v>
      </c>
      <c r="AB193" s="40"/>
      <c r="AC193" s="40"/>
      <c r="AD193" s="40"/>
      <c r="AE193" s="40"/>
      <c r="AF193" s="40"/>
      <c r="AG193" s="40"/>
      <c r="AH193" s="40"/>
      <c r="AI193" s="40"/>
    </row>
    <row r="194">
      <c r="A194" s="37" t="s">
        <v>600</v>
      </c>
      <c r="B194" s="37">
        <v>2016.0</v>
      </c>
      <c r="C194" s="38" t="s">
        <v>601</v>
      </c>
      <c r="D194" s="20"/>
      <c r="E194" s="20"/>
      <c r="F194" s="37" t="s">
        <v>130</v>
      </c>
      <c r="G194" s="37" t="s">
        <v>149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</row>
    <row r="195">
      <c r="A195" s="37" t="s">
        <v>602</v>
      </c>
      <c r="B195" s="37">
        <v>2016.0</v>
      </c>
      <c r="C195" s="38" t="s">
        <v>603</v>
      </c>
      <c r="D195" s="20"/>
      <c r="E195" s="20"/>
      <c r="F195" s="37" t="s">
        <v>86</v>
      </c>
      <c r="G195" s="20"/>
      <c r="H195" s="20"/>
      <c r="I195" s="20"/>
      <c r="J195" s="20"/>
      <c r="K195" s="37" t="s">
        <v>152</v>
      </c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</row>
    <row r="196">
      <c r="A196" s="37" t="s">
        <v>604</v>
      </c>
      <c r="B196" s="37">
        <v>2016.0</v>
      </c>
      <c r="C196" s="38" t="s">
        <v>605</v>
      </c>
      <c r="D196" s="20"/>
      <c r="E196" s="20"/>
      <c r="F196" s="37" t="s">
        <v>86</v>
      </c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</row>
    <row r="197">
      <c r="A197" s="37" t="s">
        <v>606</v>
      </c>
      <c r="B197" s="37">
        <v>2015.0</v>
      </c>
      <c r="C197" s="38" t="s">
        <v>607</v>
      </c>
      <c r="D197" s="20"/>
      <c r="E197" s="20"/>
      <c r="F197" s="37" t="s">
        <v>187</v>
      </c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</row>
    <row r="198">
      <c r="A198" s="37" t="s">
        <v>609</v>
      </c>
      <c r="B198" s="37">
        <v>2015.0</v>
      </c>
      <c r="C198" s="38" t="s">
        <v>610</v>
      </c>
      <c r="D198" s="20"/>
      <c r="E198" s="20"/>
      <c r="F198" s="37" t="s">
        <v>91</v>
      </c>
      <c r="G198" s="20"/>
      <c r="H198" s="20"/>
      <c r="I198" s="20"/>
      <c r="J198" s="20"/>
      <c r="K198" s="37" t="s">
        <v>152</v>
      </c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</row>
    <row r="199">
      <c r="A199" s="37" t="s">
        <v>611</v>
      </c>
      <c r="B199" s="37">
        <v>2015.0</v>
      </c>
      <c r="C199" s="38" t="s">
        <v>612</v>
      </c>
      <c r="D199" s="20"/>
      <c r="E199" s="20"/>
      <c r="F199" s="37" t="s">
        <v>86</v>
      </c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</row>
    <row r="200">
      <c r="A200" s="37" t="s">
        <v>613</v>
      </c>
      <c r="B200" s="37">
        <v>2015.0</v>
      </c>
      <c r="C200" s="38" t="s">
        <v>614</v>
      </c>
      <c r="D200" s="20"/>
      <c r="E200" s="20"/>
      <c r="F200" s="37" t="s">
        <v>199</v>
      </c>
      <c r="G200" s="37" t="s">
        <v>149</v>
      </c>
      <c r="H200" s="20"/>
      <c r="I200" s="20"/>
      <c r="J200" s="20"/>
      <c r="K200" s="20"/>
      <c r="L200" s="20"/>
      <c r="M200" s="37"/>
      <c r="N200" s="49" t="s">
        <v>136</v>
      </c>
      <c r="O200" s="49"/>
      <c r="P200" s="46" t="s">
        <v>113</v>
      </c>
      <c r="Q200" s="46" t="s">
        <v>138</v>
      </c>
      <c r="R200" s="46" t="s">
        <v>615</v>
      </c>
      <c r="S200" s="20"/>
      <c r="T200" s="20"/>
      <c r="U200" s="20"/>
      <c r="V200" s="20"/>
      <c r="W200" s="20"/>
      <c r="X200" s="20"/>
      <c r="Y200" s="2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</row>
    <row r="201">
      <c r="A201" s="55" t="s">
        <v>616</v>
      </c>
      <c r="B201" s="55">
        <v>2015.0</v>
      </c>
      <c r="C201" s="57" t="s">
        <v>617</v>
      </c>
      <c r="D201" s="59"/>
      <c r="E201" s="59"/>
      <c r="F201" s="55" t="s">
        <v>130</v>
      </c>
      <c r="G201" s="55" t="s">
        <v>131</v>
      </c>
      <c r="H201" s="59"/>
      <c r="I201" s="79" t="s">
        <v>60</v>
      </c>
      <c r="J201" s="79" t="s">
        <v>132</v>
      </c>
      <c r="K201" s="55" t="s">
        <v>158</v>
      </c>
      <c r="L201" s="59" t="s">
        <v>134</v>
      </c>
      <c r="M201" s="55" t="s">
        <v>618</v>
      </c>
      <c r="N201" s="55" t="s">
        <v>109</v>
      </c>
      <c r="O201" s="55" t="s">
        <v>619</v>
      </c>
      <c r="P201" s="55" t="s">
        <v>164</v>
      </c>
      <c r="Q201" s="55" t="s">
        <v>457</v>
      </c>
      <c r="R201" s="59" t="s">
        <v>178</v>
      </c>
      <c r="S201" s="55" t="s">
        <v>158</v>
      </c>
      <c r="T201" s="59" t="s">
        <v>142</v>
      </c>
      <c r="U201" s="59" t="s">
        <v>95</v>
      </c>
      <c r="V201" s="59"/>
      <c r="W201" s="59" t="s">
        <v>95</v>
      </c>
      <c r="X201" s="59" t="s">
        <v>95</v>
      </c>
      <c r="Y201" s="59"/>
      <c r="Z201" s="61" t="s">
        <v>291</v>
      </c>
      <c r="AA201" s="61" t="s">
        <v>620</v>
      </c>
      <c r="AB201" s="40"/>
      <c r="AC201" s="40"/>
      <c r="AD201" s="40"/>
      <c r="AE201" s="40"/>
      <c r="AF201" s="40"/>
      <c r="AG201" s="40"/>
      <c r="AH201" s="40"/>
      <c r="AI201" s="40"/>
    </row>
    <row r="202">
      <c r="A202" s="37" t="s">
        <v>621</v>
      </c>
      <c r="B202" s="37">
        <v>2015.0</v>
      </c>
      <c r="C202" s="38" t="s">
        <v>622</v>
      </c>
      <c r="D202" s="20"/>
      <c r="E202" s="20"/>
      <c r="F202" s="37" t="s">
        <v>130</v>
      </c>
      <c r="G202" s="37" t="s">
        <v>149</v>
      </c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</row>
    <row r="203">
      <c r="A203" s="37" t="s">
        <v>623</v>
      </c>
      <c r="B203" s="37">
        <v>2015.0</v>
      </c>
      <c r="C203" s="38" t="s">
        <v>624</v>
      </c>
      <c r="D203" s="20"/>
      <c r="E203" s="20"/>
      <c r="F203" s="37" t="s">
        <v>130</v>
      </c>
      <c r="G203" s="37" t="s">
        <v>149</v>
      </c>
      <c r="H203" s="20"/>
      <c r="I203" s="37"/>
      <c r="J203" s="20"/>
      <c r="K203" s="37"/>
      <c r="L203" s="20"/>
      <c r="M203" s="20"/>
      <c r="N203" s="20"/>
      <c r="O203" s="20"/>
      <c r="P203" s="20"/>
      <c r="Q203" s="37"/>
      <c r="R203" s="37"/>
      <c r="S203" s="37"/>
      <c r="T203" s="37"/>
      <c r="U203" s="20"/>
      <c r="V203" s="20"/>
      <c r="W203" s="20"/>
      <c r="X203" s="20"/>
      <c r="Y203" s="2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</row>
    <row r="204">
      <c r="A204" s="37" t="s">
        <v>625</v>
      </c>
      <c r="B204" s="37">
        <v>2015.0</v>
      </c>
      <c r="C204" s="38" t="s">
        <v>626</v>
      </c>
      <c r="D204" s="20"/>
      <c r="E204" s="20"/>
      <c r="F204" s="37" t="s">
        <v>91</v>
      </c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</row>
    <row r="205">
      <c r="A205" s="55" t="s">
        <v>627</v>
      </c>
      <c r="B205" s="55">
        <v>2015.0</v>
      </c>
      <c r="C205" s="57" t="s">
        <v>628</v>
      </c>
      <c r="D205" s="59"/>
      <c r="E205" s="59"/>
      <c r="F205" s="55" t="s">
        <v>130</v>
      </c>
      <c r="G205" s="55" t="s">
        <v>131</v>
      </c>
      <c r="H205" s="59"/>
      <c r="I205" s="55" t="s">
        <v>123</v>
      </c>
      <c r="J205" s="79" t="s">
        <v>132</v>
      </c>
      <c r="K205" s="55" t="s">
        <v>133</v>
      </c>
      <c r="L205" s="59" t="s">
        <v>159</v>
      </c>
      <c r="M205" s="59"/>
      <c r="N205" s="59" t="s">
        <v>136</v>
      </c>
      <c r="O205" s="55" t="s">
        <v>251</v>
      </c>
      <c r="P205" s="55" t="s">
        <v>137</v>
      </c>
      <c r="Q205" s="59" t="s">
        <v>224</v>
      </c>
      <c r="R205" s="59" t="s">
        <v>178</v>
      </c>
      <c r="S205" s="55" t="s">
        <v>158</v>
      </c>
      <c r="T205" s="55" t="s">
        <v>142</v>
      </c>
      <c r="U205" s="59"/>
      <c r="V205" s="55" t="s">
        <v>95</v>
      </c>
      <c r="W205" s="55" t="s">
        <v>95</v>
      </c>
      <c r="X205" s="59"/>
      <c r="Y205" s="59"/>
      <c r="Z205" s="61" t="s">
        <v>143</v>
      </c>
      <c r="AA205" s="61" t="s">
        <v>629</v>
      </c>
      <c r="AB205" s="40"/>
      <c r="AC205" s="40"/>
      <c r="AD205" s="40"/>
      <c r="AE205" s="40"/>
      <c r="AF205" s="40"/>
      <c r="AG205" s="40"/>
      <c r="AH205" s="40"/>
      <c r="AI205" s="40"/>
    </row>
    <row r="206">
      <c r="A206" s="37" t="s">
        <v>630</v>
      </c>
      <c r="B206" s="37">
        <v>2015.0</v>
      </c>
      <c r="C206" s="38" t="s">
        <v>631</v>
      </c>
      <c r="D206" s="20"/>
      <c r="E206" s="37" t="s">
        <v>95</v>
      </c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</row>
    <row r="207">
      <c r="A207" s="37" t="s">
        <v>632</v>
      </c>
      <c r="B207" s="37">
        <v>2015.0</v>
      </c>
      <c r="C207" s="38" t="s">
        <v>633</v>
      </c>
      <c r="D207" s="20"/>
      <c r="E207" s="20"/>
      <c r="F207" s="37" t="s">
        <v>86</v>
      </c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</row>
    <row r="208">
      <c r="A208" s="37" t="s">
        <v>634</v>
      </c>
      <c r="B208" s="37">
        <v>2015.0</v>
      </c>
      <c r="C208" s="38" t="s">
        <v>635</v>
      </c>
      <c r="D208" s="20"/>
      <c r="E208" s="20"/>
      <c r="F208" s="37" t="s">
        <v>86</v>
      </c>
      <c r="G208" s="20"/>
      <c r="H208" s="20"/>
      <c r="I208" s="20"/>
      <c r="J208" s="20"/>
      <c r="K208" s="37" t="s">
        <v>152</v>
      </c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</row>
    <row r="209">
      <c r="A209" s="55" t="s">
        <v>636</v>
      </c>
      <c r="B209" s="55">
        <v>2015.0</v>
      </c>
      <c r="C209" s="57" t="s">
        <v>637</v>
      </c>
      <c r="D209" s="59"/>
      <c r="E209" s="59"/>
      <c r="F209" s="55" t="s">
        <v>130</v>
      </c>
      <c r="G209" s="55" t="s">
        <v>131</v>
      </c>
      <c r="H209" s="59"/>
      <c r="I209" s="79" t="s">
        <v>83</v>
      </c>
      <c r="J209" s="79" t="s">
        <v>132</v>
      </c>
      <c r="K209" s="55" t="s">
        <v>158</v>
      </c>
      <c r="L209" s="59" t="s">
        <v>159</v>
      </c>
      <c r="M209" s="59"/>
      <c r="N209" s="59" t="s">
        <v>136</v>
      </c>
      <c r="O209" s="59" t="s">
        <v>177</v>
      </c>
      <c r="P209" s="59" t="s">
        <v>164</v>
      </c>
      <c r="Q209" s="59" t="s">
        <v>638</v>
      </c>
      <c r="R209" s="59" t="s">
        <v>178</v>
      </c>
      <c r="S209" s="59" t="s">
        <v>158</v>
      </c>
      <c r="T209" s="59" t="s">
        <v>142</v>
      </c>
      <c r="U209" s="59"/>
      <c r="V209" s="59"/>
      <c r="W209" s="59" t="s">
        <v>95</v>
      </c>
      <c r="X209" s="59"/>
      <c r="Y209" s="59"/>
      <c r="Z209" s="61" t="s">
        <v>366</v>
      </c>
      <c r="AA209" s="61" t="s">
        <v>639</v>
      </c>
      <c r="AB209" s="40"/>
      <c r="AC209" s="40"/>
      <c r="AD209" s="40"/>
      <c r="AE209" s="40"/>
      <c r="AF209" s="40"/>
      <c r="AG209" s="40"/>
      <c r="AH209" s="40"/>
      <c r="AI209" s="40"/>
    </row>
    <row r="210">
      <c r="A210" s="37" t="s">
        <v>640</v>
      </c>
      <c r="B210" s="37">
        <v>2015.0</v>
      </c>
      <c r="C210" s="38" t="s">
        <v>641</v>
      </c>
      <c r="D210" s="20"/>
      <c r="E210" s="20"/>
      <c r="F210" s="37" t="s">
        <v>199</v>
      </c>
      <c r="G210" s="37" t="s">
        <v>149</v>
      </c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</row>
    <row r="211">
      <c r="A211" s="37" t="s">
        <v>642</v>
      </c>
      <c r="B211" s="37">
        <v>2015.0</v>
      </c>
      <c r="C211" s="38" t="s">
        <v>643</v>
      </c>
      <c r="D211" s="20"/>
      <c r="E211" s="20"/>
      <c r="F211" s="37" t="s">
        <v>199</v>
      </c>
      <c r="G211" s="37" t="s">
        <v>149</v>
      </c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</row>
    <row r="212">
      <c r="A212" s="37" t="s">
        <v>644</v>
      </c>
      <c r="B212" s="37">
        <v>2015.0</v>
      </c>
      <c r="C212" s="38" t="s">
        <v>645</v>
      </c>
      <c r="D212" s="20"/>
      <c r="E212" s="20"/>
      <c r="F212" s="37" t="s">
        <v>130</v>
      </c>
      <c r="G212" s="37" t="s">
        <v>149</v>
      </c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</row>
    <row r="213">
      <c r="A213" s="37" t="s">
        <v>646</v>
      </c>
      <c r="B213" s="37">
        <v>2015.0</v>
      </c>
      <c r="C213" s="38" t="s">
        <v>647</v>
      </c>
      <c r="D213" s="20"/>
      <c r="E213" s="20"/>
      <c r="F213" s="37" t="s">
        <v>199</v>
      </c>
      <c r="G213" s="37" t="s">
        <v>149</v>
      </c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</row>
    <row r="214">
      <c r="A214" s="55" t="s">
        <v>648</v>
      </c>
      <c r="B214" s="55">
        <v>2015.0</v>
      </c>
      <c r="C214" s="57" t="s">
        <v>649</v>
      </c>
      <c r="D214" s="59"/>
      <c r="E214" s="59"/>
      <c r="F214" s="55" t="s">
        <v>130</v>
      </c>
      <c r="G214" s="55" t="s">
        <v>131</v>
      </c>
      <c r="H214" s="55">
        <v>193.0</v>
      </c>
      <c r="I214" s="79" t="s">
        <v>34</v>
      </c>
      <c r="J214" s="79" t="s">
        <v>590</v>
      </c>
      <c r="K214" s="55" t="s">
        <v>158</v>
      </c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</row>
    <row r="215">
      <c r="A215" s="37" t="s">
        <v>650</v>
      </c>
      <c r="B215" s="37">
        <v>2015.0</v>
      </c>
      <c r="C215" s="38" t="s">
        <v>651</v>
      </c>
      <c r="D215" s="20"/>
      <c r="E215" s="20"/>
      <c r="F215" s="37" t="s">
        <v>91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</row>
    <row r="216">
      <c r="A216" s="55" t="s">
        <v>652</v>
      </c>
      <c r="B216" s="55">
        <v>2015.0</v>
      </c>
      <c r="C216" s="57" t="s">
        <v>653</v>
      </c>
      <c r="D216" s="59"/>
      <c r="E216" s="59"/>
      <c r="F216" s="55" t="s">
        <v>130</v>
      </c>
      <c r="G216" s="55" t="s">
        <v>131</v>
      </c>
      <c r="H216" s="55">
        <v>67.0</v>
      </c>
      <c r="I216" s="55" t="s">
        <v>654</v>
      </c>
      <c r="J216" s="79" t="s">
        <v>590</v>
      </c>
      <c r="K216" s="55" t="s">
        <v>133</v>
      </c>
      <c r="L216" s="20"/>
      <c r="M216" s="37"/>
      <c r="N216" s="46" t="s">
        <v>136</v>
      </c>
      <c r="O216" s="49"/>
      <c r="P216" s="46" t="s">
        <v>113</v>
      </c>
      <c r="Q216" s="46" t="s">
        <v>114</v>
      </c>
      <c r="R216" s="46" t="s">
        <v>655</v>
      </c>
      <c r="S216" s="20"/>
      <c r="T216" s="20"/>
      <c r="U216" s="20"/>
      <c r="V216" s="20"/>
      <c r="W216" s="20"/>
      <c r="X216" s="20"/>
      <c r="Y216" s="2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</row>
    <row r="217">
      <c r="A217" s="55" t="s">
        <v>656</v>
      </c>
      <c r="B217" s="55">
        <v>2014.0</v>
      </c>
      <c r="C217" s="57" t="s">
        <v>657</v>
      </c>
      <c r="D217" s="59"/>
      <c r="E217" s="59"/>
      <c r="F217" s="55" t="s">
        <v>130</v>
      </c>
      <c r="G217" s="55" t="s">
        <v>131</v>
      </c>
      <c r="H217" s="59"/>
      <c r="I217" s="55" t="s">
        <v>24</v>
      </c>
      <c r="J217" s="55" t="s">
        <v>274</v>
      </c>
      <c r="K217" s="55" t="s">
        <v>658</v>
      </c>
      <c r="L217" s="55" t="s">
        <v>134</v>
      </c>
      <c r="M217" s="55" t="s">
        <v>659</v>
      </c>
      <c r="N217" s="55" t="s">
        <v>136</v>
      </c>
      <c r="O217" s="59"/>
      <c r="P217" s="55" t="s">
        <v>137</v>
      </c>
      <c r="Q217" s="55" t="s">
        <v>114</v>
      </c>
      <c r="R217" s="55" t="s">
        <v>660</v>
      </c>
      <c r="S217" s="55" t="s">
        <v>158</v>
      </c>
      <c r="T217" s="55" t="s">
        <v>142</v>
      </c>
      <c r="U217" s="59"/>
      <c r="V217" s="55" t="s">
        <v>95</v>
      </c>
      <c r="W217" s="59"/>
      <c r="X217" s="59"/>
      <c r="Y217" s="59"/>
      <c r="Z217" s="61" t="s">
        <v>412</v>
      </c>
      <c r="AA217" s="61" t="s">
        <v>413</v>
      </c>
      <c r="AB217" s="40"/>
      <c r="AC217" s="40"/>
      <c r="AD217" s="40"/>
      <c r="AE217" s="40"/>
      <c r="AF217" s="40"/>
      <c r="AG217" s="40"/>
      <c r="AH217" s="40"/>
      <c r="AI217" s="40"/>
    </row>
    <row r="218">
      <c r="A218" s="55" t="s">
        <v>661</v>
      </c>
      <c r="B218" s="55">
        <v>2014.0</v>
      </c>
      <c r="C218" s="57" t="s">
        <v>662</v>
      </c>
      <c r="D218" s="59"/>
      <c r="E218" s="59"/>
      <c r="F218" s="55" t="s">
        <v>130</v>
      </c>
      <c r="G218" s="55" t="s">
        <v>131</v>
      </c>
      <c r="H218" s="59"/>
      <c r="I218" s="79" t="s">
        <v>81</v>
      </c>
      <c r="J218" s="79" t="s">
        <v>132</v>
      </c>
      <c r="K218" s="55" t="s">
        <v>158</v>
      </c>
      <c r="L218" s="59" t="s">
        <v>159</v>
      </c>
      <c r="M218" s="59"/>
      <c r="N218" s="59" t="s">
        <v>446</v>
      </c>
      <c r="O218" s="59"/>
      <c r="P218" s="59" t="s">
        <v>113</v>
      </c>
      <c r="Q218" s="55" t="s">
        <v>259</v>
      </c>
      <c r="R218" s="59" t="s">
        <v>178</v>
      </c>
      <c r="S218" s="55" t="s">
        <v>141</v>
      </c>
      <c r="T218" s="55" t="s">
        <v>142</v>
      </c>
      <c r="U218" s="59"/>
      <c r="V218" s="55" t="s">
        <v>95</v>
      </c>
      <c r="W218" s="55" t="s">
        <v>95</v>
      </c>
      <c r="X218" s="59"/>
      <c r="Y218" s="59"/>
      <c r="Z218" s="61" t="s">
        <v>663</v>
      </c>
      <c r="AA218" s="61" t="s">
        <v>664</v>
      </c>
      <c r="AB218" s="40"/>
      <c r="AC218" s="40"/>
      <c r="AD218" s="40"/>
      <c r="AE218" s="40"/>
      <c r="AF218" s="40"/>
      <c r="AG218" s="40"/>
      <c r="AH218" s="40"/>
      <c r="AI218" s="40"/>
    </row>
    <row r="219">
      <c r="A219" s="55" t="s">
        <v>665</v>
      </c>
      <c r="B219" s="55">
        <v>2014.0</v>
      </c>
      <c r="C219" s="57" t="s">
        <v>666</v>
      </c>
      <c r="D219" s="59"/>
      <c r="E219" s="59"/>
      <c r="F219" s="55" t="s">
        <v>130</v>
      </c>
      <c r="G219" s="55" t="s">
        <v>131</v>
      </c>
      <c r="H219" s="59"/>
      <c r="I219" s="79" t="s">
        <v>42</v>
      </c>
      <c r="J219" s="79" t="s">
        <v>132</v>
      </c>
      <c r="K219" s="55" t="s">
        <v>158</v>
      </c>
      <c r="L219" s="59" t="s">
        <v>134</v>
      </c>
      <c r="M219" s="55" t="s">
        <v>667</v>
      </c>
      <c r="N219" s="59" t="s">
        <v>136</v>
      </c>
      <c r="O219" s="59"/>
      <c r="P219" s="59" t="s">
        <v>113</v>
      </c>
      <c r="Q219" s="55" t="s">
        <v>224</v>
      </c>
      <c r="R219" s="59" t="s">
        <v>439</v>
      </c>
      <c r="S219" s="59" t="s">
        <v>158</v>
      </c>
      <c r="T219" s="59" t="s">
        <v>158</v>
      </c>
      <c r="U219" s="59"/>
      <c r="V219" s="59"/>
      <c r="W219" s="59"/>
      <c r="X219" s="59"/>
      <c r="Y219" s="59"/>
      <c r="Z219" s="61" t="s">
        <v>663</v>
      </c>
      <c r="AA219" s="61" t="s">
        <v>668</v>
      </c>
      <c r="AB219" s="40"/>
      <c r="AC219" s="40"/>
      <c r="AD219" s="40"/>
      <c r="AE219" s="40"/>
      <c r="AF219" s="40"/>
      <c r="AG219" s="40"/>
      <c r="AH219" s="40"/>
      <c r="AI219" s="40"/>
    </row>
    <row r="220">
      <c r="A220" s="37" t="s">
        <v>669</v>
      </c>
      <c r="B220" s="37">
        <v>2014.0</v>
      </c>
      <c r="C220" s="38" t="s">
        <v>670</v>
      </c>
      <c r="D220" s="20"/>
      <c r="E220" s="20"/>
      <c r="F220" s="37" t="s">
        <v>86</v>
      </c>
      <c r="G220" s="20"/>
      <c r="H220" s="20"/>
      <c r="I220" s="20"/>
      <c r="J220" s="20"/>
      <c r="K220" s="37" t="s">
        <v>152</v>
      </c>
      <c r="L220" s="20"/>
      <c r="M220" s="20"/>
      <c r="N220" s="49" t="s">
        <v>136</v>
      </c>
      <c r="O220" s="49"/>
      <c r="P220" s="46" t="s">
        <v>113</v>
      </c>
      <c r="Q220" s="46" t="s">
        <v>114</v>
      </c>
      <c r="R220" s="46" t="s">
        <v>671</v>
      </c>
      <c r="S220" s="20"/>
      <c r="T220" s="20"/>
      <c r="U220" s="20"/>
      <c r="V220" s="20"/>
      <c r="W220" s="20"/>
      <c r="X220" s="20"/>
      <c r="Y220" s="2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</row>
    <row r="221">
      <c r="A221" s="37" t="s">
        <v>672</v>
      </c>
      <c r="B221" s="37">
        <v>2014.0</v>
      </c>
      <c r="C221" s="38" t="s">
        <v>673</v>
      </c>
      <c r="D221" s="20"/>
      <c r="E221" s="20"/>
      <c r="F221" s="37" t="s">
        <v>130</v>
      </c>
      <c r="G221" s="37" t="s">
        <v>149</v>
      </c>
      <c r="H221" s="20"/>
      <c r="I221" s="20"/>
      <c r="J221" s="20"/>
      <c r="K221" s="37" t="s">
        <v>152</v>
      </c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</row>
    <row r="222">
      <c r="A222" s="37" t="s">
        <v>674</v>
      </c>
      <c r="B222" s="37">
        <v>2014.0</v>
      </c>
      <c r="C222" s="38" t="s">
        <v>675</v>
      </c>
      <c r="D222" s="20"/>
      <c r="E222" s="20"/>
      <c r="F222" s="37" t="s">
        <v>199</v>
      </c>
      <c r="G222" s="37" t="s">
        <v>149</v>
      </c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</row>
    <row r="223">
      <c r="A223" s="55" t="s">
        <v>676</v>
      </c>
      <c r="B223" s="55">
        <v>2014.0</v>
      </c>
      <c r="C223" s="57" t="s">
        <v>677</v>
      </c>
      <c r="D223" s="59"/>
      <c r="E223" s="59"/>
      <c r="F223" s="55" t="s">
        <v>130</v>
      </c>
      <c r="G223" s="55" t="s">
        <v>131</v>
      </c>
      <c r="H223" s="59"/>
      <c r="I223" s="79" t="s">
        <v>33</v>
      </c>
      <c r="J223" s="79" t="s">
        <v>132</v>
      </c>
      <c r="K223" s="55" t="s">
        <v>158</v>
      </c>
      <c r="L223" s="59" t="s">
        <v>159</v>
      </c>
      <c r="M223" s="59"/>
      <c r="N223" s="59" t="s">
        <v>136</v>
      </c>
      <c r="O223" s="59"/>
      <c r="P223" s="59" t="s">
        <v>164</v>
      </c>
      <c r="Q223" s="59" t="s">
        <v>290</v>
      </c>
      <c r="R223" s="55" t="s">
        <v>678</v>
      </c>
      <c r="S223" s="59" t="s">
        <v>158</v>
      </c>
      <c r="T223" s="59" t="s">
        <v>142</v>
      </c>
      <c r="U223" s="59"/>
      <c r="V223" s="59"/>
      <c r="W223" s="59" t="s">
        <v>95</v>
      </c>
      <c r="X223" s="59"/>
      <c r="Y223" s="59"/>
      <c r="Z223" s="61" t="s">
        <v>179</v>
      </c>
      <c r="AA223" s="61" t="s">
        <v>180</v>
      </c>
      <c r="AB223" s="40"/>
      <c r="AC223" s="40"/>
      <c r="AD223" s="40"/>
      <c r="AE223" s="40"/>
      <c r="AF223" s="40"/>
      <c r="AG223" s="40"/>
      <c r="AH223" s="40"/>
      <c r="AI223" s="40"/>
    </row>
    <row r="224">
      <c r="A224" s="55" t="s">
        <v>679</v>
      </c>
      <c r="B224" s="55">
        <v>2014.0</v>
      </c>
      <c r="C224" s="57" t="s">
        <v>680</v>
      </c>
      <c r="D224" s="59"/>
      <c r="E224" s="59"/>
      <c r="F224" s="88" t="s">
        <v>130</v>
      </c>
      <c r="G224" s="55" t="s">
        <v>131</v>
      </c>
      <c r="H224" s="59"/>
      <c r="I224" s="79" t="s">
        <v>98</v>
      </c>
      <c r="J224" s="79" t="s">
        <v>132</v>
      </c>
      <c r="K224" s="55" t="s">
        <v>158</v>
      </c>
      <c r="L224" s="59" t="s">
        <v>159</v>
      </c>
      <c r="M224" s="59"/>
      <c r="N224" s="55" t="s">
        <v>109</v>
      </c>
      <c r="O224" s="59"/>
      <c r="P224" s="59" t="s">
        <v>164</v>
      </c>
      <c r="Q224" s="59" t="s">
        <v>165</v>
      </c>
      <c r="R224" s="59" t="s">
        <v>439</v>
      </c>
      <c r="S224" s="59" t="s">
        <v>158</v>
      </c>
      <c r="T224" s="59" t="s">
        <v>158</v>
      </c>
      <c r="U224" s="59"/>
      <c r="V224" s="59"/>
      <c r="W224" s="59"/>
      <c r="X224" s="59"/>
      <c r="Y224" s="59"/>
      <c r="Z224" s="61" t="s">
        <v>191</v>
      </c>
      <c r="AA224" s="61" t="s">
        <v>681</v>
      </c>
      <c r="AB224" s="40"/>
      <c r="AC224" s="40"/>
      <c r="AD224" s="40"/>
      <c r="AE224" s="40"/>
      <c r="AF224" s="40"/>
      <c r="AG224" s="40"/>
      <c r="AH224" s="40"/>
      <c r="AI224" s="40"/>
    </row>
    <row r="225">
      <c r="A225" s="55" t="s">
        <v>682</v>
      </c>
      <c r="B225" s="55">
        <v>2014.0</v>
      </c>
      <c r="C225" s="57" t="s">
        <v>683</v>
      </c>
      <c r="D225" s="59"/>
      <c r="E225" s="59"/>
      <c r="F225" s="88" t="s">
        <v>130</v>
      </c>
      <c r="G225" s="55" t="s">
        <v>131</v>
      </c>
      <c r="H225" s="55">
        <v>455.0</v>
      </c>
      <c r="I225" s="79" t="s">
        <v>29</v>
      </c>
      <c r="J225" s="79" t="s">
        <v>132</v>
      </c>
      <c r="K225" s="55" t="s">
        <v>158</v>
      </c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</row>
    <row r="226">
      <c r="A226" s="55" t="s">
        <v>684</v>
      </c>
      <c r="B226" s="55">
        <v>2014.0</v>
      </c>
      <c r="C226" s="57" t="s">
        <v>685</v>
      </c>
      <c r="D226" s="59"/>
      <c r="E226" s="59"/>
      <c r="F226" s="88" t="s">
        <v>130</v>
      </c>
      <c r="G226" s="55" t="s">
        <v>131</v>
      </c>
      <c r="H226" s="59"/>
      <c r="I226" s="79" t="s">
        <v>29</v>
      </c>
      <c r="J226" s="79" t="s">
        <v>132</v>
      </c>
      <c r="K226" s="55" t="s">
        <v>158</v>
      </c>
      <c r="L226" s="59" t="s">
        <v>159</v>
      </c>
      <c r="M226" s="59"/>
      <c r="N226" s="59" t="s">
        <v>136</v>
      </c>
      <c r="O226" s="59"/>
      <c r="P226" s="55" t="s">
        <v>164</v>
      </c>
      <c r="Q226" s="55" t="s">
        <v>290</v>
      </c>
      <c r="R226" s="59" t="s">
        <v>178</v>
      </c>
      <c r="S226" s="55" t="s">
        <v>343</v>
      </c>
      <c r="T226" s="59" t="s">
        <v>158</v>
      </c>
      <c r="U226" s="59"/>
      <c r="V226" s="59"/>
      <c r="W226" s="59"/>
      <c r="X226" s="59"/>
      <c r="Y226" s="59"/>
      <c r="Z226" s="61" t="s">
        <v>366</v>
      </c>
      <c r="AA226" s="61" t="s">
        <v>639</v>
      </c>
      <c r="AB226" s="40"/>
      <c r="AC226" s="40"/>
      <c r="AD226" s="40"/>
      <c r="AE226" s="40"/>
      <c r="AF226" s="40"/>
      <c r="AG226" s="40"/>
      <c r="AH226" s="40"/>
      <c r="AI226" s="40"/>
    </row>
    <row r="227">
      <c r="A227" s="55" t="s">
        <v>686</v>
      </c>
      <c r="B227" s="55">
        <v>2014.0</v>
      </c>
      <c r="C227" s="57" t="s">
        <v>687</v>
      </c>
      <c r="D227" s="59"/>
      <c r="E227" s="59"/>
      <c r="F227" s="88" t="s">
        <v>130</v>
      </c>
      <c r="G227" s="55" t="s">
        <v>131</v>
      </c>
      <c r="H227" s="59"/>
      <c r="I227" s="79" t="s">
        <v>29</v>
      </c>
      <c r="J227" s="79" t="s">
        <v>132</v>
      </c>
      <c r="K227" s="55" t="s">
        <v>158</v>
      </c>
      <c r="L227" s="59" t="s">
        <v>159</v>
      </c>
      <c r="M227" s="59"/>
      <c r="N227" s="59" t="s">
        <v>136</v>
      </c>
      <c r="O227" s="59"/>
      <c r="P227" s="55" t="s">
        <v>113</v>
      </c>
      <c r="Q227" s="55" t="s">
        <v>259</v>
      </c>
      <c r="R227" s="59" t="s">
        <v>178</v>
      </c>
      <c r="S227" s="55" t="s">
        <v>343</v>
      </c>
      <c r="T227" s="59" t="s">
        <v>158</v>
      </c>
      <c r="U227" s="59"/>
      <c r="V227" s="59"/>
      <c r="W227" s="59"/>
      <c r="X227" s="59"/>
      <c r="Y227" s="59"/>
      <c r="Z227" s="61" t="s">
        <v>167</v>
      </c>
      <c r="AA227" s="61" t="s">
        <v>688</v>
      </c>
      <c r="AB227" s="40"/>
      <c r="AC227" s="40"/>
      <c r="AD227" s="40"/>
      <c r="AE227" s="40"/>
      <c r="AF227" s="40"/>
      <c r="AG227" s="40"/>
      <c r="AH227" s="40"/>
      <c r="AI227" s="40"/>
    </row>
    <row r="228">
      <c r="A228" s="55" t="s">
        <v>689</v>
      </c>
      <c r="B228" s="55">
        <v>2014.0</v>
      </c>
      <c r="C228" s="57" t="s">
        <v>690</v>
      </c>
      <c r="D228" s="59"/>
      <c r="E228" s="59"/>
      <c r="F228" s="88" t="s">
        <v>130</v>
      </c>
      <c r="G228" s="55" t="s">
        <v>131</v>
      </c>
      <c r="H228" s="59"/>
      <c r="I228" s="79" t="s">
        <v>29</v>
      </c>
      <c r="J228" s="79" t="s">
        <v>132</v>
      </c>
      <c r="K228" s="55" t="s">
        <v>158</v>
      </c>
      <c r="L228" s="59" t="s">
        <v>159</v>
      </c>
      <c r="M228" s="59"/>
      <c r="N228" s="59" t="s">
        <v>136</v>
      </c>
      <c r="O228" s="59"/>
      <c r="P228" s="59" t="s">
        <v>137</v>
      </c>
      <c r="Q228" s="59" t="s">
        <v>114</v>
      </c>
      <c r="R228" s="59" t="s">
        <v>178</v>
      </c>
      <c r="S228" s="55" t="s">
        <v>343</v>
      </c>
      <c r="T228" s="59" t="s">
        <v>142</v>
      </c>
      <c r="U228" s="59"/>
      <c r="V228" s="59"/>
      <c r="W228" s="59" t="s">
        <v>95</v>
      </c>
      <c r="X228" s="59"/>
      <c r="Y228" s="59"/>
      <c r="Z228" s="61" t="s">
        <v>260</v>
      </c>
      <c r="AA228" s="61" t="s">
        <v>386</v>
      </c>
      <c r="AB228" s="40"/>
      <c r="AC228" s="40"/>
      <c r="AD228" s="40"/>
      <c r="AE228" s="40"/>
      <c r="AF228" s="40"/>
      <c r="AG228" s="40"/>
      <c r="AH228" s="40"/>
      <c r="AI228" s="40"/>
    </row>
    <row r="229">
      <c r="A229" s="55" t="s">
        <v>691</v>
      </c>
      <c r="B229" s="55">
        <v>2014.0</v>
      </c>
      <c r="C229" s="57" t="s">
        <v>692</v>
      </c>
      <c r="D229" s="59"/>
      <c r="E229" s="59"/>
      <c r="F229" s="88" t="s">
        <v>130</v>
      </c>
      <c r="G229" s="55" t="s">
        <v>131</v>
      </c>
      <c r="H229" s="59"/>
      <c r="I229" s="79" t="s">
        <v>29</v>
      </c>
      <c r="J229" s="79" t="s">
        <v>132</v>
      </c>
      <c r="K229" s="55" t="s">
        <v>158</v>
      </c>
      <c r="L229" s="59" t="s">
        <v>159</v>
      </c>
      <c r="M229" s="59"/>
      <c r="N229" s="59" t="s">
        <v>136</v>
      </c>
      <c r="O229" s="59"/>
      <c r="P229" s="59" t="s">
        <v>137</v>
      </c>
      <c r="Q229" s="59" t="s">
        <v>114</v>
      </c>
      <c r="R229" s="59" t="s">
        <v>178</v>
      </c>
      <c r="S229" s="55" t="s">
        <v>343</v>
      </c>
      <c r="T229" s="59" t="s">
        <v>142</v>
      </c>
      <c r="U229" s="59"/>
      <c r="V229" s="59" t="s">
        <v>95</v>
      </c>
      <c r="W229" s="59"/>
      <c r="X229" s="59"/>
      <c r="Y229" s="59"/>
      <c r="Z229" s="61" t="s">
        <v>260</v>
      </c>
      <c r="AA229" s="61" t="s">
        <v>386</v>
      </c>
      <c r="AB229" s="40"/>
      <c r="AC229" s="40"/>
      <c r="AD229" s="40"/>
      <c r="AE229" s="40"/>
      <c r="AF229" s="40"/>
      <c r="AG229" s="40"/>
      <c r="AH229" s="40"/>
      <c r="AI229" s="40"/>
    </row>
    <row r="230">
      <c r="A230" s="55" t="s">
        <v>693</v>
      </c>
      <c r="B230" s="55">
        <v>2014.0</v>
      </c>
      <c r="C230" s="57" t="s">
        <v>694</v>
      </c>
      <c r="D230" s="59"/>
      <c r="E230" s="59"/>
      <c r="F230" s="88" t="s">
        <v>130</v>
      </c>
      <c r="G230" s="55" t="s">
        <v>131</v>
      </c>
      <c r="H230" s="59"/>
      <c r="I230" s="79" t="s">
        <v>29</v>
      </c>
      <c r="J230" s="79" t="s">
        <v>132</v>
      </c>
      <c r="K230" s="55" t="s">
        <v>158</v>
      </c>
      <c r="L230" s="59" t="s">
        <v>159</v>
      </c>
      <c r="M230" s="59"/>
      <c r="N230" s="59" t="s">
        <v>136</v>
      </c>
      <c r="O230" s="59" t="s">
        <v>251</v>
      </c>
      <c r="P230" s="55" t="s">
        <v>164</v>
      </c>
      <c r="Q230" s="55" t="s">
        <v>457</v>
      </c>
      <c r="R230" s="59" t="s">
        <v>178</v>
      </c>
      <c r="S230" s="55" t="s">
        <v>343</v>
      </c>
      <c r="T230" s="59" t="s">
        <v>142</v>
      </c>
      <c r="U230" s="59" t="s">
        <v>95</v>
      </c>
      <c r="V230" s="59" t="s">
        <v>95</v>
      </c>
      <c r="W230" s="59" t="s">
        <v>95</v>
      </c>
      <c r="X230" s="59"/>
      <c r="Y230" s="59" t="s">
        <v>95</v>
      </c>
      <c r="Z230" s="61" t="s">
        <v>260</v>
      </c>
      <c r="AA230" s="61" t="s">
        <v>261</v>
      </c>
      <c r="AB230" s="40"/>
      <c r="AC230" s="40"/>
      <c r="AD230" s="40"/>
      <c r="AE230" s="40"/>
      <c r="AF230" s="40"/>
      <c r="AG230" s="40"/>
      <c r="AH230" s="40"/>
      <c r="AI230" s="40"/>
    </row>
    <row r="231">
      <c r="A231" s="55" t="s">
        <v>695</v>
      </c>
      <c r="B231" s="55">
        <v>2014.0</v>
      </c>
      <c r="C231" s="57" t="s">
        <v>696</v>
      </c>
      <c r="D231" s="59"/>
      <c r="E231" s="59"/>
      <c r="F231" s="88" t="s">
        <v>130</v>
      </c>
      <c r="G231" s="55" t="s">
        <v>131</v>
      </c>
      <c r="H231" s="59"/>
      <c r="I231" s="79" t="s">
        <v>29</v>
      </c>
      <c r="J231" s="79" t="s">
        <v>132</v>
      </c>
      <c r="K231" s="55" t="s">
        <v>158</v>
      </c>
      <c r="L231" s="59" t="s">
        <v>159</v>
      </c>
      <c r="M231" s="59"/>
      <c r="N231" s="59" t="s">
        <v>136</v>
      </c>
      <c r="O231" s="59"/>
      <c r="P231" s="55" t="s">
        <v>164</v>
      </c>
      <c r="Q231" s="55" t="s">
        <v>697</v>
      </c>
      <c r="R231" s="59" t="s">
        <v>178</v>
      </c>
      <c r="S231" s="55" t="s">
        <v>343</v>
      </c>
      <c r="T231" s="59" t="s">
        <v>158</v>
      </c>
      <c r="U231" s="59"/>
      <c r="V231" s="59"/>
      <c r="W231" s="59"/>
      <c r="X231" s="59"/>
      <c r="Y231" s="59"/>
      <c r="Z231" s="61" t="s">
        <v>143</v>
      </c>
      <c r="AA231" s="61" t="s">
        <v>394</v>
      </c>
      <c r="AB231" s="40"/>
      <c r="AC231" s="40"/>
      <c r="AD231" s="40"/>
      <c r="AE231" s="40"/>
      <c r="AF231" s="40"/>
      <c r="AG231" s="40"/>
      <c r="AH231" s="40"/>
      <c r="AI231" s="40"/>
    </row>
    <row r="232">
      <c r="A232" s="37" t="s">
        <v>698</v>
      </c>
      <c r="B232" s="37">
        <v>2014.0</v>
      </c>
      <c r="C232" s="38" t="s">
        <v>699</v>
      </c>
      <c r="D232" s="20"/>
      <c r="E232" s="20"/>
      <c r="F232" s="37" t="s">
        <v>199</v>
      </c>
      <c r="G232" s="37" t="s">
        <v>149</v>
      </c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</row>
    <row r="233">
      <c r="A233" s="55" t="s">
        <v>700</v>
      </c>
      <c r="B233" s="55">
        <v>2014.0</v>
      </c>
      <c r="C233" s="57" t="s">
        <v>701</v>
      </c>
      <c r="D233" s="59"/>
      <c r="E233" s="59"/>
      <c r="F233" s="88" t="s">
        <v>130</v>
      </c>
      <c r="G233" s="55" t="s">
        <v>131</v>
      </c>
      <c r="H233" s="59"/>
      <c r="I233" s="79" t="s">
        <v>122</v>
      </c>
      <c r="J233" s="82" t="s">
        <v>132</v>
      </c>
      <c r="K233" s="55" t="s">
        <v>658</v>
      </c>
      <c r="L233" s="59" t="s">
        <v>159</v>
      </c>
      <c r="M233" s="59"/>
      <c r="N233" s="59" t="s">
        <v>136</v>
      </c>
      <c r="O233" s="59"/>
      <c r="P233" s="59" t="s">
        <v>137</v>
      </c>
      <c r="Q233" s="55" t="s">
        <v>138</v>
      </c>
      <c r="R233" s="55" t="s">
        <v>166</v>
      </c>
      <c r="S233" s="55" t="s">
        <v>158</v>
      </c>
      <c r="T233" s="55" t="s">
        <v>158</v>
      </c>
      <c r="U233" s="59"/>
      <c r="V233" s="59"/>
      <c r="W233" s="59"/>
      <c r="X233" s="59"/>
      <c r="Y233" s="59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</row>
    <row r="234">
      <c r="A234" s="55" t="s">
        <v>702</v>
      </c>
      <c r="B234" s="55">
        <v>2014.0</v>
      </c>
      <c r="C234" s="57" t="s">
        <v>703</v>
      </c>
      <c r="D234" s="59"/>
      <c r="E234" s="59"/>
      <c r="F234" s="88" t="s">
        <v>130</v>
      </c>
      <c r="G234" s="55" t="s">
        <v>131</v>
      </c>
      <c r="H234" s="59"/>
      <c r="I234" s="79" t="s">
        <v>126</v>
      </c>
      <c r="J234" s="79" t="s">
        <v>132</v>
      </c>
      <c r="K234" s="55" t="s">
        <v>158</v>
      </c>
      <c r="L234" s="59" t="s">
        <v>159</v>
      </c>
      <c r="M234" s="59"/>
      <c r="N234" s="59" t="s">
        <v>136</v>
      </c>
      <c r="O234" s="59"/>
      <c r="P234" s="59" t="s">
        <v>137</v>
      </c>
      <c r="Q234" s="59" t="s">
        <v>114</v>
      </c>
      <c r="R234" s="59" t="s">
        <v>178</v>
      </c>
      <c r="S234" s="55" t="s">
        <v>343</v>
      </c>
      <c r="T234" s="59" t="s">
        <v>158</v>
      </c>
      <c r="U234" s="59"/>
      <c r="V234" s="59"/>
      <c r="W234" s="59"/>
      <c r="X234" s="59"/>
      <c r="Y234" s="59"/>
      <c r="Z234" s="61" t="s">
        <v>167</v>
      </c>
      <c r="AA234" s="61" t="s">
        <v>704</v>
      </c>
      <c r="AB234" s="40"/>
      <c r="AC234" s="40"/>
      <c r="AD234" s="40"/>
      <c r="AE234" s="40"/>
      <c r="AF234" s="40"/>
      <c r="AG234" s="40"/>
      <c r="AH234" s="40"/>
      <c r="AI234" s="40"/>
    </row>
    <row r="235">
      <c r="A235" s="37" t="s">
        <v>705</v>
      </c>
      <c r="B235" s="37">
        <v>2014.0</v>
      </c>
      <c r="C235" s="38" t="s">
        <v>706</v>
      </c>
      <c r="D235" s="20"/>
      <c r="E235" s="20"/>
      <c r="F235" s="37" t="s">
        <v>91</v>
      </c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</row>
    <row r="236">
      <c r="A236" s="55" t="s">
        <v>707</v>
      </c>
      <c r="B236" s="55">
        <v>2014.0</v>
      </c>
      <c r="C236" s="57" t="s">
        <v>708</v>
      </c>
      <c r="D236" s="59"/>
      <c r="E236" s="59"/>
      <c r="F236" s="88" t="s">
        <v>130</v>
      </c>
      <c r="G236" s="55" t="s">
        <v>131</v>
      </c>
      <c r="H236" s="59"/>
      <c r="I236" s="79" t="s">
        <v>69</v>
      </c>
      <c r="J236" s="79" t="s">
        <v>258</v>
      </c>
      <c r="K236" s="55" t="s">
        <v>158</v>
      </c>
      <c r="L236" s="59" t="s">
        <v>159</v>
      </c>
      <c r="M236" s="59"/>
      <c r="N236" s="59" t="s">
        <v>446</v>
      </c>
      <c r="O236" s="55" t="s">
        <v>251</v>
      </c>
      <c r="P236" s="59" t="s">
        <v>113</v>
      </c>
      <c r="Q236" s="59" t="s">
        <v>532</v>
      </c>
      <c r="R236" s="59" t="s">
        <v>178</v>
      </c>
      <c r="S236" s="55" t="s">
        <v>158</v>
      </c>
      <c r="T236" s="55" t="s">
        <v>142</v>
      </c>
      <c r="U236" s="59"/>
      <c r="V236" s="59"/>
      <c r="W236" s="55" t="s">
        <v>95</v>
      </c>
      <c r="X236" s="59"/>
      <c r="Y236" s="59"/>
      <c r="Z236" s="61" t="s">
        <v>663</v>
      </c>
      <c r="AA236" s="61" t="s">
        <v>709</v>
      </c>
      <c r="AB236" s="40"/>
      <c r="AC236" s="40"/>
      <c r="AD236" s="40"/>
      <c r="AE236" s="40"/>
      <c r="AF236" s="40"/>
      <c r="AG236" s="40"/>
      <c r="AH236" s="40"/>
      <c r="AI236" s="40"/>
    </row>
    <row r="237">
      <c r="A237" s="37" t="s">
        <v>710</v>
      </c>
      <c r="B237" s="37">
        <v>2014.0</v>
      </c>
      <c r="C237" s="38" t="s">
        <v>711</v>
      </c>
      <c r="D237" s="20"/>
      <c r="E237" s="20"/>
      <c r="F237" s="96" t="s">
        <v>130</v>
      </c>
      <c r="G237" s="37" t="s">
        <v>149</v>
      </c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</row>
    <row r="238">
      <c r="A238" s="55" t="s">
        <v>712</v>
      </c>
      <c r="B238" s="55">
        <v>2014.0</v>
      </c>
      <c r="C238" s="57" t="s">
        <v>713</v>
      </c>
      <c r="D238" s="59"/>
      <c r="E238" s="59"/>
      <c r="F238" s="88" t="s">
        <v>130</v>
      </c>
      <c r="G238" s="55" t="s">
        <v>131</v>
      </c>
      <c r="H238" s="59"/>
      <c r="I238" s="79" t="s">
        <v>85</v>
      </c>
      <c r="J238" s="79" t="s">
        <v>132</v>
      </c>
      <c r="K238" s="55" t="s">
        <v>158</v>
      </c>
      <c r="L238" s="59" t="s">
        <v>134</v>
      </c>
      <c r="M238" s="55" t="s">
        <v>667</v>
      </c>
      <c r="N238" s="55" t="s">
        <v>136</v>
      </c>
      <c r="O238" s="55" t="s">
        <v>177</v>
      </c>
      <c r="P238" s="59" t="s">
        <v>164</v>
      </c>
      <c r="Q238" s="55" t="s">
        <v>252</v>
      </c>
      <c r="R238" s="55" t="s">
        <v>678</v>
      </c>
      <c r="S238" s="55" t="s">
        <v>141</v>
      </c>
      <c r="T238" s="59" t="s">
        <v>158</v>
      </c>
      <c r="U238" s="59"/>
      <c r="V238" s="59"/>
      <c r="W238" s="59"/>
      <c r="X238" s="59"/>
      <c r="Y238" s="59"/>
      <c r="Z238" s="61" t="s">
        <v>179</v>
      </c>
      <c r="AA238" s="61" t="s">
        <v>180</v>
      </c>
      <c r="AB238" s="40"/>
      <c r="AC238" s="40"/>
      <c r="AD238" s="40"/>
      <c r="AE238" s="40"/>
      <c r="AF238" s="40"/>
      <c r="AG238" s="40"/>
      <c r="AH238" s="40"/>
      <c r="AI238" s="40"/>
    </row>
    <row r="239">
      <c r="A239" s="37" t="s">
        <v>714</v>
      </c>
      <c r="B239" s="37">
        <v>2014.0</v>
      </c>
      <c r="C239" s="38" t="s">
        <v>715</v>
      </c>
      <c r="D239" s="20"/>
      <c r="E239" s="20"/>
      <c r="F239" s="37" t="s">
        <v>86</v>
      </c>
      <c r="G239" s="20"/>
      <c r="H239" s="20"/>
      <c r="I239" s="20"/>
      <c r="J239" s="20"/>
      <c r="K239" s="37" t="s">
        <v>152</v>
      </c>
      <c r="L239" s="20"/>
      <c r="M239" s="96"/>
      <c r="N239" s="46" t="s">
        <v>136</v>
      </c>
      <c r="O239" s="49"/>
      <c r="P239" s="46" t="s">
        <v>113</v>
      </c>
      <c r="Q239" s="46" t="s">
        <v>114</v>
      </c>
      <c r="R239" s="46" t="s">
        <v>716</v>
      </c>
      <c r="S239" s="20"/>
      <c r="T239" s="20"/>
      <c r="U239" s="20"/>
      <c r="V239" s="20"/>
      <c r="W239" s="20"/>
      <c r="X239" s="20"/>
      <c r="Y239" s="2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</row>
    <row r="240">
      <c r="A240" s="55" t="s">
        <v>717</v>
      </c>
      <c r="B240" s="55">
        <v>2014.0</v>
      </c>
      <c r="C240" s="57" t="s">
        <v>718</v>
      </c>
      <c r="D240" s="59"/>
      <c r="E240" s="59"/>
      <c r="F240" s="88" t="s">
        <v>130</v>
      </c>
      <c r="G240" s="55" t="s">
        <v>131</v>
      </c>
      <c r="H240" s="59"/>
      <c r="I240" s="79" t="s">
        <v>140</v>
      </c>
      <c r="J240" s="79" t="s">
        <v>132</v>
      </c>
      <c r="K240" s="55" t="s">
        <v>158</v>
      </c>
      <c r="L240" s="59" t="s">
        <v>159</v>
      </c>
      <c r="M240" s="59"/>
      <c r="N240" s="59" t="s">
        <v>136</v>
      </c>
      <c r="O240" s="55" t="s">
        <v>251</v>
      </c>
      <c r="P240" s="59" t="s">
        <v>137</v>
      </c>
      <c r="Q240" s="59" t="s">
        <v>224</v>
      </c>
      <c r="R240" s="55" t="s">
        <v>719</v>
      </c>
      <c r="S240" s="55" t="s">
        <v>141</v>
      </c>
      <c r="T240" s="59" t="s">
        <v>158</v>
      </c>
      <c r="U240" s="59"/>
      <c r="V240" s="59"/>
      <c r="W240" s="59"/>
      <c r="X240" s="59"/>
      <c r="Y240" s="59"/>
      <c r="Z240" s="61" t="s">
        <v>505</v>
      </c>
      <c r="AA240" s="61" t="s">
        <v>720</v>
      </c>
      <c r="AB240" s="40"/>
      <c r="AC240" s="40"/>
      <c r="AD240" s="40"/>
      <c r="AE240" s="40"/>
      <c r="AF240" s="40"/>
      <c r="AG240" s="40"/>
      <c r="AH240" s="40"/>
      <c r="AI240" s="40"/>
    </row>
    <row r="241">
      <c r="A241" s="37" t="s">
        <v>721</v>
      </c>
      <c r="B241" s="37">
        <v>2014.0</v>
      </c>
      <c r="C241" s="38" t="s">
        <v>722</v>
      </c>
      <c r="D241" s="20"/>
      <c r="E241" s="20"/>
      <c r="F241" s="37" t="s">
        <v>86</v>
      </c>
      <c r="G241" s="20"/>
      <c r="H241" s="20"/>
      <c r="I241" s="20"/>
      <c r="J241" s="20"/>
      <c r="K241" s="37" t="s">
        <v>152</v>
      </c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</row>
    <row r="242">
      <c r="A242" s="37" t="s">
        <v>723</v>
      </c>
      <c r="B242" s="37">
        <v>2014.0</v>
      </c>
      <c r="C242" s="38" t="s">
        <v>724</v>
      </c>
      <c r="D242" s="20"/>
      <c r="E242" s="20"/>
      <c r="F242" s="37" t="s">
        <v>199</v>
      </c>
      <c r="G242" s="37" t="s">
        <v>149</v>
      </c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</row>
    <row r="243">
      <c r="A243" s="55" t="s">
        <v>725</v>
      </c>
      <c r="B243" s="55">
        <v>2013.0</v>
      </c>
      <c r="C243" s="57" t="s">
        <v>726</v>
      </c>
      <c r="D243" s="59"/>
      <c r="E243" s="59"/>
      <c r="F243" s="88" t="s">
        <v>130</v>
      </c>
      <c r="G243" s="55" t="s">
        <v>131</v>
      </c>
      <c r="H243" s="59"/>
      <c r="I243" s="79" t="s">
        <v>60</v>
      </c>
      <c r="J243" s="79" t="s">
        <v>132</v>
      </c>
      <c r="K243" s="55" t="s">
        <v>158</v>
      </c>
      <c r="L243" s="59" t="s">
        <v>159</v>
      </c>
      <c r="M243" s="59"/>
      <c r="N243" s="59" t="s">
        <v>109</v>
      </c>
      <c r="O243" s="55" t="s">
        <v>727</v>
      </c>
      <c r="P243" s="59" t="s">
        <v>164</v>
      </c>
      <c r="Q243" s="59" t="s">
        <v>638</v>
      </c>
      <c r="R243" s="59" t="s">
        <v>166</v>
      </c>
      <c r="S243" s="59" t="s">
        <v>158</v>
      </c>
      <c r="T243" s="59" t="s">
        <v>158</v>
      </c>
      <c r="U243" s="59"/>
      <c r="V243" s="59"/>
      <c r="W243" s="59"/>
      <c r="X243" s="59"/>
      <c r="Y243" s="59"/>
      <c r="Z243" s="61" t="s">
        <v>167</v>
      </c>
      <c r="AA243" s="61" t="s">
        <v>728</v>
      </c>
      <c r="AB243" s="40"/>
      <c r="AC243" s="40"/>
      <c r="AD243" s="40"/>
      <c r="AE243" s="40"/>
      <c r="AF243" s="40"/>
      <c r="AG243" s="40"/>
      <c r="AH243" s="40"/>
      <c r="AI243" s="40"/>
    </row>
    <row r="244">
      <c r="A244" s="37" t="s">
        <v>729</v>
      </c>
      <c r="B244" s="37">
        <v>2013.0</v>
      </c>
      <c r="C244" s="38" t="s">
        <v>730</v>
      </c>
      <c r="D244" s="20"/>
      <c r="E244" s="20"/>
      <c r="F244" s="96" t="s">
        <v>86</v>
      </c>
      <c r="G244" s="20"/>
      <c r="H244" s="20"/>
      <c r="I244" s="20"/>
      <c r="J244" s="20"/>
      <c r="K244" s="37" t="s">
        <v>152</v>
      </c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</row>
    <row r="245">
      <c r="A245" s="55" t="s">
        <v>731</v>
      </c>
      <c r="B245" s="55">
        <v>2013.0</v>
      </c>
      <c r="C245" s="57" t="s">
        <v>732</v>
      </c>
      <c r="D245" s="59"/>
      <c r="E245" s="59"/>
      <c r="F245" s="88" t="s">
        <v>130</v>
      </c>
      <c r="G245" s="55" t="s">
        <v>131</v>
      </c>
      <c r="H245" s="59"/>
      <c r="I245" s="79" t="s">
        <v>42</v>
      </c>
      <c r="J245" s="79" t="s">
        <v>132</v>
      </c>
      <c r="K245" s="55" t="s">
        <v>158</v>
      </c>
      <c r="L245" s="59" t="s">
        <v>504</v>
      </c>
      <c r="M245" s="59"/>
      <c r="N245" s="55" t="s">
        <v>136</v>
      </c>
      <c r="O245" s="55" t="s">
        <v>177</v>
      </c>
      <c r="P245" s="59" t="s">
        <v>113</v>
      </c>
      <c r="Q245" s="59" t="s">
        <v>114</v>
      </c>
      <c r="R245" s="59" t="s">
        <v>166</v>
      </c>
      <c r="S245" s="59" t="s">
        <v>158</v>
      </c>
      <c r="T245" s="59" t="s">
        <v>142</v>
      </c>
      <c r="U245" s="59"/>
      <c r="V245" s="59" t="s">
        <v>95</v>
      </c>
      <c r="W245" s="55" t="s">
        <v>95</v>
      </c>
      <c r="X245" s="59"/>
      <c r="Y245" s="59"/>
      <c r="Z245" s="61" t="s">
        <v>191</v>
      </c>
      <c r="AA245" s="61" t="s">
        <v>733</v>
      </c>
      <c r="AB245" s="40"/>
      <c r="AC245" s="40"/>
      <c r="AD245" s="40"/>
      <c r="AE245" s="40"/>
      <c r="AF245" s="40"/>
      <c r="AG245" s="40"/>
      <c r="AH245" s="40"/>
      <c r="AI245" s="40"/>
    </row>
    <row r="246">
      <c r="A246" s="37" t="s">
        <v>734</v>
      </c>
      <c r="B246" s="37">
        <v>2012.0</v>
      </c>
      <c r="C246" s="38" t="s">
        <v>735</v>
      </c>
      <c r="D246" s="20"/>
      <c r="E246" s="37"/>
      <c r="F246" s="37" t="s">
        <v>37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</row>
    <row r="247">
      <c r="A247" s="55" t="s">
        <v>736</v>
      </c>
      <c r="B247" s="55">
        <v>2012.0</v>
      </c>
      <c r="C247" s="57" t="s">
        <v>737</v>
      </c>
      <c r="D247" s="59"/>
      <c r="E247" s="59"/>
      <c r="F247" s="88" t="s">
        <v>130</v>
      </c>
      <c r="G247" s="55" t="s">
        <v>131</v>
      </c>
      <c r="H247" s="59"/>
      <c r="I247" s="79" t="s">
        <v>42</v>
      </c>
      <c r="J247" s="79" t="s">
        <v>132</v>
      </c>
      <c r="K247" s="55" t="s">
        <v>158</v>
      </c>
      <c r="L247" s="59" t="s">
        <v>504</v>
      </c>
      <c r="M247" s="59" t="s">
        <v>738</v>
      </c>
      <c r="N247" s="55" t="s">
        <v>136</v>
      </c>
      <c r="O247" s="55" t="s">
        <v>177</v>
      </c>
      <c r="P247" s="59" t="s">
        <v>113</v>
      </c>
      <c r="Q247" s="59" t="s">
        <v>114</v>
      </c>
      <c r="R247" s="59" t="s">
        <v>276</v>
      </c>
      <c r="S247" s="59" t="s">
        <v>158</v>
      </c>
      <c r="T247" s="59" t="s">
        <v>158</v>
      </c>
      <c r="U247" s="59"/>
      <c r="V247" s="59"/>
      <c r="W247" s="59"/>
      <c r="X247" s="59"/>
      <c r="Y247" s="59"/>
      <c r="Z247" s="61" t="s">
        <v>505</v>
      </c>
      <c r="AA247" s="61" t="s">
        <v>739</v>
      </c>
      <c r="AB247" s="40"/>
      <c r="AC247" s="40"/>
      <c r="AD247" s="40"/>
      <c r="AE247" s="40"/>
      <c r="AF247" s="40"/>
      <c r="AG247" s="40"/>
      <c r="AH247" s="40"/>
      <c r="AI247" s="40"/>
    </row>
    <row r="248">
      <c r="A248" s="37" t="s">
        <v>740</v>
      </c>
      <c r="B248" s="37">
        <v>2014.0</v>
      </c>
      <c r="C248" s="38" t="s">
        <v>741</v>
      </c>
      <c r="D248" s="20"/>
      <c r="E248" s="20"/>
      <c r="F248" s="37" t="s">
        <v>91</v>
      </c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</row>
    <row r="249">
      <c r="A249" s="37" t="s">
        <v>742</v>
      </c>
      <c r="B249" s="37">
        <v>2016.0</v>
      </c>
      <c r="C249" s="38" t="s">
        <v>743</v>
      </c>
      <c r="D249" s="37" t="s">
        <v>95</v>
      </c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</row>
    <row r="250">
      <c r="A250" s="37" t="s">
        <v>744</v>
      </c>
      <c r="B250" s="37">
        <v>2016.0</v>
      </c>
      <c r="C250" s="38" t="s">
        <v>745</v>
      </c>
      <c r="D250" s="20"/>
      <c r="E250" s="37" t="s">
        <v>95</v>
      </c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</row>
    <row r="251">
      <c r="A251" s="37" t="s">
        <v>746</v>
      </c>
      <c r="B251" s="37">
        <v>2016.0</v>
      </c>
      <c r="C251" s="38" t="s">
        <v>747</v>
      </c>
      <c r="D251" s="37" t="s">
        <v>95</v>
      </c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</row>
    <row r="252">
      <c r="A252" s="37" t="s">
        <v>748</v>
      </c>
      <c r="B252" s="37">
        <v>2016.0</v>
      </c>
      <c r="C252" s="38" t="s">
        <v>749</v>
      </c>
      <c r="D252" s="37" t="s">
        <v>95</v>
      </c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</row>
    <row r="253">
      <c r="A253" s="37" t="s">
        <v>750</v>
      </c>
      <c r="B253" s="37">
        <v>2016.0</v>
      </c>
      <c r="C253" s="38" t="s">
        <v>751</v>
      </c>
      <c r="D253" s="37"/>
      <c r="E253" s="37" t="s">
        <v>95</v>
      </c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</row>
    <row r="254">
      <c r="A254" s="37" t="s">
        <v>752</v>
      </c>
      <c r="B254" s="37">
        <v>2016.0</v>
      </c>
      <c r="C254" s="38" t="s">
        <v>753</v>
      </c>
      <c r="D254" s="37" t="s">
        <v>95</v>
      </c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</row>
    <row r="255">
      <c r="A255" s="37" t="s">
        <v>754</v>
      </c>
      <c r="B255" s="37">
        <v>2016.0</v>
      </c>
      <c r="C255" s="38" t="s">
        <v>755</v>
      </c>
      <c r="D255" s="37" t="s">
        <v>95</v>
      </c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</row>
    <row r="256">
      <c r="A256" s="37" t="s">
        <v>756</v>
      </c>
      <c r="B256" s="37">
        <v>2015.0</v>
      </c>
      <c r="C256" s="38" t="s">
        <v>757</v>
      </c>
      <c r="D256" s="20"/>
      <c r="E256" s="20"/>
      <c r="F256" s="37" t="s">
        <v>130</v>
      </c>
      <c r="G256" s="37" t="s">
        <v>149</v>
      </c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</row>
    <row r="257">
      <c r="A257" s="37" t="s">
        <v>758</v>
      </c>
      <c r="B257" s="37">
        <v>2016.0</v>
      </c>
      <c r="C257" s="38" t="s">
        <v>759</v>
      </c>
      <c r="D257" s="37" t="s">
        <v>95</v>
      </c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</row>
    <row r="258">
      <c r="A258" s="37" t="s">
        <v>760</v>
      </c>
      <c r="B258" s="37">
        <v>2016.0</v>
      </c>
      <c r="C258" s="38" t="s">
        <v>761</v>
      </c>
      <c r="D258" s="37" t="s">
        <v>95</v>
      </c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</row>
    <row r="259">
      <c r="A259" s="37" t="s">
        <v>762</v>
      </c>
      <c r="B259" s="37">
        <v>2016.0</v>
      </c>
      <c r="C259" s="38" t="s">
        <v>763</v>
      </c>
      <c r="D259" s="37" t="s">
        <v>95</v>
      </c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</row>
    <row r="260">
      <c r="A260" s="37" t="s">
        <v>764</v>
      </c>
      <c r="B260" s="37">
        <v>2016.0</v>
      </c>
      <c r="C260" s="38" t="s">
        <v>765</v>
      </c>
      <c r="D260" s="37" t="s">
        <v>95</v>
      </c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</row>
    <row r="261">
      <c r="A261" s="37" t="s">
        <v>766</v>
      </c>
      <c r="B261" s="37">
        <v>2016.0</v>
      </c>
      <c r="C261" s="38" t="s">
        <v>767</v>
      </c>
      <c r="D261" s="37" t="s">
        <v>95</v>
      </c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</row>
    <row r="262">
      <c r="A262" s="37" t="s">
        <v>768</v>
      </c>
      <c r="B262" s="37">
        <v>2016.0</v>
      </c>
      <c r="C262" s="38" t="s">
        <v>769</v>
      </c>
      <c r="D262" s="37" t="s">
        <v>95</v>
      </c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</row>
    <row r="263">
      <c r="A263" s="37" t="s">
        <v>770</v>
      </c>
      <c r="B263" s="37">
        <v>2016.0</v>
      </c>
      <c r="C263" s="38" t="s">
        <v>771</v>
      </c>
      <c r="D263" s="37" t="s">
        <v>95</v>
      </c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</row>
    <row r="264">
      <c r="A264" s="37" t="s">
        <v>772</v>
      </c>
      <c r="B264" s="37">
        <v>2016.0</v>
      </c>
      <c r="C264" s="38" t="s">
        <v>773</v>
      </c>
      <c r="D264" s="37" t="s">
        <v>95</v>
      </c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</row>
    <row r="265">
      <c r="A265" s="37" t="s">
        <v>774</v>
      </c>
      <c r="B265" s="37">
        <v>2015.0</v>
      </c>
      <c r="C265" s="38" t="s">
        <v>775</v>
      </c>
      <c r="D265" s="20"/>
      <c r="E265" s="20"/>
      <c r="F265" s="37" t="s">
        <v>86</v>
      </c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</row>
    <row r="266">
      <c r="A266" s="37" t="s">
        <v>776</v>
      </c>
      <c r="B266" s="37">
        <v>2015.0</v>
      </c>
      <c r="C266" s="38" t="s">
        <v>777</v>
      </c>
      <c r="D266" s="37" t="s">
        <v>95</v>
      </c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</row>
    <row r="267">
      <c r="A267" s="37" t="s">
        <v>778</v>
      </c>
      <c r="B267" s="37">
        <v>2015.0</v>
      </c>
      <c r="C267" s="38" t="s">
        <v>779</v>
      </c>
      <c r="D267" s="37" t="s">
        <v>95</v>
      </c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</row>
    <row r="268">
      <c r="A268" s="37" t="s">
        <v>780</v>
      </c>
      <c r="B268" s="37">
        <v>2016.0</v>
      </c>
      <c r="C268" s="38" t="s">
        <v>781</v>
      </c>
      <c r="D268" s="37" t="s">
        <v>95</v>
      </c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</row>
    <row r="269">
      <c r="A269" s="37" t="s">
        <v>782</v>
      </c>
      <c r="B269" s="37">
        <v>2016.0</v>
      </c>
      <c r="C269" s="38" t="s">
        <v>783</v>
      </c>
      <c r="D269" s="37" t="s">
        <v>95</v>
      </c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</row>
    <row r="270">
      <c r="A270" s="37" t="s">
        <v>784</v>
      </c>
      <c r="B270" s="37">
        <v>2013.0</v>
      </c>
      <c r="C270" s="38" t="s">
        <v>785</v>
      </c>
      <c r="D270" s="37" t="s">
        <v>95</v>
      </c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</row>
    <row r="271">
      <c r="A271" s="37" t="s">
        <v>786</v>
      </c>
      <c r="B271" s="37">
        <v>2016.0</v>
      </c>
      <c r="C271" s="38" t="s">
        <v>787</v>
      </c>
      <c r="D271" s="37" t="s">
        <v>95</v>
      </c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</row>
    <row r="272">
      <c r="A272" s="37" t="s">
        <v>788</v>
      </c>
      <c r="B272" s="37">
        <v>2016.0</v>
      </c>
      <c r="C272" s="38" t="s">
        <v>789</v>
      </c>
      <c r="D272" s="37" t="s">
        <v>95</v>
      </c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</row>
    <row r="273">
      <c r="A273" s="37" t="s">
        <v>790</v>
      </c>
      <c r="B273" s="37">
        <v>2015.0</v>
      </c>
      <c r="C273" s="38" t="s">
        <v>791</v>
      </c>
      <c r="D273" s="37" t="s">
        <v>95</v>
      </c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</row>
    <row r="274">
      <c r="A274" s="37" t="s">
        <v>792</v>
      </c>
      <c r="B274" s="37">
        <v>2016.0</v>
      </c>
      <c r="C274" s="38" t="s">
        <v>793</v>
      </c>
      <c r="D274" s="37" t="s">
        <v>95</v>
      </c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</row>
    <row r="275">
      <c r="A275" s="37" t="s">
        <v>794</v>
      </c>
      <c r="B275" s="37">
        <v>2015.0</v>
      </c>
      <c r="C275" s="38" t="s">
        <v>795</v>
      </c>
      <c r="D275" s="37" t="s">
        <v>95</v>
      </c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</row>
    <row r="276">
      <c r="A276" s="37" t="s">
        <v>796</v>
      </c>
      <c r="B276" s="37">
        <v>2015.0</v>
      </c>
      <c r="C276" s="38" t="s">
        <v>204</v>
      </c>
      <c r="D276" s="20"/>
      <c r="E276" s="20"/>
      <c r="F276" s="37" t="s">
        <v>490</v>
      </c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</row>
    <row r="277">
      <c r="A277" s="37" t="s">
        <v>797</v>
      </c>
      <c r="B277" s="37">
        <v>2016.0</v>
      </c>
      <c r="C277" s="38" t="s">
        <v>798</v>
      </c>
      <c r="D277" s="20"/>
      <c r="E277" s="37" t="s">
        <v>95</v>
      </c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</row>
    <row r="278">
      <c r="A278" s="37" t="s">
        <v>799</v>
      </c>
      <c r="B278" s="37">
        <v>2016.0</v>
      </c>
      <c r="C278" s="38" t="s">
        <v>800</v>
      </c>
      <c r="D278" s="37" t="s">
        <v>95</v>
      </c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</row>
    <row r="279">
      <c r="A279" s="37" t="s">
        <v>801</v>
      </c>
      <c r="B279" s="37">
        <v>2016.0</v>
      </c>
      <c r="C279" s="38" t="s">
        <v>802</v>
      </c>
      <c r="D279" s="37" t="s">
        <v>95</v>
      </c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</row>
    <row r="280">
      <c r="A280" s="37" t="s">
        <v>803</v>
      </c>
      <c r="B280" s="37">
        <v>2016.0</v>
      </c>
      <c r="C280" s="38" t="s">
        <v>804</v>
      </c>
      <c r="D280" s="37" t="s">
        <v>95</v>
      </c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</row>
    <row r="281">
      <c r="A281" s="37" t="s">
        <v>805</v>
      </c>
      <c r="B281" s="37">
        <v>2014.0</v>
      </c>
      <c r="C281" s="38" t="s">
        <v>806</v>
      </c>
      <c r="D281" s="37" t="s">
        <v>95</v>
      </c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</row>
    <row r="282">
      <c r="A282" s="37" t="s">
        <v>807</v>
      </c>
      <c r="B282" s="37">
        <v>2014.0</v>
      </c>
      <c r="C282" s="38" t="s">
        <v>808</v>
      </c>
      <c r="D282" s="37" t="s">
        <v>95</v>
      </c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</row>
    <row r="283">
      <c r="A283" s="37" t="s">
        <v>809</v>
      </c>
      <c r="B283" s="37">
        <v>2016.0</v>
      </c>
      <c r="C283" s="38" t="s">
        <v>810</v>
      </c>
      <c r="D283" s="37" t="s">
        <v>95</v>
      </c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</row>
    <row r="284">
      <c r="A284" s="37" t="s">
        <v>811</v>
      </c>
      <c r="B284" s="37">
        <v>2016.0</v>
      </c>
      <c r="C284" s="38" t="s">
        <v>812</v>
      </c>
      <c r="D284" s="20"/>
      <c r="E284" s="20"/>
      <c r="F284" s="37" t="s">
        <v>91</v>
      </c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</row>
    <row r="285">
      <c r="A285" s="37" t="s">
        <v>813</v>
      </c>
      <c r="B285" s="37">
        <v>2016.0</v>
      </c>
      <c r="C285" s="38" t="s">
        <v>814</v>
      </c>
      <c r="D285" s="37" t="s">
        <v>95</v>
      </c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</row>
    <row r="286">
      <c r="A286" s="37" t="s">
        <v>815</v>
      </c>
      <c r="B286" s="37">
        <v>2013.0</v>
      </c>
      <c r="C286" s="38" t="s">
        <v>816</v>
      </c>
      <c r="D286" s="37" t="s">
        <v>95</v>
      </c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</row>
    <row r="287">
      <c r="A287" s="37" t="s">
        <v>817</v>
      </c>
      <c r="B287" s="37">
        <v>2015.0</v>
      </c>
      <c r="C287" s="38" t="s">
        <v>818</v>
      </c>
      <c r="D287" s="20"/>
      <c r="E287" s="37" t="s">
        <v>95</v>
      </c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</row>
    <row r="288">
      <c r="A288" s="37" t="s">
        <v>819</v>
      </c>
      <c r="B288" s="37">
        <v>2016.0</v>
      </c>
      <c r="C288" s="38" t="s">
        <v>820</v>
      </c>
      <c r="D288" s="37" t="s">
        <v>95</v>
      </c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</row>
    <row r="289">
      <c r="A289" s="37" t="s">
        <v>821</v>
      </c>
      <c r="B289" s="37">
        <v>2015.0</v>
      </c>
      <c r="C289" s="38" t="s">
        <v>822</v>
      </c>
      <c r="D289" s="37" t="s">
        <v>95</v>
      </c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</row>
    <row r="290">
      <c r="A290" s="37" t="s">
        <v>823</v>
      </c>
      <c r="B290" s="37">
        <v>2016.0</v>
      </c>
      <c r="C290" s="38" t="s">
        <v>824</v>
      </c>
      <c r="D290" s="37" t="s">
        <v>95</v>
      </c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</row>
    <row r="291">
      <c r="A291" s="37" t="s">
        <v>825</v>
      </c>
      <c r="B291" s="37">
        <v>2015.0</v>
      </c>
      <c r="C291" s="38" t="s">
        <v>826</v>
      </c>
      <c r="D291" s="37" t="s">
        <v>95</v>
      </c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</row>
    <row r="292">
      <c r="A292" s="37" t="s">
        <v>827</v>
      </c>
      <c r="B292" s="37">
        <v>2015.0</v>
      </c>
      <c r="C292" s="38" t="s">
        <v>828</v>
      </c>
      <c r="D292" s="37" t="s">
        <v>95</v>
      </c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</row>
    <row r="293">
      <c r="A293" s="37" t="s">
        <v>829</v>
      </c>
      <c r="B293" s="37">
        <v>2015.0</v>
      </c>
      <c r="C293" s="38" t="s">
        <v>830</v>
      </c>
      <c r="D293" s="37" t="s">
        <v>95</v>
      </c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</row>
    <row r="294">
      <c r="A294" s="37" t="s">
        <v>831</v>
      </c>
      <c r="B294" s="37">
        <v>2016.0</v>
      </c>
      <c r="C294" s="38" t="s">
        <v>832</v>
      </c>
      <c r="D294" s="37" t="s">
        <v>95</v>
      </c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</row>
    <row r="295">
      <c r="A295" s="37" t="s">
        <v>833</v>
      </c>
      <c r="B295" s="37">
        <v>2016.0</v>
      </c>
      <c r="C295" s="38" t="s">
        <v>834</v>
      </c>
      <c r="D295" s="37" t="s">
        <v>95</v>
      </c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</row>
    <row r="296">
      <c r="A296" s="37" t="s">
        <v>835</v>
      </c>
      <c r="B296" s="37">
        <v>2016.0</v>
      </c>
      <c r="C296" s="38" t="s">
        <v>836</v>
      </c>
      <c r="D296" s="37" t="s">
        <v>95</v>
      </c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</row>
    <row r="297">
      <c r="A297" s="37" t="s">
        <v>837</v>
      </c>
      <c r="B297" s="37">
        <v>2016.0</v>
      </c>
      <c r="C297" s="38" t="s">
        <v>838</v>
      </c>
      <c r="D297" s="37" t="s">
        <v>95</v>
      </c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</row>
    <row r="298">
      <c r="A298" s="37" t="s">
        <v>839</v>
      </c>
      <c r="B298" s="37">
        <v>2015.0</v>
      </c>
      <c r="C298" s="38" t="s">
        <v>840</v>
      </c>
      <c r="D298" s="37" t="s">
        <v>95</v>
      </c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</row>
    <row r="299">
      <c r="A299" s="37" t="s">
        <v>841</v>
      </c>
      <c r="B299" s="37">
        <v>2015.0</v>
      </c>
      <c r="C299" s="38" t="s">
        <v>842</v>
      </c>
      <c r="D299" s="37" t="s">
        <v>95</v>
      </c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</row>
    <row r="300">
      <c r="A300" s="37" t="s">
        <v>843</v>
      </c>
      <c r="B300" s="37">
        <v>2014.0</v>
      </c>
      <c r="C300" s="38" t="s">
        <v>844</v>
      </c>
      <c r="D300" s="37" t="s">
        <v>95</v>
      </c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</row>
    <row r="301">
      <c r="A301" s="37" t="s">
        <v>845</v>
      </c>
      <c r="B301" s="37">
        <v>2016.0</v>
      </c>
      <c r="C301" s="38" t="s">
        <v>846</v>
      </c>
      <c r="D301" s="37" t="s">
        <v>95</v>
      </c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</row>
    <row r="302">
      <c r="A302" s="37" t="s">
        <v>847</v>
      </c>
      <c r="B302" s="37">
        <v>2014.0</v>
      </c>
      <c r="C302" s="38" t="s">
        <v>848</v>
      </c>
      <c r="D302" s="37" t="s">
        <v>95</v>
      </c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</row>
    <row r="303">
      <c r="A303" s="37" t="s">
        <v>849</v>
      </c>
      <c r="B303" s="37">
        <v>2015.0</v>
      </c>
      <c r="C303" s="38" t="s">
        <v>850</v>
      </c>
      <c r="D303" s="37" t="s">
        <v>95</v>
      </c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</row>
    <row r="304">
      <c r="A304" s="37" t="s">
        <v>851</v>
      </c>
      <c r="B304" s="37">
        <v>2013.0</v>
      </c>
      <c r="C304" s="38" t="s">
        <v>852</v>
      </c>
      <c r="D304" s="37" t="s">
        <v>95</v>
      </c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</row>
    <row r="305">
      <c r="A305" s="37" t="s">
        <v>853</v>
      </c>
      <c r="B305" s="37">
        <v>2016.0</v>
      </c>
      <c r="C305" s="38" t="s">
        <v>854</v>
      </c>
      <c r="D305" s="37" t="s">
        <v>95</v>
      </c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</row>
    <row r="306">
      <c r="A306" s="37" t="s">
        <v>855</v>
      </c>
      <c r="B306" s="37">
        <v>2016.0</v>
      </c>
      <c r="C306" s="38" t="s">
        <v>856</v>
      </c>
      <c r="D306" s="37" t="s">
        <v>95</v>
      </c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</row>
    <row r="307">
      <c r="A307" s="37" t="s">
        <v>857</v>
      </c>
      <c r="B307" s="37">
        <v>2016.0</v>
      </c>
      <c r="C307" s="38" t="s">
        <v>858</v>
      </c>
      <c r="D307" s="37" t="s">
        <v>95</v>
      </c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</row>
    <row r="308">
      <c r="A308" s="37" t="s">
        <v>859</v>
      </c>
      <c r="B308" s="37">
        <v>2014.0</v>
      </c>
      <c r="C308" s="38" t="s">
        <v>860</v>
      </c>
      <c r="D308" s="37" t="s">
        <v>95</v>
      </c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</row>
    <row r="309">
      <c r="A309" s="37" t="s">
        <v>861</v>
      </c>
      <c r="B309" s="37">
        <v>2013.0</v>
      </c>
      <c r="C309" s="38" t="s">
        <v>862</v>
      </c>
      <c r="D309" s="37" t="s">
        <v>95</v>
      </c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</row>
    <row r="310">
      <c r="A310" s="37" t="s">
        <v>863</v>
      </c>
      <c r="B310" s="37">
        <v>2013.0</v>
      </c>
      <c r="C310" s="38" t="s">
        <v>864</v>
      </c>
      <c r="D310" s="37" t="s">
        <v>95</v>
      </c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</row>
    <row r="311">
      <c r="A311" s="37" t="s">
        <v>865</v>
      </c>
      <c r="B311" s="37">
        <v>2015.0</v>
      </c>
      <c r="C311" s="38" t="s">
        <v>866</v>
      </c>
      <c r="D311" s="37" t="s">
        <v>95</v>
      </c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</row>
    <row r="312">
      <c r="A312" s="37" t="s">
        <v>867</v>
      </c>
      <c r="B312" s="37">
        <v>2014.0</v>
      </c>
      <c r="C312" s="38" t="s">
        <v>868</v>
      </c>
      <c r="D312" s="20"/>
      <c r="E312" s="37" t="s">
        <v>95</v>
      </c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</row>
    <row r="313">
      <c r="A313" s="37" t="s">
        <v>869</v>
      </c>
      <c r="B313" s="37">
        <v>2014.0</v>
      </c>
      <c r="C313" s="38" t="s">
        <v>870</v>
      </c>
      <c r="D313" s="37" t="s">
        <v>95</v>
      </c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</row>
    <row r="314">
      <c r="A314" s="37" t="s">
        <v>871</v>
      </c>
      <c r="B314" s="37">
        <v>2015.0</v>
      </c>
      <c r="C314" s="38" t="s">
        <v>872</v>
      </c>
      <c r="D314" s="37" t="s">
        <v>95</v>
      </c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</row>
    <row r="315">
      <c r="A315" s="37" t="s">
        <v>873</v>
      </c>
      <c r="B315" s="37">
        <v>2013.0</v>
      </c>
      <c r="C315" s="38" t="s">
        <v>874</v>
      </c>
      <c r="D315" s="37" t="s">
        <v>95</v>
      </c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</row>
    <row r="316">
      <c r="A316" s="37" t="s">
        <v>875</v>
      </c>
      <c r="B316" s="37">
        <v>2016.0</v>
      </c>
      <c r="C316" s="38" t="s">
        <v>876</v>
      </c>
      <c r="D316" s="37" t="s">
        <v>95</v>
      </c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</row>
    <row r="317">
      <c r="A317" s="37" t="s">
        <v>877</v>
      </c>
      <c r="B317" s="37">
        <v>2014.0</v>
      </c>
      <c r="C317" s="38" t="s">
        <v>878</v>
      </c>
      <c r="D317" s="37" t="s">
        <v>95</v>
      </c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</row>
    <row r="318">
      <c r="A318" s="37" t="s">
        <v>879</v>
      </c>
      <c r="B318" s="37">
        <v>2015.0</v>
      </c>
      <c r="C318" s="38" t="s">
        <v>880</v>
      </c>
      <c r="D318" s="37" t="s">
        <v>95</v>
      </c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</row>
    <row r="319">
      <c r="A319" s="37" t="s">
        <v>881</v>
      </c>
      <c r="B319" s="37">
        <v>2015.0</v>
      </c>
      <c r="C319" s="38" t="s">
        <v>882</v>
      </c>
      <c r="D319" s="37" t="s">
        <v>95</v>
      </c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</row>
    <row r="320">
      <c r="A320" s="37" t="s">
        <v>883</v>
      </c>
      <c r="B320" s="37">
        <v>2014.0</v>
      </c>
      <c r="C320" s="38" t="s">
        <v>884</v>
      </c>
      <c r="D320" s="37" t="s">
        <v>95</v>
      </c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</row>
    <row r="321">
      <c r="A321" s="37" t="s">
        <v>885</v>
      </c>
      <c r="B321" s="37">
        <v>2015.0</v>
      </c>
      <c r="C321" s="38" t="s">
        <v>886</v>
      </c>
      <c r="D321" s="37" t="s">
        <v>95</v>
      </c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</row>
    <row r="322">
      <c r="A322" s="37" t="s">
        <v>887</v>
      </c>
      <c r="B322" s="37">
        <v>2015.0</v>
      </c>
      <c r="C322" s="38" t="s">
        <v>888</v>
      </c>
      <c r="D322" s="37" t="s">
        <v>95</v>
      </c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</row>
    <row r="323">
      <c r="A323" s="55" t="s">
        <v>889</v>
      </c>
      <c r="B323" s="55">
        <v>2010.0</v>
      </c>
      <c r="C323" s="57" t="s">
        <v>890</v>
      </c>
      <c r="D323" s="55"/>
      <c r="E323" s="59"/>
      <c r="F323" s="55" t="s">
        <v>130</v>
      </c>
      <c r="G323" s="55" t="s">
        <v>131</v>
      </c>
      <c r="H323" s="59"/>
      <c r="I323" s="79" t="s">
        <v>36</v>
      </c>
      <c r="J323" s="79" t="s">
        <v>590</v>
      </c>
      <c r="K323" s="55" t="s">
        <v>158</v>
      </c>
      <c r="L323" s="59" t="s">
        <v>159</v>
      </c>
      <c r="M323" s="59"/>
      <c r="N323" s="59" t="s">
        <v>446</v>
      </c>
      <c r="O323" s="59"/>
      <c r="P323" s="59" t="s">
        <v>113</v>
      </c>
      <c r="Q323" s="59" t="s">
        <v>224</v>
      </c>
      <c r="R323" s="59" t="s">
        <v>166</v>
      </c>
      <c r="S323" s="59" t="s">
        <v>158</v>
      </c>
      <c r="T323" s="59" t="s">
        <v>158</v>
      </c>
      <c r="U323" s="59"/>
      <c r="V323" s="59"/>
      <c r="W323" s="59"/>
      <c r="X323" s="59"/>
      <c r="Y323" s="59"/>
      <c r="Z323" s="61" t="s">
        <v>167</v>
      </c>
      <c r="AA323" s="61" t="s">
        <v>253</v>
      </c>
      <c r="AB323" s="40"/>
      <c r="AC323" s="40"/>
      <c r="AD323" s="40"/>
      <c r="AE323" s="40"/>
      <c r="AF323" s="40"/>
      <c r="AG323" s="40"/>
      <c r="AH323" s="40"/>
      <c r="AI323" s="40"/>
    </row>
    <row r="324">
      <c r="A324" s="55" t="s">
        <v>891</v>
      </c>
      <c r="B324" s="55">
        <v>2015.0</v>
      </c>
      <c r="C324" s="57" t="s">
        <v>892</v>
      </c>
      <c r="D324" s="59"/>
      <c r="E324" s="59"/>
      <c r="F324" s="55" t="s">
        <v>130</v>
      </c>
      <c r="G324" s="55" t="s">
        <v>131</v>
      </c>
      <c r="H324" s="59"/>
      <c r="I324" s="55" t="s">
        <v>52</v>
      </c>
      <c r="J324" s="55" t="s">
        <v>132</v>
      </c>
      <c r="K324" s="55" t="s">
        <v>158</v>
      </c>
      <c r="L324" s="59" t="s">
        <v>104</v>
      </c>
      <c r="M324" s="59" t="s">
        <v>893</v>
      </c>
      <c r="N324" s="59" t="s">
        <v>109</v>
      </c>
      <c r="O324" s="55" t="s">
        <v>177</v>
      </c>
      <c r="P324" s="59" t="s">
        <v>113</v>
      </c>
      <c r="Q324" s="59" t="s">
        <v>138</v>
      </c>
      <c r="R324" s="59" t="s">
        <v>276</v>
      </c>
      <c r="S324" s="59" t="s">
        <v>158</v>
      </c>
      <c r="T324" s="59" t="s">
        <v>142</v>
      </c>
      <c r="U324" s="59"/>
      <c r="V324" s="59" t="s">
        <v>95</v>
      </c>
      <c r="W324" s="59"/>
      <c r="X324" s="59"/>
      <c r="Y324" s="59"/>
      <c r="Z324" s="61" t="s">
        <v>260</v>
      </c>
      <c r="AA324" s="61" t="s">
        <v>894</v>
      </c>
      <c r="AB324" s="40"/>
      <c r="AC324" s="40"/>
      <c r="AD324" s="40"/>
      <c r="AE324" s="40"/>
      <c r="AF324" s="40"/>
      <c r="AG324" s="40"/>
      <c r="AH324" s="40"/>
      <c r="AI324" s="40"/>
    </row>
    <row r="325">
      <c r="A325" s="37" t="s">
        <v>895</v>
      </c>
      <c r="B325" s="37">
        <v>2014.0</v>
      </c>
      <c r="C325" s="38" t="s">
        <v>896</v>
      </c>
      <c r="D325" s="20"/>
      <c r="E325" s="20"/>
      <c r="F325" s="37" t="s">
        <v>86</v>
      </c>
      <c r="G325" s="20"/>
      <c r="H325" s="20"/>
      <c r="I325" s="20"/>
      <c r="J325" s="20"/>
      <c r="K325" s="37" t="s">
        <v>152</v>
      </c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</row>
    <row r="326">
      <c r="A326" s="37" t="s">
        <v>897</v>
      </c>
      <c r="B326" s="37">
        <v>2014.0</v>
      </c>
      <c r="C326" s="38" t="s">
        <v>898</v>
      </c>
      <c r="D326" s="20"/>
      <c r="E326" s="20"/>
      <c r="F326" s="37" t="s">
        <v>86</v>
      </c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</row>
    <row r="327">
      <c r="A327" s="37" t="s">
        <v>899</v>
      </c>
      <c r="B327" s="37">
        <v>2015.0</v>
      </c>
      <c r="C327" s="38" t="s">
        <v>900</v>
      </c>
      <c r="D327" s="20"/>
      <c r="E327" s="20"/>
      <c r="F327" s="37" t="s">
        <v>86</v>
      </c>
      <c r="G327" s="20"/>
      <c r="H327" s="20"/>
      <c r="I327" s="20"/>
      <c r="J327" s="20"/>
      <c r="K327" s="37" t="s">
        <v>152</v>
      </c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</row>
    <row r="328">
      <c r="A328" s="37" t="s">
        <v>901</v>
      </c>
      <c r="B328" s="37">
        <v>2011.0</v>
      </c>
      <c r="C328" s="38" t="s">
        <v>902</v>
      </c>
      <c r="D328" s="37" t="s">
        <v>95</v>
      </c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</row>
    <row r="329">
      <c r="A329" s="37" t="s">
        <v>903</v>
      </c>
      <c r="B329" s="37">
        <v>2012.0</v>
      </c>
      <c r="C329" s="38" t="s">
        <v>904</v>
      </c>
      <c r="D329" s="20"/>
      <c r="E329" s="20"/>
      <c r="F329" s="37" t="s">
        <v>199</v>
      </c>
      <c r="G329" s="37" t="s">
        <v>149</v>
      </c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</row>
    <row r="330">
      <c r="A330" s="37" t="s">
        <v>905</v>
      </c>
      <c r="B330" s="37">
        <v>2014.0</v>
      </c>
      <c r="C330" s="38" t="s">
        <v>906</v>
      </c>
      <c r="D330" s="20"/>
      <c r="E330" s="20"/>
      <c r="F330" s="37" t="s">
        <v>86</v>
      </c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</row>
    <row r="331">
      <c r="A331" s="37" t="s">
        <v>907</v>
      </c>
      <c r="B331" s="37">
        <v>2011.0</v>
      </c>
      <c r="C331" s="38" t="s">
        <v>908</v>
      </c>
      <c r="D331" s="20"/>
      <c r="E331" s="20"/>
      <c r="F331" s="37" t="s">
        <v>199</v>
      </c>
      <c r="G331" s="37" t="s">
        <v>149</v>
      </c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</row>
    <row r="332">
      <c r="A332" s="37" t="s">
        <v>909</v>
      </c>
      <c r="B332" s="37">
        <v>2013.0</v>
      </c>
      <c r="C332" s="38" t="s">
        <v>910</v>
      </c>
      <c r="D332" s="20"/>
      <c r="E332" s="20"/>
      <c r="F332" s="37" t="s">
        <v>91</v>
      </c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</row>
    <row r="333">
      <c r="A333" s="37" t="s">
        <v>911</v>
      </c>
      <c r="B333" s="37">
        <v>2012.0</v>
      </c>
      <c r="C333" s="38" t="s">
        <v>912</v>
      </c>
      <c r="D333" s="37" t="s">
        <v>95</v>
      </c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</row>
    <row r="334">
      <c r="A334" s="55" t="s">
        <v>913</v>
      </c>
      <c r="B334" s="55">
        <v>2013.0</v>
      </c>
      <c r="C334" s="57" t="s">
        <v>914</v>
      </c>
      <c r="D334" s="59"/>
      <c r="E334" s="59"/>
      <c r="F334" s="55" t="s">
        <v>130</v>
      </c>
      <c r="G334" s="55" t="s">
        <v>131</v>
      </c>
      <c r="H334" s="59"/>
      <c r="I334" s="79" t="s">
        <v>42</v>
      </c>
      <c r="J334" s="79" t="s">
        <v>132</v>
      </c>
      <c r="K334" s="55" t="s">
        <v>158</v>
      </c>
      <c r="L334" s="59" t="s">
        <v>504</v>
      </c>
      <c r="M334" s="59" t="s">
        <v>915</v>
      </c>
      <c r="N334" s="59" t="s">
        <v>109</v>
      </c>
      <c r="O334" s="59" t="s">
        <v>289</v>
      </c>
      <c r="P334" s="59" t="s">
        <v>113</v>
      </c>
      <c r="Q334" s="59" t="s">
        <v>114</v>
      </c>
      <c r="R334" s="59" t="s">
        <v>276</v>
      </c>
      <c r="S334" s="59" t="s">
        <v>158</v>
      </c>
      <c r="T334" s="59" t="s">
        <v>142</v>
      </c>
      <c r="U334" s="59"/>
      <c r="V334" s="59" t="s">
        <v>95</v>
      </c>
      <c r="W334" s="59" t="s">
        <v>95</v>
      </c>
      <c r="X334" s="59"/>
      <c r="Y334" s="59"/>
      <c r="Z334" s="61" t="s">
        <v>663</v>
      </c>
      <c r="AA334" s="61" t="s">
        <v>916</v>
      </c>
      <c r="AB334" s="40"/>
      <c r="AC334" s="40"/>
      <c r="AD334" s="40"/>
      <c r="AE334" s="40"/>
      <c r="AF334" s="40"/>
      <c r="AG334" s="40"/>
      <c r="AH334" s="40"/>
      <c r="AI334" s="40"/>
    </row>
    <row r="335">
      <c r="A335" s="37" t="s">
        <v>917</v>
      </c>
      <c r="B335" s="37">
        <v>2013.0</v>
      </c>
      <c r="C335" s="38" t="s">
        <v>471</v>
      </c>
      <c r="D335" s="37" t="s">
        <v>95</v>
      </c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</row>
    <row r="336">
      <c r="A336" s="37" t="s">
        <v>918</v>
      </c>
      <c r="B336" s="37">
        <v>2009.0</v>
      </c>
      <c r="C336" s="38" t="s">
        <v>919</v>
      </c>
      <c r="D336" s="37" t="s">
        <v>95</v>
      </c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</row>
    <row r="337">
      <c r="A337" s="37" t="s">
        <v>920</v>
      </c>
      <c r="B337" s="37">
        <v>2014.0</v>
      </c>
      <c r="C337" s="38" t="s">
        <v>921</v>
      </c>
      <c r="D337" s="37" t="s">
        <v>95</v>
      </c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</row>
    <row r="338">
      <c r="A338" s="37" t="s">
        <v>922</v>
      </c>
      <c r="B338" s="37">
        <v>2015.0</v>
      </c>
      <c r="C338" s="38" t="s">
        <v>923</v>
      </c>
      <c r="D338" s="37" t="s">
        <v>95</v>
      </c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</row>
    <row r="339">
      <c r="A339" s="37" t="s">
        <v>924</v>
      </c>
      <c r="B339" s="37">
        <v>2015.0</v>
      </c>
      <c r="C339" s="38" t="s">
        <v>925</v>
      </c>
      <c r="D339" s="37" t="s">
        <v>95</v>
      </c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</row>
    <row r="340">
      <c r="A340" s="37" t="s">
        <v>926</v>
      </c>
      <c r="B340" s="37">
        <v>2013.0</v>
      </c>
      <c r="C340" s="38" t="s">
        <v>927</v>
      </c>
      <c r="D340" s="20"/>
      <c r="E340" s="20"/>
      <c r="F340" s="37" t="s">
        <v>86</v>
      </c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</row>
    <row r="341">
      <c r="A341" s="37" t="s">
        <v>928</v>
      </c>
      <c r="B341" s="37">
        <v>2014.0</v>
      </c>
      <c r="C341" s="38" t="s">
        <v>929</v>
      </c>
      <c r="D341" s="20"/>
      <c r="E341" s="20"/>
      <c r="F341" s="37" t="s">
        <v>86</v>
      </c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</row>
    <row r="342">
      <c r="A342" s="37" t="s">
        <v>930</v>
      </c>
      <c r="B342" s="37">
        <v>2012.0</v>
      </c>
      <c r="C342" s="38" t="s">
        <v>931</v>
      </c>
      <c r="D342" s="37" t="s">
        <v>95</v>
      </c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</row>
    <row r="343">
      <c r="A343" s="37" t="s">
        <v>932</v>
      </c>
      <c r="B343" s="37">
        <v>2014.0</v>
      </c>
      <c r="C343" s="38" t="s">
        <v>933</v>
      </c>
      <c r="D343" s="37" t="s">
        <v>95</v>
      </c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</row>
    <row r="344">
      <c r="A344" s="37" t="s">
        <v>934</v>
      </c>
      <c r="B344" s="37">
        <v>2013.0</v>
      </c>
      <c r="C344" s="38" t="s">
        <v>935</v>
      </c>
      <c r="D344" s="20"/>
      <c r="E344" s="37" t="s">
        <v>95</v>
      </c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</row>
    <row r="345">
      <c r="A345" s="55" t="s">
        <v>936</v>
      </c>
      <c r="B345" s="55">
        <v>2014.0</v>
      </c>
      <c r="C345" s="57" t="s">
        <v>937</v>
      </c>
      <c r="D345" s="59"/>
      <c r="E345" s="59"/>
      <c r="F345" s="55" t="s">
        <v>130</v>
      </c>
      <c r="G345" s="55" t="s">
        <v>131</v>
      </c>
      <c r="H345" s="59"/>
      <c r="I345" s="79" t="s">
        <v>33</v>
      </c>
      <c r="J345" s="79" t="s">
        <v>132</v>
      </c>
      <c r="K345" s="55" t="s">
        <v>158</v>
      </c>
      <c r="L345" s="59" t="s">
        <v>134</v>
      </c>
      <c r="M345" s="59" t="s">
        <v>938</v>
      </c>
      <c r="N345" s="59" t="s">
        <v>136</v>
      </c>
      <c r="O345" s="59"/>
      <c r="P345" s="59" t="s">
        <v>113</v>
      </c>
      <c r="Q345" s="55" t="s">
        <v>138</v>
      </c>
      <c r="R345" s="59" t="s">
        <v>276</v>
      </c>
      <c r="S345" s="59" t="s">
        <v>158</v>
      </c>
      <c r="T345" s="59" t="s">
        <v>142</v>
      </c>
      <c r="U345" s="59"/>
      <c r="V345" s="59" t="s">
        <v>95</v>
      </c>
      <c r="W345" s="55" t="s">
        <v>95</v>
      </c>
      <c r="X345" s="59"/>
      <c r="Y345" s="59"/>
      <c r="Z345" s="61" t="s">
        <v>226</v>
      </c>
      <c r="AA345" s="61" t="s">
        <v>416</v>
      </c>
      <c r="AB345" s="40"/>
      <c r="AC345" s="40"/>
      <c r="AD345" s="40"/>
      <c r="AE345" s="40"/>
      <c r="AF345" s="40"/>
      <c r="AG345" s="40"/>
      <c r="AH345" s="40"/>
      <c r="AI345" s="40"/>
    </row>
    <row r="346">
      <c r="A346" s="37" t="s">
        <v>939</v>
      </c>
      <c r="B346" s="37">
        <v>2016.0</v>
      </c>
      <c r="C346" s="38" t="s">
        <v>940</v>
      </c>
      <c r="D346" s="37" t="s">
        <v>95</v>
      </c>
      <c r="E346" s="20"/>
      <c r="F346" s="20"/>
      <c r="G346" s="20"/>
      <c r="H346" s="20"/>
      <c r="I346" s="20"/>
      <c r="J346" s="20"/>
      <c r="K346" s="20"/>
      <c r="L346" s="20"/>
      <c r="M346" s="46" t="s">
        <v>504</v>
      </c>
      <c r="N346" s="49" t="s">
        <v>136</v>
      </c>
      <c r="O346" s="49"/>
      <c r="P346" s="46" t="s">
        <v>113</v>
      </c>
      <c r="Q346" s="46" t="s">
        <v>114</v>
      </c>
      <c r="R346" s="46" t="s">
        <v>941</v>
      </c>
      <c r="S346" s="20"/>
      <c r="T346" s="20"/>
      <c r="U346" s="20"/>
      <c r="V346" s="20"/>
      <c r="W346" s="20"/>
      <c r="X346" s="20"/>
      <c r="Y346" s="2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</row>
    <row r="347">
      <c r="A347" s="37" t="s">
        <v>942</v>
      </c>
      <c r="B347" s="37">
        <v>2014.0</v>
      </c>
      <c r="C347" s="38" t="s">
        <v>943</v>
      </c>
      <c r="D347" s="20"/>
      <c r="E347" s="20"/>
      <c r="F347" s="37" t="s">
        <v>91</v>
      </c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</row>
    <row r="348">
      <c r="A348" s="37" t="s">
        <v>944</v>
      </c>
      <c r="B348" s="37">
        <v>2012.0</v>
      </c>
      <c r="C348" s="38" t="s">
        <v>945</v>
      </c>
      <c r="D348" s="20"/>
      <c r="E348" s="20"/>
      <c r="F348" s="37" t="s">
        <v>130</v>
      </c>
      <c r="G348" s="37" t="s">
        <v>149</v>
      </c>
      <c r="H348" s="20"/>
      <c r="I348" s="20"/>
      <c r="J348" s="20"/>
      <c r="K348" s="37" t="s">
        <v>152</v>
      </c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</row>
    <row r="349">
      <c r="A349" s="37" t="s">
        <v>946</v>
      </c>
      <c r="B349" s="37">
        <v>2012.0</v>
      </c>
      <c r="C349" s="38" t="s">
        <v>947</v>
      </c>
      <c r="D349" s="20"/>
      <c r="E349" s="20"/>
      <c r="F349" s="37" t="s">
        <v>91</v>
      </c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</row>
    <row r="350">
      <c r="A350" s="37" t="s">
        <v>948</v>
      </c>
      <c r="B350" s="37">
        <v>2015.0</v>
      </c>
      <c r="C350" s="38" t="s">
        <v>949</v>
      </c>
      <c r="D350" s="37"/>
      <c r="E350" s="37" t="s">
        <v>95</v>
      </c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</row>
    <row r="351">
      <c r="A351" s="37" t="s">
        <v>950</v>
      </c>
      <c r="B351" s="37">
        <v>2015.0</v>
      </c>
      <c r="C351" s="38" t="s">
        <v>951</v>
      </c>
      <c r="D351" s="37" t="s">
        <v>95</v>
      </c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</row>
    <row r="352">
      <c r="A352" s="37" t="s">
        <v>952</v>
      </c>
      <c r="B352" s="37">
        <v>2015.0</v>
      </c>
      <c r="C352" s="38" t="s">
        <v>953</v>
      </c>
      <c r="D352" s="37" t="s">
        <v>95</v>
      </c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</row>
    <row r="353">
      <c r="A353" s="37" t="s">
        <v>954</v>
      </c>
      <c r="B353" s="37">
        <v>2011.0</v>
      </c>
      <c r="C353" s="38" t="s">
        <v>955</v>
      </c>
      <c r="D353" s="37" t="s">
        <v>95</v>
      </c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</row>
    <row r="354">
      <c r="A354" s="37" t="s">
        <v>956</v>
      </c>
      <c r="B354" s="37">
        <v>2012.0</v>
      </c>
      <c r="C354" s="38" t="s">
        <v>957</v>
      </c>
      <c r="D354" s="20"/>
      <c r="E354" s="20"/>
      <c r="F354" s="37" t="s">
        <v>86</v>
      </c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</row>
    <row r="355">
      <c r="A355" s="37" t="s">
        <v>958</v>
      </c>
      <c r="B355" s="37">
        <v>2014.0</v>
      </c>
      <c r="C355" s="38" t="s">
        <v>959</v>
      </c>
      <c r="D355" s="37" t="s">
        <v>95</v>
      </c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</row>
    <row r="356">
      <c r="A356" s="37" t="s">
        <v>960</v>
      </c>
      <c r="B356" s="37">
        <v>2013.0</v>
      </c>
      <c r="C356" s="38" t="s">
        <v>961</v>
      </c>
      <c r="D356" s="37" t="s">
        <v>95</v>
      </c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</row>
    <row r="357">
      <c r="A357" s="37" t="s">
        <v>962</v>
      </c>
      <c r="B357" s="37">
        <v>2013.0</v>
      </c>
      <c r="C357" s="38" t="s">
        <v>963</v>
      </c>
      <c r="D357" s="37"/>
      <c r="E357" s="20"/>
      <c r="F357" s="37" t="s">
        <v>86</v>
      </c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</row>
    <row r="358">
      <c r="A358" s="37" t="s">
        <v>964</v>
      </c>
      <c r="B358" s="37">
        <v>2014.0</v>
      </c>
      <c r="C358" s="38" t="s">
        <v>965</v>
      </c>
      <c r="D358" s="20"/>
      <c r="E358" s="20"/>
      <c r="F358" s="37" t="s">
        <v>91</v>
      </c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</row>
    <row r="359">
      <c r="A359" s="37" t="s">
        <v>966</v>
      </c>
      <c r="B359" s="37">
        <v>2013.0</v>
      </c>
      <c r="C359" s="38" t="s">
        <v>967</v>
      </c>
      <c r="D359" s="37" t="s">
        <v>95</v>
      </c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</row>
    <row r="360">
      <c r="A360" s="37" t="s">
        <v>968</v>
      </c>
      <c r="B360" s="37">
        <v>2010.0</v>
      </c>
      <c r="C360" s="38" t="s">
        <v>969</v>
      </c>
      <c r="D360" s="20"/>
      <c r="E360" s="37" t="s">
        <v>95</v>
      </c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</row>
    <row r="361">
      <c r="A361" s="37" t="s">
        <v>970</v>
      </c>
      <c r="B361" s="37">
        <v>2013.0</v>
      </c>
      <c r="C361" s="38" t="s">
        <v>971</v>
      </c>
      <c r="D361" s="20"/>
      <c r="E361" s="20"/>
      <c r="F361" s="37" t="s">
        <v>86</v>
      </c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</row>
    <row r="362">
      <c r="A362" s="37" t="s">
        <v>972</v>
      </c>
      <c r="B362" s="37">
        <v>2014.0</v>
      </c>
      <c r="C362" s="38" t="s">
        <v>973</v>
      </c>
      <c r="D362" s="20"/>
      <c r="E362" s="20"/>
      <c r="F362" s="37" t="s">
        <v>974</v>
      </c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</row>
    <row r="363">
      <c r="A363" s="37" t="s">
        <v>975</v>
      </c>
      <c r="B363" s="37">
        <v>2014.0</v>
      </c>
      <c r="C363" s="38" t="s">
        <v>976</v>
      </c>
      <c r="D363" s="20"/>
      <c r="E363" s="20"/>
      <c r="F363" s="37" t="s">
        <v>974</v>
      </c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</row>
    <row r="364">
      <c r="A364" s="37" t="s">
        <v>977</v>
      </c>
      <c r="B364" s="37">
        <v>2013.0</v>
      </c>
      <c r="C364" s="38" t="s">
        <v>978</v>
      </c>
      <c r="D364" s="20"/>
      <c r="E364" s="37" t="s">
        <v>95</v>
      </c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</row>
    <row r="365">
      <c r="A365" s="37" t="s">
        <v>979</v>
      </c>
      <c r="B365" s="37">
        <v>2015.0</v>
      </c>
      <c r="C365" s="38" t="s">
        <v>980</v>
      </c>
      <c r="D365" s="20"/>
      <c r="E365" s="20"/>
      <c r="F365" s="37" t="s">
        <v>86</v>
      </c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</row>
    <row r="366" ht="15.0" customHeight="1">
      <c r="A366" s="37" t="s">
        <v>981</v>
      </c>
      <c r="B366" s="37">
        <v>2015.0</v>
      </c>
      <c r="C366" s="38" t="s">
        <v>982</v>
      </c>
      <c r="D366" s="20"/>
      <c r="E366" s="20"/>
      <c r="F366" s="37" t="s">
        <v>490</v>
      </c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</row>
    <row r="367">
      <c r="A367" s="37" t="s">
        <v>983</v>
      </c>
      <c r="B367" s="37">
        <v>2016.0</v>
      </c>
      <c r="C367" s="38" t="s">
        <v>984</v>
      </c>
      <c r="D367" s="20"/>
      <c r="E367" s="20"/>
      <c r="F367" s="37" t="s">
        <v>86</v>
      </c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</row>
    <row r="368">
      <c r="A368" s="37" t="s">
        <v>985</v>
      </c>
      <c r="B368" s="37">
        <v>2016.0</v>
      </c>
      <c r="C368" s="38" t="s">
        <v>986</v>
      </c>
      <c r="D368" s="20"/>
      <c r="E368" s="20"/>
      <c r="F368" s="37" t="s">
        <v>86</v>
      </c>
      <c r="G368" s="20"/>
      <c r="H368" s="20"/>
      <c r="I368" s="20"/>
      <c r="J368" s="20"/>
      <c r="K368" s="37" t="s">
        <v>152</v>
      </c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</row>
    <row r="369">
      <c r="A369" s="55" t="s">
        <v>987</v>
      </c>
      <c r="B369" s="55">
        <v>2016.0</v>
      </c>
      <c r="C369" s="57" t="s">
        <v>988</v>
      </c>
      <c r="D369" s="59"/>
      <c r="E369" s="59"/>
      <c r="F369" s="55" t="s">
        <v>130</v>
      </c>
      <c r="G369" s="55" t="s">
        <v>131</v>
      </c>
      <c r="H369" s="59"/>
      <c r="I369" s="79" t="s">
        <v>33</v>
      </c>
      <c r="J369" s="79" t="s">
        <v>132</v>
      </c>
      <c r="K369" s="55" t="s">
        <v>158</v>
      </c>
      <c r="L369" s="59" t="s">
        <v>104</v>
      </c>
      <c r="M369" s="59" t="s">
        <v>989</v>
      </c>
      <c r="N369" s="59" t="s">
        <v>136</v>
      </c>
      <c r="O369" s="59"/>
      <c r="P369" s="59" t="s">
        <v>113</v>
      </c>
      <c r="Q369" s="59" t="s">
        <v>138</v>
      </c>
      <c r="R369" s="59" t="s">
        <v>276</v>
      </c>
      <c r="S369" s="55" t="s">
        <v>141</v>
      </c>
      <c r="T369" s="59" t="s">
        <v>142</v>
      </c>
      <c r="U369" s="59"/>
      <c r="V369" s="55" t="s">
        <v>95</v>
      </c>
      <c r="W369" s="59" t="s">
        <v>95</v>
      </c>
      <c r="X369" s="59"/>
      <c r="Y369" s="59"/>
      <c r="Z369" s="61" t="s">
        <v>143</v>
      </c>
      <c r="AA369" s="61" t="s">
        <v>145</v>
      </c>
      <c r="AB369" s="40"/>
      <c r="AC369" s="40"/>
      <c r="AD369" s="40"/>
      <c r="AE369" s="40"/>
      <c r="AF369" s="40"/>
      <c r="AG369" s="40"/>
      <c r="AH369" s="40"/>
      <c r="AI369" s="40"/>
    </row>
    <row r="370">
      <c r="A370" s="37" t="s">
        <v>990</v>
      </c>
      <c r="B370" s="37">
        <v>2013.0</v>
      </c>
      <c r="C370" s="38" t="s">
        <v>991</v>
      </c>
      <c r="D370" s="20"/>
      <c r="E370" s="20"/>
      <c r="F370" s="37" t="s">
        <v>86</v>
      </c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</row>
    <row r="371">
      <c r="A371" s="37" t="s">
        <v>993</v>
      </c>
      <c r="B371" s="37">
        <v>2013.0</v>
      </c>
      <c r="C371" s="38" t="s">
        <v>994</v>
      </c>
      <c r="D371" s="20"/>
      <c r="E371" s="20"/>
      <c r="F371" s="37" t="s">
        <v>86</v>
      </c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</row>
    <row r="372">
      <c r="A372" s="37" t="s">
        <v>995</v>
      </c>
      <c r="B372" s="37">
        <v>2015.0</v>
      </c>
      <c r="C372" s="38" t="s">
        <v>996</v>
      </c>
      <c r="D372" s="37" t="s">
        <v>95</v>
      </c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</row>
    <row r="373">
      <c r="A373" s="37" t="s">
        <v>997</v>
      </c>
      <c r="B373" s="37">
        <v>2014.0</v>
      </c>
      <c r="C373" s="38" t="s">
        <v>998</v>
      </c>
      <c r="D373" s="20"/>
      <c r="E373" s="20"/>
      <c r="F373" s="37" t="s">
        <v>490</v>
      </c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</row>
    <row r="374">
      <c r="A374" s="37" t="s">
        <v>999</v>
      </c>
      <c r="B374" s="37">
        <v>2016.0</v>
      </c>
      <c r="C374" s="38" t="s">
        <v>1000</v>
      </c>
      <c r="D374" s="20"/>
      <c r="E374" s="20"/>
      <c r="F374" s="37" t="s">
        <v>86</v>
      </c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</row>
    <row r="375">
      <c r="A375" s="37" t="s">
        <v>1001</v>
      </c>
      <c r="B375" s="37">
        <v>2016.0</v>
      </c>
      <c r="C375" s="38" t="s">
        <v>1002</v>
      </c>
      <c r="D375" s="20"/>
      <c r="E375" s="20"/>
      <c r="F375" s="37" t="s">
        <v>86</v>
      </c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</row>
    <row r="376">
      <c r="A376" s="37" t="s">
        <v>1003</v>
      </c>
      <c r="B376" s="37">
        <v>2014.0</v>
      </c>
      <c r="C376" s="38" t="s">
        <v>1004</v>
      </c>
      <c r="D376" s="20"/>
      <c r="E376" s="37" t="s">
        <v>95</v>
      </c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</row>
    <row r="377">
      <c r="A377" s="55" t="s">
        <v>1005</v>
      </c>
      <c r="B377" s="55">
        <v>2015.0</v>
      </c>
      <c r="C377" s="57" t="s">
        <v>1006</v>
      </c>
      <c r="D377" s="59"/>
      <c r="E377" s="59"/>
      <c r="F377" s="55" t="s">
        <v>130</v>
      </c>
      <c r="G377" s="55" t="s">
        <v>131</v>
      </c>
      <c r="H377" s="59"/>
      <c r="I377" s="79" t="s">
        <v>115</v>
      </c>
      <c r="J377" s="79" t="s">
        <v>132</v>
      </c>
      <c r="K377" s="55" t="s">
        <v>158</v>
      </c>
      <c r="L377" s="59" t="s">
        <v>159</v>
      </c>
      <c r="M377" s="59"/>
      <c r="N377" s="59" t="s">
        <v>136</v>
      </c>
      <c r="O377" s="59"/>
      <c r="P377" s="59" t="s">
        <v>137</v>
      </c>
      <c r="Q377" s="59" t="s">
        <v>224</v>
      </c>
      <c r="R377" s="59" t="s">
        <v>178</v>
      </c>
      <c r="S377" s="59" t="s">
        <v>158</v>
      </c>
      <c r="T377" s="59" t="s">
        <v>142</v>
      </c>
      <c r="U377" s="59"/>
      <c r="V377" s="59" t="s">
        <v>95</v>
      </c>
      <c r="W377" s="59" t="s">
        <v>95</v>
      </c>
      <c r="X377" s="59"/>
      <c r="Y377" s="59"/>
      <c r="Z377" s="61" t="s">
        <v>179</v>
      </c>
      <c r="AA377" s="61" t="s">
        <v>302</v>
      </c>
      <c r="AB377" s="40"/>
      <c r="AC377" s="40"/>
      <c r="AD377" s="40"/>
      <c r="AE377" s="40"/>
      <c r="AF377" s="40"/>
      <c r="AG377" s="40"/>
      <c r="AH377" s="40"/>
      <c r="AI377" s="40"/>
    </row>
    <row r="378">
      <c r="A378" s="37" t="s">
        <v>1007</v>
      </c>
      <c r="B378" s="37">
        <v>2014.0</v>
      </c>
      <c r="C378" s="38" t="s">
        <v>1008</v>
      </c>
      <c r="D378" s="37" t="s">
        <v>95</v>
      </c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</row>
    <row r="379">
      <c r="A379" s="37" t="s">
        <v>1009</v>
      </c>
      <c r="B379" s="37">
        <v>2015.0</v>
      </c>
      <c r="C379" s="38" t="s">
        <v>1010</v>
      </c>
      <c r="D379" s="37" t="s">
        <v>95</v>
      </c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</row>
    <row r="380">
      <c r="A380" s="37" t="s">
        <v>1011</v>
      </c>
      <c r="B380" s="37">
        <v>2015.0</v>
      </c>
      <c r="C380" s="38" t="s">
        <v>1012</v>
      </c>
      <c r="D380" s="20"/>
      <c r="E380" s="20"/>
      <c r="F380" s="37" t="s">
        <v>86</v>
      </c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</row>
    <row r="381">
      <c r="A381" s="37" t="s">
        <v>1013</v>
      </c>
      <c r="B381" s="37">
        <v>2016.0</v>
      </c>
      <c r="C381" s="38" t="s">
        <v>1014</v>
      </c>
      <c r="D381" s="20"/>
      <c r="E381" s="20"/>
      <c r="F381" s="37" t="s">
        <v>490</v>
      </c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</row>
    <row r="382">
      <c r="A382" s="37" t="s">
        <v>1015</v>
      </c>
      <c r="B382" s="37">
        <v>2014.0</v>
      </c>
      <c r="C382" s="38" t="s">
        <v>1016</v>
      </c>
      <c r="D382" s="20"/>
      <c r="E382" s="20"/>
      <c r="F382" s="37" t="s">
        <v>86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</row>
    <row r="383">
      <c r="A383" s="37" t="s">
        <v>1017</v>
      </c>
      <c r="B383" s="37">
        <v>2015.0</v>
      </c>
      <c r="C383" s="38" t="s">
        <v>1018</v>
      </c>
      <c r="D383" s="20"/>
      <c r="E383" s="20"/>
      <c r="F383" s="37" t="s">
        <v>86</v>
      </c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</row>
    <row r="384">
      <c r="A384" s="37" t="s">
        <v>1019</v>
      </c>
      <c r="B384" s="37">
        <v>2014.0</v>
      </c>
      <c r="C384" s="38" t="s">
        <v>1020</v>
      </c>
      <c r="D384" s="20"/>
      <c r="E384" s="37"/>
      <c r="F384" s="37" t="s">
        <v>974</v>
      </c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</row>
    <row r="385">
      <c r="A385" s="37" t="s">
        <v>1021</v>
      </c>
      <c r="B385" s="37">
        <v>2016.0</v>
      </c>
      <c r="C385" s="38" t="s">
        <v>1022</v>
      </c>
      <c r="D385" s="20"/>
      <c r="E385" s="20"/>
      <c r="F385" s="37" t="s">
        <v>86</v>
      </c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</row>
    <row r="386">
      <c r="A386" s="37" t="s">
        <v>1023</v>
      </c>
      <c r="B386" s="37">
        <v>2016.0</v>
      </c>
      <c r="C386" s="38" t="s">
        <v>1024</v>
      </c>
      <c r="D386" s="20"/>
      <c r="E386" s="20"/>
      <c r="F386" s="37" t="s">
        <v>91</v>
      </c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</row>
    <row r="387">
      <c r="A387" s="37" t="s">
        <v>1025</v>
      </c>
      <c r="B387" s="37">
        <v>2014.0</v>
      </c>
      <c r="C387" s="38" t="s">
        <v>1026</v>
      </c>
      <c r="D387" s="20"/>
      <c r="E387" s="20"/>
      <c r="F387" s="37" t="s">
        <v>199</v>
      </c>
      <c r="G387" s="37" t="s">
        <v>149</v>
      </c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</row>
    <row r="388">
      <c r="A388" s="37" t="s">
        <v>1027</v>
      </c>
      <c r="B388" s="37">
        <v>2014.0</v>
      </c>
      <c r="C388" s="38" t="s">
        <v>1028</v>
      </c>
      <c r="D388" s="20"/>
      <c r="E388" s="20"/>
      <c r="F388" s="37" t="s">
        <v>490</v>
      </c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</row>
    <row r="389">
      <c r="A389" s="37" t="s">
        <v>1029</v>
      </c>
      <c r="B389" s="37">
        <v>2014.0</v>
      </c>
      <c r="C389" s="38" t="s">
        <v>1030</v>
      </c>
      <c r="D389" s="37" t="s">
        <v>95</v>
      </c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</row>
    <row r="390">
      <c r="A390" s="37" t="s">
        <v>1031</v>
      </c>
      <c r="B390" s="37">
        <v>2013.0</v>
      </c>
      <c r="C390" s="38" t="s">
        <v>1032</v>
      </c>
      <c r="D390" s="20"/>
      <c r="E390" s="20"/>
      <c r="F390" s="37" t="s">
        <v>86</v>
      </c>
      <c r="G390" s="20"/>
      <c r="H390" s="20"/>
      <c r="I390" s="20"/>
      <c r="J390" s="20"/>
      <c r="K390" s="37" t="s">
        <v>152</v>
      </c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</row>
    <row r="391">
      <c r="A391" s="37" t="s">
        <v>1033</v>
      </c>
      <c r="B391" s="37">
        <v>2012.0</v>
      </c>
      <c r="C391" s="38" t="s">
        <v>1034</v>
      </c>
      <c r="D391" s="37" t="s">
        <v>95</v>
      </c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</row>
    <row r="392">
      <c r="A392" s="37" t="s">
        <v>1035</v>
      </c>
      <c r="B392" s="37">
        <v>2016.0</v>
      </c>
      <c r="C392" s="38" t="s">
        <v>1036</v>
      </c>
      <c r="D392" s="37" t="s">
        <v>95</v>
      </c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</row>
    <row r="393">
      <c r="A393" s="37" t="s">
        <v>1037</v>
      </c>
      <c r="B393" s="37">
        <v>2016.0</v>
      </c>
      <c r="C393" s="38" t="s">
        <v>1038</v>
      </c>
      <c r="D393" s="20"/>
      <c r="E393" s="20"/>
      <c r="F393" s="37" t="s">
        <v>91</v>
      </c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</row>
    <row r="394">
      <c r="A394" s="37" t="s">
        <v>1039</v>
      </c>
      <c r="B394" s="37">
        <v>2014.0</v>
      </c>
      <c r="C394" s="38" t="s">
        <v>1040</v>
      </c>
      <c r="D394" s="20"/>
      <c r="E394" s="20"/>
      <c r="F394" s="37" t="s">
        <v>490</v>
      </c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</row>
    <row r="395">
      <c r="A395" s="37" t="s">
        <v>1041</v>
      </c>
      <c r="B395" s="37">
        <v>2014.0</v>
      </c>
      <c r="C395" s="38" t="s">
        <v>1042</v>
      </c>
      <c r="D395" s="20"/>
      <c r="E395" s="20"/>
      <c r="F395" s="37" t="s">
        <v>86</v>
      </c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</row>
    <row r="396">
      <c r="A396" s="37" t="s">
        <v>1043</v>
      </c>
      <c r="B396" s="37">
        <v>2015.0</v>
      </c>
      <c r="C396" s="38" t="s">
        <v>1044</v>
      </c>
      <c r="D396" s="20"/>
      <c r="E396" s="20"/>
      <c r="F396" s="37" t="s">
        <v>86</v>
      </c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</row>
    <row r="397">
      <c r="A397" s="37" t="s">
        <v>1045</v>
      </c>
      <c r="B397" s="37">
        <v>2015.0</v>
      </c>
      <c r="C397" s="38" t="s">
        <v>1046</v>
      </c>
      <c r="D397" s="37" t="s">
        <v>95</v>
      </c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</row>
    <row r="398">
      <c r="A398" s="37" t="s">
        <v>1047</v>
      </c>
      <c r="B398" s="37">
        <v>2014.0</v>
      </c>
      <c r="C398" s="38" t="s">
        <v>1048</v>
      </c>
      <c r="D398" s="37" t="s">
        <v>95</v>
      </c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</row>
    <row r="399">
      <c r="A399" s="37" t="s">
        <v>1049</v>
      </c>
      <c r="B399" s="37">
        <v>2014.0</v>
      </c>
      <c r="C399" s="38" t="s">
        <v>1050</v>
      </c>
      <c r="D399" s="20"/>
      <c r="E399" s="37" t="s">
        <v>95</v>
      </c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</row>
    <row r="400">
      <c r="A400" s="37" t="s">
        <v>1051</v>
      </c>
      <c r="B400" s="37">
        <v>2014.0</v>
      </c>
      <c r="C400" s="38" t="s">
        <v>1052</v>
      </c>
      <c r="D400" s="20"/>
      <c r="E400" s="37" t="s">
        <v>95</v>
      </c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</row>
    <row r="401">
      <c r="A401" s="37" t="s">
        <v>1053</v>
      </c>
      <c r="B401" s="37">
        <v>2014.0</v>
      </c>
      <c r="C401" s="38" t="s">
        <v>1054</v>
      </c>
      <c r="D401" s="20"/>
      <c r="E401" s="20"/>
      <c r="F401" s="37" t="s">
        <v>91</v>
      </c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</row>
    <row r="402">
      <c r="A402" s="55" t="s">
        <v>1055</v>
      </c>
      <c r="B402" s="55">
        <v>2015.0</v>
      </c>
      <c r="C402" s="57" t="s">
        <v>1056</v>
      </c>
      <c r="D402" s="59"/>
      <c r="E402" s="59"/>
      <c r="F402" s="55" t="s">
        <v>130</v>
      </c>
      <c r="G402" s="55" t="s">
        <v>131</v>
      </c>
      <c r="H402" s="59"/>
      <c r="I402" s="79" t="s">
        <v>52</v>
      </c>
      <c r="J402" s="79" t="s">
        <v>258</v>
      </c>
      <c r="K402" s="55" t="s">
        <v>158</v>
      </c>
      <c r="L402" s="59" t="s">
        <v>159</v>
      </c>
      <c r="M402" s="59"/>
      <c r="N402" s="59" t="s">
        <v>136</v>
      </c>
      <c r="O402" s="55" t="s">
        <v>251</v>
      </c>
      <c r="P402" s="59" t="s">
        <v>137</v>
      </c>
      <c r="Q402" s="59" t="s">
        <v>114</v>
      </c>
      <c r="R402" s="59" t="s">
        <v>178</v>
      </c>
      <c r="S402" s="55" t="s">
        <v>343</v>
      </c>
      <c r="T402" s="59" t="s">
        <v>142</v>
      </c>
      <c r="U402" s="59"/>
      <c r="V402" s="59" t="s">
        <v>95</v>
      </c>
      <c r="W402" s="59" t="s">
        <v>95</v>
      </c>
      <c r="X402" s="59"/>
      <c r="Y402" s="59"/>
      <c r="Z402" s="61" t="s">
        <v>260</v>
      </c>
      <c r="AA402" s="61" t="s">
        <v>1057</v>
      </c>
      <c r="AB402" s="40"/>
      <c r="AC402" s="40"/>
      <c r="AD402" s="40"/>
      <c r="AE402" s="40"/>
      <c r="AF402" s="40"/>
      <c r="AG402" s="40"/>
      <c r="AH402" s="40"/>
      <c r="AI402" s="40"/>
    </row>
    <row r="403">
      <c r="A403" s="37" t="s">
        <v>1058</v>
      </c>
      <c r="B403" s="37">
        <v>2016.0</v>
      </c>
      <c r="C403" s="38" t="s">
        <v>1059</v>
      </c>
      <c r="D403" s="20"/>
      <c r="E403" s="20"/>
      <c r="F403" s="37" t="s">
        <v>86</v>
      </c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</row>
    <row r="404">
      <c r="A404" s="37" t="s">
        <v>1060</v>
      </c>
      <c r="B404" s="37">
        <v>2016.0</v>
      </c>
      <c r="C404" s="38" t="s">
        <v>1061</v>
      </c>
      <c r="D404" s="20"/>
      <c r="E404" s="20"/>
      <c r="F404" s="37" t="s">
        <v>86</v>
      </c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</row>
    <row r="405">
      <c r="A405" s="55" t="s">
        <v>1062</v>
      </c>
      <c r="B405" s="55">
        <v>2014.0</v>
      </c>
      <c r="C405" s="57" t="s">
        <v>1063</v>
      </c>
      <c r="D405" s="59"/>
      <c r="E405" s="59"/>
      <c r="F405" s="55" t="s">
        <v>130</v>
      </c>
      <c r="G405" s="55" t="s">
        <v>131</v>
      </c>
      <c r="H405" s="59"/>
      <c r="I405" s="55" t="s">
        <v>33</v>
      </c>
      <c r="J405" s="55" t="s">
        <v>132</v>
      </c>
      <c r="K405" s="55" t="s">
        <v>158</v>
      </c>
      <c r="L405" s="59" t="s">
        <v>159</v>
      </c>
      <c r="M405" s="59"/>
      <c r="N405" s="59" t="s">
        <v>136</v>
      </c>
      <c r="O405" s="59"/>
      <c r="P405" s="59" t="s">
        <v>137</v>
      </c>
      <c r="Q405" s="59" t="s">
        <v>138</v>
      </c>
      <c r="R405" s="59" t="s">
        <v>178</v>
      </c>
      <c r="S405" s="55" t="s">
        <v>141</v>
      </c>
      <c r="T405" s="59" t="s">
        <v>142</v>
      </c>
      <c r="U405" s="59" t="s">
        <v>95</v>
      </c>
      <c r="V405" s="59"/>
      <c r="W405" s="55" t="s">
        <v>95</v>
      </c>
      <c r="X405" s="59"/>
      <c r="Y405" s="59" t="s">
        <v>95</v>
      </c>
      <c r="Z405" s="61" t="s">
        <v>179</v>
      </c>
      <c r="AA405" s="61" t="s">
        <v>1064</v>
      </c>
      <c r="AB405" s="40"/>
      <c r="AC405" s="40"/>
      <c r="AD405" s="40"/>
      <c r="AE405" s="40"/>
      <c r="AF405" s="40"/>
      <c r="AG405" s="40"/>
      <c r="AH405" s="40"/>
      <c r="AI405" s="40"/>
    </row>
    <row r="406">
      <c r="A406" s="37" t="s">
        <v>1065</v>
      </c>
      <c r="B406" s="37">
        <v>2014.0</v>
      </c>
      <c r="C406" s="38" t="s">
        <v>1066</v>
      </c>
      <c r="D406" s="20"/>
      <c r="E406" s="20"/>
      <c r="F406" s="37" t="s">
        <v>490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</row>
    <row r="407">
      <c r="A407" s="37" t="s">
        <v>1067</v>
      </c>
      <c r="B407" s="37">
        <v>2014.0</v>
      </c>
      <c r="C407" s="38" t="s">
        <v>1068</v>
      </c>
      <c r="D407" s="20"/>
      <c r="E407" s="20"/>
      <c r="F407" s="37" t="s">
        <v>490</v>
      </c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</row>
    <row r="408">
      <c r="A408" s="37" t="s">
        <v>1069</v>
      </c>
      <c r="B408" s="37">
        <v>2015.0</v>
      </c>
      <c r="C408" s="38" t="s">
        <v>489</v>
      </c>
      <c r="D408" s="20"/>
      <c r="E408" s="37" t="s">
        <v>95</v>
      </c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</row>
    <row r="409">
      <c r="A409" s="37" t="s">
        <v>1070</v>
      </c>
      <c r="B409" s="37">
        <v>2014.0</v>
      </c>
      <c r="C409" s="38" t="s">
        <v>1071</v>
      </c>
      <c r="D409" s="20"/>
      <c r="E409" s="20"/>
      <c r="F409" s="37" t="s">
        <v>86</v>
      </c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</row>
    <row r="410">
      <c r="A410" s="37" t="s">
        <v>1072</v>
      </c>
      <c r="B410" s="37">
        <v>2014.0</v>
      </c>
      <c r="C410" s="38" t="s">
        <v>1073</v>
      </c>
      <c r="D410" s="20"/>
      <c r="E410" s="20"/>
      <c r="F410" s="37" t="s">
        <v>86</v>
      </c>
      <c r="G410" s="20"/>
      <c r="H410" s="20"/>
      <c r="I410" s="20"/>
      <c r="J410" s="20"/>
      <c r="K410" s="37" t="s">
        <v>152</v>
      </c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</row>
    <row r="411">
      <c r="A411" s="37" t="s">
        <v>1074</v>
      </c>
      <c r="B411" s="37">
        <v>2016.0</v>
      </c>
      <c r="C411" s="38" t="s">
        <v>1075</v>
      </c>
      <c r="D411" s="37" t="s">
        <v>95</v>
      </c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</row>
    <row r="412">
      <c r="A412" s="37" t="s">
        <v>1076</v>
      </c>
      <c r="B412" s="37">
        <v>2016.0</v>
      </c>
      <c r="C412" s="38" t="s">
        <v>1077</v>
      </c>
      <c r="D412" s="20"/>
      <c r="E412" s="20"/>
      <c r="F412" s="37" t="s">
        <v>86</v>
      </c>
      <c r="G412" s="20"/>
      <c r="H412" s="20"/>
      <c r="I412" s="20"/>
      <c r="J412" s="20"/>
      <c r="K412" s="37" t="s">
        <v>152</v>
      </c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</row>
    <row r="413">
      <c r="A413" s="37" t="s">
        <v>1078</v>
      </c>
      <c r="B413" s="37">
        <v>2015.0</v>
      </c>
      <c r="C413" s="38" t="s">
        <v>1079</v>
      </c>
      <c r="D413" s="37" t="s">
        <v>95</v>
      </c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</row>
    <row r="414">
      <c r="A414" s="55" t="s">
        <v>1080</v>
      </c>
      <c r="B414" s="55">
        <v>2012.0</v>
      </c>
      <c r="C414" s="57" t="s">
        <v>1081</v>
      </c>
      <c r="D414" s="59"/>
      <c r="E414" s="59"/>
      <c r="F414" s="55" t="s">
        <v>130</v>
      </c>
      <c r="G414" s="55" t="s">
        <v>131</v>
      </c>
      <c r="H414" s="59"/>
      <c r="I414" s="79" t="s">
        <v>42</v>
      </c>
      <c r="J414" s="79" t="s">
        <v>132</v>
      </c>
      <c r="K414" s="55" t="s">
        <v>158</v>
      </c>
      <c r="L414" s="59" t="s">
        <v>159</v>
      </c>
      <c r="M414" s="59"/>
      <c r="N414" s="59" t="s">
        <v>109</v>
      </c>
      <c r="O414" s="59" t="s">
        <v>289</v>
      </c>
      <c r="P414" s="59" t="s">
        <v>137</v>
      </c>
      <c r="Q414" s="59" t="s">
        <v>224</v>
      </c>
      <c r="R414" s="59" t="s">
        <v>166</v>
      </c>
      <c r="S414" s="59" t="s">
        <v>158</v>
      </c>
      <c r="T414" s="59" t="s">
        <v>158</v>
      </c>
      <c r="U414" s="59"/>
      <c r="V414" s="59"/>
      <c r="W414" s="59"/>
      <c r="X414" s="59"/>
      <c r="Y414" s="59"/>
      <c r="Z414" s="61" t="s">
        <v>167</v>
      </c>
      <c r="AA414" s="61" t="s">
        <v>253</v>
      </c>
      <c r="AB414" s="40"/>
      <c r="AC414" s="40"/>
      <c r="AD414" s="40"/>
      <c r="AE414" s="40"/>
      <c r="AF414" s="40"/>
      <c r="AG414" s="40"/>
      <c r="AH414" s="40"/>
      <c r="AI414" s="40"/>
    </row>
    <row r="415">
      <c r="A415" s="37" t="s">
        <v>1082</v>
      </c>
      <c r="B415" s="37">
        <v>2015.0</v>
      </c>
      <c r="C415" s="38" t="s">
        <v>1083</v>
      </c>
      <c r="D415" s="20"/>
      <c r="E415" s="20"/>
      <c r="F415" s="37" t="s">
        <v>86</v>
      </c>
      <c r="G415" s="20"/>
      <c r="H415" s="20"/>
      <c r="I415" s="20"/>
      <c r="J415" s="20"/>
      <c r="K415" s="37" t="s">
        <v>152</v>
      </c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</row>
    <row r="416">
      <c r="A416" s="37" t="s">
        <v>1084</v>
      </c>
      <c r="B416" s="37">
        <v>2015.0</v>
      </c>
      <c r="C416" s="38" t="s">
        <v>1085</v>
      </c>
      <c r="D416" s="37"/>
      <c r="E416" s="37" t="s">
        <v>95</v>
      </c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</row>
    <row r="417">
      <c r="A417" s="37" t="s">
        <v>1086</v>
      </c>
      <c r="B417" s="37">
        <v>2016.0</v>
      </c>
      <c r="C417" s="38" t="s">
        <v>1087</v>
      </c>
      <c r="D417" s="20"/>
      <c r="E417" s="20"/>
      <c r="F417" s="37" t="s">
        <v>86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</row>
    <row r="418">
      <c r="A418" s="37" t="s">
        <v>1088</v>
      </c>
      <c r="B418" s="37">
        <v>2013.0</v>
      </c>
      <c r="C418" s="38" t="s">
        <v>1089</v>
      </c>
      <c r="D418" s="37" t="s">
        <v>95</v>
      </c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</row>
    <row r="419">
      <c r="A419" s="37" t="s">
        <v>1090</v>
      </c>
      <c r="B419" s="37">
        <v>2016.0</v>
      </c>
      <c r="C419" s="38" t="s">
        <v>1091</v>
      </c>
      <c r="D419" s="20"/>
      <c r="E419" s="20"/>
      <c r="F419" s="37" t="s">
        <v>490</v>
      </c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</row>
    <row r="420">
      <c r="A420" s="37" t="s">
        <v>1092</v>
      </c>
      <c r="B420" s="37">
        <v>2016.0</v>
      </c>
      <c r="C420" s="38" t="s">
        <v>1093</v>
      </c>
      <c r="D420" s="20"/>
      <c r="E420" s="20"/>
      <c r="F420" s="37" t="s">
        <v>86</v>
      </c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</row>
    <row r="421">
      <c r="A421" s="37" t="s">
        <v>1094</v>
      </c>
      <c r="B421" s="37">
        <v>2016.0</v>
      </c>
      <c r="C421" s="38" t="s">
        <v>1095</v>
      </c>
      <c r="D421" s="37" t="s">
        <v>95</v>
      </c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</row>
    <row r="422">
      <c r="A422" s="37" t="s">
        <v>1096</v>
      </c>
      <c r="B422" s="37">
        <v>2015.0</v>
      </c>
      <c r="C422" s="38" t="s">
        <v>1097</v>
      </c>
      <c r="D422" s="20"/>
      <c r="E422" s="37" t="s">
        <v>95</v>
      </c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</row>
    <row r="423">
      <c r="A423" s="37" t="s">
        <v>1098</v>
      </c>
      <c r="B423" s="37">
        <v>2016.0</v>
      </c>
      <c r="C423" s="38" t="s">
        <v>1099</v>
      </c>
      <c r="D423" s="20"/>
      <c r="E423" s="37" t="s">
        <v>95</v>
      </c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</row>
    <row r="424">
      <c r="A424" s="37" t="s">
        <v>1100</v>
      </c>
      <c r="B424" s="37">
        <v>2016.0</v>
      </c>
      <c r="C424" s="38" t="s">
        <v>1101</v>
      </c>
      <c r="D424" s="20"/>
      <c r="E424" s="20"/>
      <c r="F424" s="37" t="s">
        <v>86</v>
      </c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</row>
    <row r="425">
      <c r="A425" s="37" t="s">
        <v>1102</v>
      </c>
      <c r="B425" s="37">
        <v>2015.0</v>
      </c>
      <c r="C425" s="38" t="s">
        <v>1103</v>
      </c>
      <c r="D425" s="37" t="s">
        <v>95</v>
      </c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</row>
    <row r="426">
      <c r="A426" s="37" t="s">
        <v>1104</v>
      </c>
      <c r="B426" s="37">
        <v>2014.0</v>
      </c>
      <c r="C426" s="38" t="s">
        <v>1105</v>
      </c>
      <c r="D426" s="20"/>
      <c r="E426" s="20"/>
      <c r="F426" s="37" t="s">
        <v>86</v>
      </c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</row>
    <row r="427">
      <c r="A427" s="37" t="s">
        <v>1106</v>
      </c>
      <c r="B427" s="37">
        <v>2014.0</v>
      </c>
      <c r="C427" s="38" t="s">
        <v>1107</v>
      </c>
      <c r="D427" s="20"/>
      <c r="E427" s="20"/>
      <c r="F427" s="37" t="s">
        <v>86</v>
      </c>
      <c r="G427" s="20"/>
      <c r="H427" s="20"/>
      <c r="I427" s="20"/>
      <c r="J427" s="20"/>
      <c r="K427" s="37" t="s">
        <v>152</v>
      </c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</row>
    <row r="428">
      <c r="A428" s="37" t="s">
        <v>1108</v>
      </c>
      <c r="B428" s="37">
        <v>2016.0</v>
      </c>
      <c r="C428" s="38" t="s">
        <v>1109</v>
      </c>
      <c r="D428" s="20"/>
      <c r="E428" s="37" t="s">
        <v>95</v>
      </c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</row>
    <row r="429">
      <c r="A429" s="37" t="s">
        <v>1110</v>
      </c>
      <c r="B429" s="37">
        <v>2013.0</v>
      </c>
      <c r="C429" s="38" t="s">
        <v>1111</v>
      </c>
      <c r="D429" s="37" t="s">
        <v>95</v>
      </c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</row>
    <row r="430">
      <c r="A430" s="37" t="s">
        <v>1112</v>
      </c>
      <c r="B430" s="37">
        <v>2016.0</v>
      </c>
      <c r="C430" s="38" t="s">
        <v>1113</v>
      </c>
      <c r="D430" s="20"/>
      <c r="E430" s="20"/>
      <c r="F430" s="37" t="s">
        <v>86</v>
      </c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</row>
    <row r="431">
      <c r="A431" s="37" t="s">
        <v>1114</v>
      </c>
      <c r="B431" s="37">
        <v>2015.0</v>
      </c>
      <c r="C431" s="38" t="s">
        <v>1115</v>
      </c>
      <c r="D431" s="20"/>
      <c r="E431" s="20"/>
      <c r="F431" s="37" t="s">
        <v>490</v>
      </c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</row>
    <row r="432">
      <c r="A432" s="37" t="s">
        <v>1116</v>
      </c>
      <c r="B432" s="37">
        <v>2016.0</v>
      </c>
      <c r="C432" s="38" t="s">
        <v>1117</v>
      </c>
      <c r="D432" s="20"/>
      <c r="E432" s="20"/>
      <c r="F432" s="37" t="s">
        <v>86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</row>
    <row r="433">
      <c r="A433" s="37" t="s">
        <v>1118</v>
      </c>
      <c r="B433" s="37">
        <v>2016.0</v>
      </c>
      <c r="C433" s="38" t="s">
        <v>1119</v>
      </c>
      <c r="D433" s="20"/>
      <c r="E433" s="20"/>
      <c r="F433" s="37" t="s">
        <v>86</v>
      </c>
      <c r="G433" s="20"/>
      <c r="H433" s="20"/>
      <c r="I433" s="20"/>
      <c r="J433" s="20"/>
      <c r="K433" s="37" t="s">
        <v>152</v>
      </c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</row>
    <row r="434">
      <c r="A434" s="37" t="s">
        <v>1121</v>
      </c>
      <c r="B434" s="37">
        <v>2012.0</v>
      </c>
      <c r="C434" s="38" t="s">
        <v>1122</v>
      </c>
      <c r="D434" s="20"/>
      <c r="E434" s="20"/>
      <c r="F434" s="37" t="s">
        <v>91</v>
      </c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</row>
    <row r="435">
      <c r="A435" s="55" t="s">
        <v>1123</v>
      </c>
      <c r="B435" s="55">
        <v>2013.0</v>
      </c>
      <c r="C435" s="57" t="s">
        <v>1124</v>
      </c>
      <c r="D435" s="59"/>
      <c r="E435" s="59"/>
      <c r="F435" s="55" t="s">
        <v>130</v>
      </c>
      <c r="G435" s="55" t="s">
        <v>131</v>
      </c>
      <c r="H435" s="59"/>
      <c r="I435" s="55" t="s">
        <v>1125</v>
      </c>
      <c r="J435" s="94" t="s">
        <v>590</v>
      </c>
      <c r="K435" s="55" t="s">
        <v>158</v>
      </c>
      <c r="L435" s="59" t="s">
        <v>159</v>
      </c>
      <c r="M435" s="59"/>
      <c r="N435" s="59" t="s">
        <v>109</v>
      </c>
      <c r="O435" s="59" t="s">
        <v>289</v>
      </c>
      <c r="P435" s="59" t="s">
        <v>137</v>
      </c>
      <c r="Q435" s="59" t="s">
        <v>138</v>
      </c>
      <c r="R435" s="59" t="s">
        <v>166</v>
      </c>
      <c r="S435" s="55" t="s">
        <v>141</v>
      </c>
      <c r="T435" s="55" t="s">
        <v>142</v>
      </c>
      <c r="U435" s="55" t="s">
        <v>95</v>
      </c>
      <c r="V435" s="59"/>
      <c r="W435" s="55" t="s">
        <v>95</v>
      </c>
      <c r="X435" s="59"/>
      <c r="Y435" s="59"/>
      <c r="Z435" s="61" t="s">
        <v>412</v>
      </c>
      <c r="AA435" s="61" t="s">
        <v>1126</v>
      </c>
      <c r="AB435" s="40"/>
      <c r="AC435" s="40"/>
      <c r="AD435" s="40"/>
      <c r="AE435" s="40"/>
      <c r="AF435" s="40"/>
      <c r="AG435" s="40"/>
      <c r="AH435" s="40"/>
      <c r="AI435" s="40"/>
    </row>
    <row r="436">
      <c r="A436" s="37" t="s">
        <v>1127</v>
      </c>
      <c r="B436" s="37">
        <v>2012.0</v>
      </c>
      <c r="C436" s="38" t="s">
        <v>1128</v>
      </c>
      <c r="D436" s="20"/>
      <c r="E436" s="20"/>
      <c r="F436" s="37" t="s">
        <v>91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</row>
    <row r="437">
      <c r="A437" s="55" t="s">
        <v>1129</v>
      </c>
      <c r="B437" s="55">
        <v>2014.0</v>
      </c>
      <c r="C437" s="57" t="s">
        <v>1130</v>
      </c>
      <c r="D437" s="59"/>
      <c r="E437" s="59"/>
      <c r="F437" s="55" t="s">
        <v>130</v>
      </c>
      <c r="G437" s="55" t="s">
        <v>131</v>
      </c>
      <c r="H437" s="59"/>
      <c r="I437" s="55" t="s">
        <v>1131</v>
      </c>
      <c r="J437" s="94" t="s">
        <v>590</v>
      </c>
      <c r="K437" s="55" t="s">
        <v>658</v>
      </c>
      <c r="L437" s="59" t="s">
        <v>159</v>
      </c>
      <c r="M437" s="55"/>
      <c r="N437" s="59" t="s">
        <v>109</v>
      </c>
      <c r="O437" s="55" t="s">
        <v>251</v>
      </c>
      <c r="P437" s="55" t="s">
        <v>164</v>
      </c>
      <c r="Q437" s="55" t="s">
        <v>1132</v>
      </c>
      <c r="R437" s="55" t="s">
        <v>1133</v>
      </c>
      <c r="S437" s="55" t="s">
        <v>158</v>
      </c>
      <c r="T437" s="55" t="s">
        <v>158</v>
      </c>
      <c r="U437" s="59"/>
      <c r="V437" s="59"/>
      <c r="W437" s="59"/>
      <c r="X437" s="59"/>
      <c r="Y437" s="59"/>
      <c r="Z437" s="61" t="s">
        <v>260</v>
      </c>
      <c r="AA437" s="61" t="s">
        <v>1134</v>
      </c>
      <c r="AB437" s="40"/>
      <c r="AC437" s="40"/>
      <c r="AD437" s="40"/>
      <c r="AE437" s="40"/>
      <c r="AF437" s="40"/>
      <c r="AG437" s="40"/>
      <c r="AH437" s="40"/>
      <c r="AI437" s="40"/>
    </row>
    <row r="438">
      <c r="A438" s="37" t="s">
        <v>1135</v>
      </c>
      <c r="B438" s="37">
        <v>2010.0</v>
      </c>
      <c r="C438" s="38" t="s">
        <v>1136</v>
      </c>
      <c r="D438" s="20"/>
      <c r="E438" s="20"/>
      <c r="F438" s="37" t="s">
        <v>86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</row>
    <row r="439">
      <c r="A439" s="37" t="s">
        <v>1137</v>
      </c>
      <c r="B439" s="37">
        <v>2012.0</v>
      </c>
      <c r="C439" s="38" t="s">
        <v>1138</v>
      </c>
      <c r="D439" s="20"/>
      <c r="E439" s="20"/>
      <c r="F439" s="37" t="s">
        <v>86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</row>
    <row r="440">
      <c r="A440" s="37" t="s">
        <v>1139</v>
      </c>
      <c r="B440" s="37">
        <v>2014.0</v>
      </c>
      <c r="C440" s="38" t="s">
        <v>1140</v>
      </c>
      <c r="D440" s="20"/>
      <c r="E440" s="20"/>
      <c r="F440" s="37" t="s">
        <v>86</v>
      </c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</row>
    <row r="441">
      <c r="A441" s="37" t="s">
        <v>1141</v>
      </c>
      <c r="B441" s="37">
        <v>2013.0</v>
      </c>
      <c r="C441" s="38" t="s">
        <v>1142</v>
      </c>
      <c r="D441" s="20"/>
      <c r="E441" s="20"/>
      <c r="F441" s="37" t="s">
        <v>187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</row>
    <row r="442">
      <c r="A442" s="37" t="s">
        <v>1143</v>
      </c>
      <c r="B442" s="37">
        <v>2012.0</v>
      </c>
      <c r="C442" s="38" t="s">
        <v>1144</v>
      </c>
      <c r="D442" s="20"/>
      <c r="E442" s="20"/>
      <c r="F442" s="96" t="s">
        <v>91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</row>
    <row r="443">
      <c r="A443" s="37" t="s">
        <v>1145</v>
      </c>
      <c r="B443" s="37">
        <v>2013.0</v>
      </c>
      <c r="C443" s="38" t="s">
        <v>1146</v>
      </c>
      <c r="D443" s="20"/>
      <c r="E443" s="20"/>
      <c r="F443" s="37" t="s">
        <v>86</v>
      </c>
      <c r="G443" s="20"/>
      <c r="H443" s="20"/>
      <c r="I443" s="20"/>
      <c r="J443" s="20"/>
      <c r="K443" s="37" t="s">
        <v>152</v>
      </c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</row>
    <row r="444">
      <c r="A444" s="37" t="s">
        <v>1147</v>
      </c>
      <c r="B444" s="37">
        <v>2013.0</v>
      </c>
      <c r="C444" s="38" t="s">
        <v>1148</v>
      </c>
      <c r="D444" s="20"/>
      <c r="E444" s="20"/>
      <c r="F444" s="37" t="s">
        <v>86</v>
      </c>
      <c r="G444" s="20"/>
      <c r="H444" s="20"/>
      <c r="I444" s="20"/>
      <c r="J444" s="20"/>
      <c r="K444" s="37" t="s">
        <v>152</v>
      </c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</row>
    <row r="445">
      <c r="A445" s="37" t="s">
        <v>1149</v>
      </c>
      <c r="B445" s="37">
        <v>2014.0</v>
      </c>
      <c r="C445" s="38" t="s">
        <v>1150</v>
      </c>
      <c r="D445" s="20"/>
      <c r="E445" s="20"/>
      <c r="F445" s="37" t="s">
        <v>199</v>
      </c>
      <c r="G445" s="37" t="s">
        <v>149</v>
      </c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</row>
    <row r="446">
      <c r="A446" s="37" t="s">
        <v>1151</v>
      </c>
      <c r="B446" s="37">
        <v>2013.0</v>
      </c>
      <c r="C446" s="38" t="s">
        <v>1152</v>
      </c>
      <c r="D446" s="20"/>
      <c r="E446" s="20"/>
      <c r="F446" s="37" t="s">
        <v>490</v>
      </c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</row>
    <row r="447">
      <c r="A447" s="37" t="s">
        <v>1153</v>
      </c>
      <c r="B447" s="37">
        <v>2015.0</v>
      </c>
      <c r="C447" s="38" t="s">
        <v>1154</v>
      </c>
      <c r="D447" s="20"/>
      <c r="E447" s="20"/>
      <c r="F447" s="37" t="s">
        <v>86</v>
      </c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</row>
    <row r="448">
      <c r="A448" s="55" t="s">
        <v>1155</v>
      </c>
      <c r="B448" s="55">
        <v>2014.0</v>
      </c>
      <c r="C448" s="57" t="s">
        <v>1156</v>
      </c>
      <c r="D448" s="59"/>
      <c r="E448" s="59"/>
      <c r="F448" s="55" t="s">
        <v>130</v>
      </c>
      <c r="G448" s="55" t="s">
        <v>131</v>
      </c>
      <c r="H448" s="59"/>
      <c r="I448" s="79" t="s">
        <v>129</v>
      </c>
      <c r="J448" s="79" t="s">
        <v>132</v>
      </c>
      <c r="K448" s="55" t="s">
        <v>158</v>
      </c>
      <c r="L448" s="59" t="s">
        <v>159</v>
      </c>
      <c r="M448" s="59"/>
      <c r="N448" s="59" t="s">
        <v>136</v>
      </c>
      <c r="O448" s="59"/>
      <c r="P448" s="59" t="s">
        <v>137</v>
      </c>
      <c r="Q448" s="59" t="s">
        <v>114</v>
      </c>
      <c r="R448" s="55" t="s">
        <v>1157</v>
      </c>
      <c r="S448" s="59" t="s">
        <v>158</v>
      </c>
      <c r="T448" s="59" t="s">
        <v>158</v>
      </c>
      <c r="U448" s="59"/>
      <c r="V448" s="59"/>
      <c r="W448" s="59"/>
      <c r="X448" s="59" t="s">
        <v>95</v>
      </c>
      <c r="Y448" s="59"/>
      <c r="Z448" s="61" t="s">
        <v>291</v>
      </c>
      <c r="AA448" s="61" t="s">
        <v>620</v>
      </c>
      <c r="AB448" s="40"/>
      <c r="AC448" s="40"/>
      <c r="AD448" s="40"/>
      <c r="AE448" s="40"/>
      <c r="AF448" s="40"/>
      <c r="AG448" s="40"/>
      <c r="AH448" s="40"/>
      <c r="AI448" s="40"/>
    </row>
    <row r="449">
      <c r="A449" s="37" t="s">
        <v>1158</v>
      </c>
      <c r="B449" s="37">
        <v>2014.0</v>
      </c>
      <c r="C449" s="38" t="s">
        <v>1159</v>
      </c>
      <c r="D449" s="20"/>
      <c r="E449" s="20"/>
      <c r="F449" s="37" t="s">
        <v>490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</row>
    <row r="450">
      <c r="A450" s="37" t="s">
        <v>1160</v>
      </c>
      <c r="B450" s="37">
        <v>2012.0</v>
      </c>
      <c r="C450" s="38" t="s">
        <v>1161</v>
      </c>
      <c r="D450" s="20"/>
      <c r="E450" s="20"/>
      <c r="F450" s="37" t="s">
        <v>86</v>
      </c>
      <c r="G450" s="20"/>
      <c r="H450" s="20"/>
      <c r="I450" s="20"/>
      <c r="J450" s="20"/>
      <c r="K450" s="37" t="s">
        <v>152</v>
      </c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</row>
    <row r="451">
      <c r="A451" s="37" t="s">
        <v>1162</v>
      </c>
      <c r="B451" s="37">
        <v>2013.0</v>
      </c>
      <c r="C451" s="38" t="s">
        <v>1163</v>
      </c>
      <c r="D451" s="20"/>
      <c r="E451" s="20"/>
      <c r="F451" s="37" t="s">
        <v>187</v>
      </c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</row>
    <row r="452">
      <c r="A452" s="37" t="s">
        <v>1164</v>
      </c>
      <c r="B452" s="37">
        <v>2013.0</v>
      </c>
      <c r="C452" s="38" t="s">
        <v>1165</v>
      </c>
      <c r="D452" s="20"/>
      <c r="E452" s="20"/>
      <c r="F452" s="37" t="s">
        <v>187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</row>
    <row r="453">
      <c r="A453" s="37" t="s">
        <v>1166</v>
      </c>
      <c r="B453" s="37">
        <v>2013.0</v>
      </c>
      <c r="C453" s="38" t="s">
        <v>1167</v>
      </c>
      <c r="D453" s="20"/>
      <c r="E453" s="20"/>
      <c r="F453" s="37" t="s">
        <v>187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</row>
    <row r="454">
      <c r="A454" s="37" t="s">
        <v>1168</v>
      </c>
      <c r="B454" s="37">
        <v>2015.0</v>
      </c>
      <c r="C454" s="38" t="s">
        <v>1169</v>
      </c>
      <c r="D454" s="20"/>
      <c r="E454" s="20"/>
      <c r="F454" s="37" t="s">
        <v>86</v>
      </c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</row>
    <row r="455">
      <c r="A455" s="55" t="s">
        <v>1170</v>
      </c>
      <c r="B455" s="55">
        <v>2015.0</v>
      </c>
      <c r="C455" s="57" t="s">
        <v>1171</v>
      </c>
      <c r="D455" s="59"/>
      <c r="E455" s="59"/>
      <c r="F455" s="55" t="s">
        <v>130</v>
      </c>
      <c r="G455" s="55" t="s">
        <v>131</v>
      </c>
      <c r="H455" s="59"/>
      <c r="I455" s="82" t="s">
        <v>75</v>
      </c>
      <c r="J455" s="79" t="s">
        <v>274</v>
      </c>
      <c r="K455" s="55" t="s">
        <v>158</v>
      </c>
      <c r="L455" s="59" t="s">
        <v>159</v>
      </c>
      <c r="M455" s="59"/>
      <c r="N455" s="59" t="s">
        <v>136</v>
      </c>
      <c r="O455" s="59"/>
      <c r="P455" s="59" t="s">
        <v>137</v>
      </c>
      <c r="Q455" s="59" t="s">
        <v>138</v>
      </c>
      <c r="R455" s="59" t="s">
        <v>178</v>
      </c>
      <c r="S455" s="55" t="s">
        <v>141</v>
      </c>
      <c r="T455" s="59" t="s">
        <v>142</v>
      </c>
      <c r="U455" s="59" t="s">
        <v>95</v>
      </c>
      <c r="V455" s="59"/>
      <c r="W455" s="59"/>
      <c r="X455" s="59"/>
      <c r="Y455" s="59" t="s">
        <v>95</v>
      </c>
      <c r="Z455" s="61" t="s">
        <v>505</v>
      </c>
      <c r="AA455" s="61" t="s">
        <v>1172</v>
      </c>
      <c r="AB455" s="40"/>
      <c r="AC455" s="40"/>
      <c r="AD455" s="40"/>
      <c r="AE455" s="40"/>
      <c r="AF455" s="40"/>
      <c r="AG455" s="40"/>
      <c r="AH455" s="40"/>
      <c r="AI455" s="40"/>
    </row>
    <row r="456">
      <c r="A456" s="37" t="s">
        <v>1173</v>
      </c>
      <c r="B456" s="37">
        <v>2014.0</v>
      </c>
      <c r="C456" s="38" t="s">
        <v>1174</v>
      </c>
      <c r="D456" s="20"/>
      <c r="E456" s="20"/>
      <c r="F456" s="37" t="s">
        <v>130</v>
      </c>
      <c r="G456" s="37" t="s">
        <v>149</v>
      </c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</row>
    <row r="457">
      <c r="A457" s="37" t="s">
        <v>1175</v>
      </c>
      <c r="B457" s="37">
        <v>2014.0</v>
      </c>
      <c r="C457" s="38" t="s">
        <v>1176</v>
      </c>
      <c r="D457" s="20"/>
      <c r="E457" s="20"/>
      <c r="F457" s="37" t="s">
        <v>187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</row>
    <row r="458">
      <c r="A458" s="37" t="s">
        <v>1177</v>
      </c>
      <c r="B458" s="37">
        <v>2016.0</v>
      </c>
      <c r="C458" s="38" t="s">
        <v>1178</v>
      </c>
      <c r="D458" s="20"/>
      <c r="E458" s="20"/>
      <c r="F458" s="37" t="s">
        <v>199</v>
      </c>
      <c r="G458" s="37" t="s">
        <v>149</v>
      </c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</row>
    <row r="459">
      <c r="A459" s="37" t="s">
        <v>1180</v>
      </c>
      <c r="B459" s="37">
        <v>2015.0</v>
      </c>
      <c r="C459" s="38" t="s">
        <v>1181</v>
      </c>
      <c r="D459" s="20"/>
      <c r="E459" s="20"/>
      <c r="F459" s="37" t="s">
        <v>490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</row>
    <row r="460">
      <c r="A460" s="37" t="s">
        <v>1182</v>
      </c>
      <c r="B460" s="37">
        <v>2014.0</v>
      </c>
      <c r="C460" s="38" t="s">
        <v>1183</v>
      </c>
      <c r="D460" s="20"/>
      <c r="E460" s="20"/>
      <c r="F460" s="37" t="s">
        <v>91</v>
      </c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</row>
    <row r="461">
      <c r="A461" s="37" t="s">
        <v>1184</v>
      </c>
      <c r="B461" s="37">
        <v>2015.0</v>
      </c>
      <c r="C461" s="38" t="s">
        <v>1185</v>
      </c>
      <c r="D461" s="20"/>
      <c r="E461" s="20"/>
      <c r="F461" s="37" t="s">
        <v>91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</row>
    <row r="462">
      <c r="A462" s="37" t="s">
        <v>1186</v>
      </c>
      <c r="B462" s="37">
        <v>2015.0</v>
      </c>
      <c r="C462" s="38" t="s">
        <v>1187</v>
      </c>
      <c r="D462" s="20"/>
      <c r="E462" s="20"/>
      <c r="F462" s="37" t="s">
        <v>130</v>
      </c>
      <c r="G462" s="37" t="s">
        <v>149</v>
      </c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</row>
    <row r="463">
      <c r="A463" s="37" t="s">
        <v>1188</v>
      </c>
      <c r="B463" s="37">
        <v>2014.0</v>
      </c>
      <c r="C463" s="38" t="s">
        <v>1189</v>
      </c>
      <c r="D463" s="20"/>
      <c r="E463" s="20"/>
      <c r="F463" s="37" t="s">
        <v>86</v>
      </c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</row>
    <row r="464">
      <c r="A464" s="37" t="s">
        <v>1190</v>
      </c>
      <c r="B464" s="37">
        <v>2015.0</v>
      </c>
      <c r="C464" s="38" t="s">
        <v>1191</v>
      </c>
      <c r="D464" s="20"/>
      <c r="E464" s="20"/>
      <c r="F464" s="37" t="s">
        <v>199</v>
      </c>
      <c r="G464" s="37" t="s">
        <v>149</v>
      </c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</row>
    <row r="465">
      <c r="A465" s="37" t="s">
        <v>1192</v>
      </c>
      <c r="B465" s="37">
        <v>2015.0</v>
      </c>
      <c r="C465" s="38" t="s">
        <v>1193</v>
      </c>
      <c r="D465" s="20"/>
      <c r="E465" s="20"/>
      <c r="F465" s="37" t="s">
        <v>86</v>
      </c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</row>
    <row r="466">
      <c r="A466" s="37" t="s">
        <v>1194</v>
      </c>
      <c r="B466" s="37">
        <v>2015.0</v>
      </c>
      <c r="C466" s="38" t="s">
        <v>1195</v>
      </c>
      <c r="D466" s="20"/>
      <c r="E466" s="20"/>
      <c r="F466" s="37" t="s">
        <v>187</v>
      </c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</row>
    <row r="467">
      <c r="A467" s="37" t="s">
        <v>1196</v>
      </c>
      <c r="B467" s="37">
        <v>2015.0</v>
      </c>
      <c r="C467" s="38" t="s">
        <v>1197</v>
      </c>
      <c r="D467" s="20"/>
      <c r="E467" s="20"/>
      <c r="F467" s="37" t="s">
        <v>187</v>
      </c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</row>
    <row r="468">
      <c r="A468" s="37" t="s">
        <v>1198</v>
      </c>
      <c r="B468" s="37">
        <v>2015.0</v>
      </c>
      <c r="C468" s="38" t="s">
        <v>1199</v>
      </c>
      <c r="D468" s="20"/>
      <c r="E468" s="20"/>
      <c r="F468" s="37" t="s">
        <v>187</v>
      </c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</row>
    <row r="469">
      <c r="A469" s="37" t="s">
        <v>1200</v>
      </c>
      <c r="B469" s="37">
        <v>2016.0</v>
      </c>
      <c r="C469" s="38" t="s">
        <v>1201</v>
      </c>
      <c r="D469" s="20"/>
      <c r="E469" s="20"/>
      <c r="F469" s="37" t="s">
        <v>199</v>
      </c>
      <c r="G469" s="37" t="s">
        <v>149</v>
      </c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</row>
    <row r="470">
      <c r="A470" s="37" t="s">
        <v>1202</v>
      </c>
      <c r="B470" s="37">
        <v>2014.0</v>
      </c>
      <c r="C470" s="38" t="s">
        <v>1203</v>
      </c>
      <c r="D470" s="20"/>
      <c r="E470" s="20"/>
      <c r="F470" s="37" t="s">
        <v>86</v>
      </c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</row>
    <row r="471">
      <c r="A471" s="37" t="s">
        <v>1204</v>
      </c>
      <c r="B471" s="37">
        <v>2013.0</v>
      </c>
      <c r="C471" s="38" t="s">
        <v>1205</v>
      </c>
      <c r="D471" s="20"/>
      <c r="E471" s="20"/>
      <c r="F471" s="37" t="s">
        <v>187</v>
      </c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</row>
    <row r="472">
      <c r="A472" s="37" t="s">
        <v>1206</v>
      </c>
      <c r="B472" s="37">
        <v>2016.0</v>
      </c>
      <c r="C472" s="38" t="s">
        <v>1207</v>
      </c>
      <c r="D472" s="20"/>
      <c r="E472" s="20"/>
      <c r="F472" s="37" t="s">
        <v>86</v>
      </c>
      <c r="G472" s="20"/>
      <c r="H472" s="20"/>
      <c r="I472" s="20"/>
      <c r="J472" s="20"/>
      <c r="K472" s="37"/>
      <c r="L472" s="20"/>
      <c r="M472" s="20"/>
      <c r="N472" s="46" t="s">
        <v>109</v>
      </c>
      <c r="O472" s="49"/>
      <c r="P472" s="46" t="s">
        <v>113</v>
      </c>
      <c r="Q472" s="46" t="s">
        <v>138</v>
      </c>
      <c r="R472" s="46" t="s">
        <v>1208</v>
      </c>
      <c r="S472" s="20"/>
      <c r="T472" s="20"/>
      <c r="U472" s="20"/>
      <c r="V472" s="20"/>
      <c r="W472" s="20"/>
      <c r="X472" s="20"/>
      <c r="Y472" s="2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</row>
    <row r="473">
      <c r="A473" s="55" t="s">
        <v>1209</v>
      </c>
      <c r="B473" s="55">
        <v>2016.0</v>
      </c>
      <c r="C473" s="57" t="s">
        <v>1210</v>
      </c>
      <c r="D473" s="59"/>
      <c r="E473" s="59"/>
      <c r="F473" s="55" t="s">
        <v>130</v>
      </c>
      <c r="G473" s="55" t="s">
        <v>131</v>
      </c>
      <c r="H473" s="59"/>
      <c r="I473" s="82" t="s">
        <v>75</v>
      </c>
      <c r="J473" s="79" t="s">
        <v>274</v>
      </c>
      <c r="K473" s="55" t="s">
        <v>133</v>
      </c>
      <c r="L473" s="55" t="s">
        <v>134</v>
      </c>
      <c r="M473" s="55" t="s">
        <v>1211</v>
      </c>
      <c r="N473" s="55" t="s">
        <v>109</v>
      </c>
      <c r="O473" s="55" t="s">
        <v>251</v>
      </c>
      <c r="P473" s="55" t="s">
        <v>164</v>
      </c>
      <c r="Q473" s="55" t="s">
        <v>190</v>
      </c>
      <c r="R473" s="55" t="s">
        <v>166</v>
      </c>
      <c r="S473" s="55" t="s">
        <v>141</v>
      </c>
      <c r="T473" s="55" t="s">
        <v>142</v>
      </c>
      <c r="U473" s="59"/>
      <c r="V473" s="55" t="s">
        <v>95</v>
      </c>
      <c r="W473" s="55" t="s">
        <v>95</v>
      </c>
      <c r="X473" s="59"/>
      <c r="Y473" s="59"/>
      <c r="Z473" s="61" t="s">
        <v>505</v>
      </c>
      <c r="AA473" s="61" t="s">
        <v>1212</v>
      </c>
      <c r="AB473" s="40"/>
      <c r="AC473" s="40"/>
      <c r="AD473" s="40"/>
      <c r="AE473" s="40"/>
      <c r="AF473" s="40"/>
      <c r="AG473" s="40"/>
      <c r="AH473" s="40"/>
      <c r="AI473" s="40"/>
    </row>
    <row r="474">
      <c r="A474" s="37" t="s">
        <v>1213</v>
      </c>
      <c r="B474" s="37">
        <v>2014.0</v>
      </c>
      <c r="C474" s="38" t="s">
        <v>1214</v>
      </c>
      <c r="D474" s="20"/>
      <c r="E474" s="20"/>
      <c r="F474" s="37" t="s">
        <v>187</v>
      </c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</row>
    <row r="475">
      <c r="A475" s="55" t="s">
        <v>1215</v>
      </c>
      <c r="B475" s="55">
        <v>2015.0</v>
      </c>
      <c r="C475" s="57" t="s">
        <v>1216</v>
      </c>
      <c r="D475" s="59"/>
      <c r="E475" s="59"/>
      <c r="F475" s="55" t="s">
        <v>130</v>
      </c>
      <c r="G475" s="55" t="s">
        <v>131</v>
      </c>
      <c r="H475" s="59"/>
      <c r="I475" s="80" t="s">
        <v>108</v>
      </c>
      <c r="J475" s="80" t="s">
        <v>132</v>
      </c>
      <c r="K475" s="55" t="s">
        <v>133</v>
      </c>
      <c r="L475" s="59" t="s">
        <v>159</v>
      </c>
      <c r="M475" s="59"/>
      <c r="N475" s="59" t="s">
        <v>136</v>
      </c>
      <c r="O475" s="59"/>
      <c r="P475" s="55" t="s">
        <v>137</v>
      </c>
      <c r="Q475" s="55" t="s">
        <v>114</v>
      </c>
      <c r="R475" s="55" t="s">
        <v>166</v>
      </c>
      <c r="S475" s="55" t="s">
        <v>158</v>
      </c>
      <c r="T475" s="55" t="s">
        <v>142</v>
      </c>
      <c r="U475" s="59"/>
      <c r="V475" s="55" t="s">
        <v>95</v>
      </c>
      <c r="W475" s="55" t="s">
        <v>95</v>
      </c>
      <c r="X475" s="59"/>
      <c r="Y475" s="59"/>
      <c r="Z475" s="61" t="s">
        <v>143</v>
      </c>
      <c r="AA475" s="61" t="s">
        <v>629</v>
      </c>
      <c r="AB475" s="40"/>
      <c r="AC475" s="40"/>
      <c r="AD475" s="40"/>
      <c r="AE475" s="40"/>
      <c r="AF475" s="40"/>
      <c r="AG475" s="40"/>
      <c r="AH475" s="40"/>
      <c r="AI475" s="40"/>
    </row>
    <row r="476">
      <c r="A476" s="37" t="s">
        <v>1217</v>
      </c>
      <c r="B476" s="37">
        <v>2016.0</v>
      </c>
      <c r="C476" s="38" t="s">
        <v>1218</v>
      </c>
      <c r="D476" s="20"/>
      <c r="E476" s="20"/>
      <c r="F476" s="37" t="s">
        <v>86</v>
      </c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</row>
    <row r="477">
      <c r="A477" s="37" t="s">
        <v>1219</v>
      </c>
      <c r="B477" s="37">
        <v>2015.0</v>
      </c>
      <c r="C477" s="38" t="s">
        <v>1220</v>
      </c>
      <c r="D477" s="20"/>
      <c r="E477" s="20"/>
      <c r="F477" s="37" t="s">
        <v>86</v>
      </c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</row>
    <row r="478">
      <c r="A478" s="37" t="s">
        <v>1222</v>
      </c>
      <c r="B478" s="37">
        <v>2014.0</v>
      </c>
      <c r="C478" s="38" t="s">
        <v>1223</v>
      </c>
      <c r="D478" s="20"/>
      <c r="E478" s="20"/>
      <c r="F478" s="37" t="s">
        <v>490</v>
      </c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</row>
    <row r="479">
      <c r="A479" s="37" t="s">
        <v>1224</v>
      </c>
      <c r="B479" s="37">
        <v>2016.0</v>
      </c>
      <c r="C479" s="38" t="s">
        <v>1225</v>
      </c>
      <c r="D479" s="37" t="s">
        <v>95</v>
      </c>
      <c r="E479" s="20"/>
      <c r="F479" s="37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</row>
    <row r="480">
      <c r="A480" s="37" t="s">
        <v>1226</v>
      </c>
      <c r="B480" s="37">
        <v>2014.0</v>
      </c>
      <c r="C480" s="38" t="s">
        <v>1227</v>
      </c>
      <c r="D480" s="20"/>
      <c r="E480" s="20"/>
      <c r="F480" s="37" t="s">
        <v>199</v>
      </c>
      <c r="G480" s="37" t="s">
        <v>149</v>
      </c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</row>
    <row r="481">
      <c r="A481" s="37" t="s">
        <v>1228</v>
      </c>
      <c r="B481" s="37">
        <v>2015.0</v>
      </c>
      <c r="C481" s="38" t="s">
        <v>1229</v>
      </c>
      <c r="D481" s="20"/>
      <c r="E481" s="20"/>
      <c r="F481" s="37" t="s">
        <v>199</v>
      </c>
      <c r="G481" s="37" t="s">
        <v>149</v>
      </c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</row>
    <row r="482">
      <c r="A482" s="37" t="s">
        <v>1230</v>
      </c>
      <c r="B482" s="37">
        <v>2015.0</v>
      </c>
      <c r="C482" s="38" t="s">
        <v>1231</v>
      </c>
      <c r="D482" s="20"/>
      <c r="E482" s="20"/>
      <c r="F482" s="37" t="s">
        <v>130</v>
      </c>
      <c r="G482" s="37" t="s">
        <v>149</v>
      </c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</row>
    <row r="483">
      <c r="A483" s="37" t="s">
        <v>1232</v>
      </c>
      <c r="B483" s="37">
        <v>2016.0</v>
      </c>
      <c r="C483" s="38" t="s">
        <v>1233</v>
      </c>
      <c r="D483" s="20"/>
      <c r="E483" s="20"/>
      <c r="F483" s="37" t="s">
        <v>199</v>
      </c>
      <c r="G483" s="37" t="s">
        <v>149</v>
      </c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</row>
    <row r="484">
      <c r="A484" s="37" t="s">
        <v>1234</v>
      </c>
      <c r="B484" s="37">
        <v>2016.0</v>
      </c>
      <c r="C484" s="38" t="s">
        <v>1235</v>
      </c>
      <c r="D484" s="20"/>
      <c r="E484" s="20"/>
      <c r="F484" s="37" t="s">
        <v>187</v>
      </c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</row>
    <row r="485">
      <c r="A485" s="37" t="s">
        <v>1236</v>
      </c>
      <c r="B485" s="37">
        <v>2015.0</v>
      </c>
      <c r="C485" s="38" t="s">
        <v>1237</v>
      </c>
      <c r="D485" s="20"/>
      <c r="E485" s="20"/>
      <c r="F485" s="37" t="s">
        <v>199</v>
      </c>
      <c r="G485" s="37" t="s">
        <v>149</v>
      </c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</row>
    <row r="486">
      <c r="A486" s="37" t="s">
        <v>1238</v>
      </c>
      <c r="B486" s="37">
        <v>2015.0</v>
      </c>
      <c r="C486" s="38" t="s">
        <v>1239</v>
      </c>
      <c r="D486" s="20"/>
      <c r="E486" s="20"/>
      <c r="F486" s="37" t="s">
        <v>130</v>
      </c>
      <c r="G486" s="37" t="s">
        <v>149</v>
      </c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</row>
    <row r="487">
      <c r="A487" s="37" t="s">
        <v>1240</v>
      </c>
      <c r="B487" s="37">
        <v>2015.0</v>
      </c>
      <c r="C487" s="38" t="s">
        <v>1241</v>
      </c>
      <c r="D487" s="20"/>
      <c r="E487" s="20"/>
      <c r="F487" s="37" t="s">
        <v>130</v>
      </c>
      <c r="G487" s="37" t="s">
        <v>149</v>
      </c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</row>
    <row r="488">
      <c r="A488" s="37" t="s">
        <v>1242</v>
      </c>
      <c r="B488" s="37">
        <v>2013.0</v>
      </c>
      <c r="C488" s="38" t="s">
        <v>1243</v>
      </c>
      <c r="D488" s="20"/>
      <c r="E488" s="20"/>
      <c r="F488" s="37" t="s">
        <v>187</v>
      </c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</row>
    <row r="489">
      <c r="A489" s="37" t="s">
        <v>1244</v>
      </c>
      <c r="B489" s="37">
        <v>2015.0</v>
      </c>
      <c r="C489" s="38" t="s">
        <v>1245</v>
      </c>
      <c r="D489" s="20"/>
      <c r="E489" s="20"/>
      <c r="F489" s="37" t="s">
        <v>187</v>
      </c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</row>
    <row r="490">
      <c r="A490" s="37" t="s">
        <v>1246</v>
      </c>
      <c r="B490" s="37">
        <v>2015.0</v>
      </c>
      <c r="C490" s="38" t="s">
        <v>1247</v>
      </c>
      <c r="D490" s="20"/>
      <c r="E490" s="20"/>
      <c r="F490" s="37" t="s">
        <v>199</v>
      </c>
      <c r="G490" s="37" t="s">
        <v>149</v>
      </c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</row>
    <row r="491">
      <c r="A491" s="37" t="s">
        <v>1248</v>
      </c>
      <c r="B491" s="37">
        <v>2016.0</v>
      </c>
      <c r="C491" s="38" t="s">
        <v>1249</v>
      </c>
      <c r="D491" s="20"/>
      <c r="E491" s="20"/>
      <c r="F491" s="37" t="s">
        <v>187</v>
      </c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</row>
    <row r="492">
      <c r="A492" s="37" t="s">
        <v>1250</v>
      </c>
      <c r="B492" s="37">
        <v>2016.0</v>
      </c>
      <c r="C492" s="38" t="s">
        <v>1251</v>
      </c>
      <c r="D492" s="20"/>
      <c r="E492" s="20"/>
      <c r="F492" s="37" t="s">
        <v>86</v>
      </c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</row>
    <row r="493">
      <c r="A493" s="37" t="s">
        <v>1252</v>
      </c>
      <c r="B493" s="37">
        <v>2015.0</v>
      </c>
      <c r="C493" s="38" t="s">
        <v>1253</v>
      </c>
      <c r="D493" s="20"/>
      <c r="E493" s="20"/>
      <c r="F493" s="37" t="s">
        <v>86</v>
      </c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</row>
    <row r="494">
      <c r="A494" s="37" t="s">
        <v>1254</v>
      </c>
      <c r="B494" s="37">
        <v>2013.0</v>
      </c>
      <c r="C494" s="38" t="s">
        <v>1255</v>
      </c>
      <c r="D494" s="20"/>
      <c r="E494" s="20"/>
      <c r="F494" s="37" t="s">
        <v>490</v>
      </c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</row>
    <row r="495">
      <c r="A495" s="55" t="s">
        <v>1256</v>
      </c>
      <c r="B495" s="55">
        <v>2016.0</v>
      </c>
      <c r="C495" s="57" t="s">
        <v>1257</v>
      </c>
      <c r="D495" s="59"/>
      <c r="E495" s="59"/>
      <c r="F495" s="55" t="s">
        <v>130</v>
      </c>
      <c r="G495" s="55" t="s">
        <v>131</v>
      </c>
      <c r="H495" s="59"/>
      <c r="I495" s="55" t="s">
        <v>1125</v>
      </c>
      <c r="J495" s="55" t="s">
        <v>590</v>
      </c>
      <c r="K495" s="55" t="s">
        <v>133</v>
      </c>
      <c r="L495" s="59" t="s">
        <v>159</v>
      </c>
      <c r="M495" s="59"/>
      <c r="N495" s="55" t="s">
        <v>109</v>
      </c>
      <c r="O495" s="59"/>
      <c r="P495" s="55" t="s">
        <v>113</v>
      </c>
      <c r="Q495" s="55" t="s">
        <v>532</v>
      </c>
      <c r="R495" s="55" t="s">
        <v>1258</v>
      </c>
      <c r="S495" s="55" t="s">
        <v>158</v>
      </c>
      <c r="T495" s="55" t="s">
        <v>142</v>
      </c>
      <c r="U495" s="55" t="s">
        <v>95</v>
      </c>
      <c r="V495" s="59"/>
      <c r="W495" s="55" t="s">
        <v>95</v>
      </c>
      <c r="X495" s="59"/>
      <c r="Y495" s="59"/>
      <c r="Z495" s="61" t="s">
        <v>179</v>
      </c>
      <c r="AA495" s="61" t="s">
        <v>1259</v>
      </c>
      <c r="AB495" s="40"/>
      <c r="AC495" s="40"/>
      <c r="AD495" s="40"/>
      <c r="AE495" s="40"/>
      <c r="AF495" s="40"/>
      <c r="AG495" s="40"/>
      <c r="AH495" s="40"/>
      <c r="AI495" s="40"/>
    </row>
    <row r="496">
      <c r="A496" s="55" t="s">
        <v>1260</v>
      </c>
      <c r="B496" s="55">
        <v>2016.0</v>
      </c>
      <c r="C496" s="57" t="s">
        <v>1261</v>
      </c>
      <c r="D496" s="59"/>
      <c r="E496" s="59"/>
      <c r="F496" s="55" t="s">
        <v>130</v>
      </c>
      <c r="G496" s="55" t="s">
        <v>131</v>
      </c>
      <c r="H496" s="55">
        <v>143.0</v>
      </c>
      <c r="I496" s="80" t="s">
        <v>36</v>
      </c>
      <c r="J496" s="85" t="s">
        <v>1262</v>
      </c>
      <c r="K496" s="55" t="s">
        <v>658</v>
      </c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</row>
    <row r="497">
      <c r="A497" s="55" t="s">
        <v>1263</v>
      </c>
      <c r="B497" s="55">
        <v>2012.0</v>
      </c>
      <c r="C497" s="57" t="s">
        <v>1264</v>
      </c>
      <c r="D497" s="59"/>
      <c r="E497" s="59"/>
      <c r="F497" s="55" t="s">
        <v>130</v>
      </c>
      <c r="G497" s="55" t="s">
        <v>131</v>
      </c>
      <c r="H497" s="59"/>
      <c r="I497" s="55" t="s">
        <v>1125</v>
      </c>
      <c r="J497" s="55" t="s">
        <v>590</v>
      </c>
      <c r="K497" s="55" t="s">
        <v>133</v>
      </c>
      <c r="L497" s="59" t="s">
        <v>159</v>
      </c>
      <c r="M497" s="59"/>
      <c r="N497" s="55" t="s">
        <v>136</v>
      </c>
      <c r="O497" s="59"/>
      <c r="P497" s="55" t="s">
        <v>137</v>
      </c>
      <c r="Q497" s="55" t="s">
        <v>114</v>
      </c>
      <c r="R497" s="55" t="s">
        <v>166</v>
      </c>
      <c r="S497" s="55" t="s">
        <v>158</v>
      </c>
      <c r="T497" s="55" t="s">
        <v>142</v>
      </c>
      <c r="U497" s="55"/>
      <c r="V497" s="55" t="s">
        <v>95</v>
      </c>
      <c r="W497" s="55" t="s">
        <v>95</v>
      </c>
      <c r="X497" s="59"/>
      <c r="Y497" s="59"/>
      <c r="Z497" s="61" t="s">
        <v>260</v>
      </c>
      <c r="AA497" s="61" t="s">
        <v>344</v>
      </c>
      <c r="AB497" s="40"/>
      <c r="AC497" s="40"/>
      <c r="AD497" s="40"/>
      <c r="AE497" s="40"/>
      <c r="AF497" s="40"/>
      <c r="AG497" s="40"/>
      <c r="AH497" s="40"/>
      <c r="AI497" s="40"/>
    </row>
    <row r="498">
      <c r="A498" s="37" t="s">
        <v>1265</v>
      </c>
      <c r="B498" s="37">
        <v>2014.0</v>
      </c>
      <c r="C498" s="38" t="s">
        <v>1266</v>
      </c>
      <c r="D498" s="20"/>
      <c r="E498" s="20"/>
      <c r="F498" s="37" t="s">
        <v>130</v>
      </c>
      <c r="G498" s="37" t="s">
        <v>149</v>
      </c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</row>
    <row r="499">
      <c r="A499" s="61" t="s">
        <v>1267</v>
      </c>
      <c r="B499" s="61">
        <v>2013.0</v>
      </c>
      <c r="C499" s="99" t="s">
        <v>1268</v>
      </c>
      <c r="D499" s="61" t="s">
        <v>95</v>
      </c>
      <c r="E499" s="40"/>
      <c r="G499" s="40"/>
      <c r="I499" s="40"/>
      <c r="J499" s="40"/>
      <c r="K499" s="40"/>
      <c r="L499" s="40"/>
      <c r="M499" s="40"/>
      <c r="O499" s="40"/>
      <c r="P499" s="40"/>
      <c r="Q499" s="40"/>
      <c r="R499" s="40"/>
      <c r="S499" s="40"/>
      <c r="T499" s="40"/>
      <c r="U499" s="40"/>
      <c r="V499" s="40"/>
      <c r="W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</row>
    <row r="500">
      <c r="A500" s="61" t="s">
        <v>1269</v>
      </c>
      <c r="B500" s="61">
        <v>2015.0</v>
      </c>
      <c r="C500" s="99" t="s">
        <v>1270</v>
      </c>
      <c r="D500" s="61" t="s">
        <v>95</v>
      </c>
      <c r="E500" s="40"/>
      <c r="G500" s="40"/>
      <c r="I500" s="40"/>
      <c r="J500" s="40"/>
      <c r="K500" s="40"/>
      <c r="L500" s="40"/>
      <c r="M500" s="40"/>
      <c r="O500" s="40"/>
      <c r="P500" s="40"/>
      <c r="Q500" s="40"/>
      <c r="R500" s="40"/>
      <c r="S500" s="40"/>
      <c r="T500" s="40"/>
      <c r="U500" s="40"/>
      <c r="V500" s="40"/>
      <c r="W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</row>
    <row r="501">
      <c r="A501" s="13" t="s">
        <v>1271</v>
      </c>
      <c r="B501" s="61">
        <v>2014.0</v>
      </c>
      <c r="C501" s="100" t="s">
        <v>1272</v>
      </c>
      <c r="F501" s="61" t="s">
        <v>86</v>
      </c>
      <c r="K501" s="13" t="s">
        <v>152</v>
      </c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</row>
    <row r="502">
      <c r="A502" s="61" t="s">
        <v>1273</v>
      </c>
      <c r="B502" s="61">
        <v>2012.0</v>
      </c>
      <c r="C502" s="99" t="s">
        <v>1274</v>
      </c>
      <c r="D502" s="61" t="s">
        <v>95</v>
      </c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</row>
    <row r="503">
      <c r="A503" s="55" t="s">
        <v>1275</v>
      </c>
      <c r="B503" s="55">
        <v>2014.0</v>
      </c>
      <c r="C503" s="57" t="s">
        <v>1276</v>
      </c>
      <c r="D503" s="59"/>
      <c r="E503" s="59"/>
      <c r="F503" s="55" t="s">
        <v>130</v>
      </c>
      <c r="G503" s="55" t="s">
        <v>131</v>
      </c>
      <c r="H503" s="59"/>
      <c r="I503" s="55" t="s">
        <v>1125</v>
      </c>
      <c r="J503" s="55" t="s">
        <v>590</v>
      </c>
      <c r="K503" s="55" t="s">
        <v>158</v>
      </c>
      <c r="L503" s="59" t="s">
        <v>159</v>
      </c>
      <c r="M503" s="59"/>
      <c r="N503" s="59" t="s">
        <v>109</v>
      </c>
      <c r="O503" s="59" t="s">
        <v>1277</v>
      </c>
      <c r="P503" s="59" t="s">
        <v>164</v>
      </c>
      <c r="Q503" s="59" t="s">
        <v>1278</v>
      </c>
      <c r="R503" s="59" t="s">
        <v>166</v>
      </c>
      <c r="S503" s="59" t="s">
        <v>158</v>
      </c>
      <c r="T503" s="59" t="s">
        <v>142</v>
      </c>
      <c r="U503" s="59" t="s">
        <v>95</v>
      </c>
      <c r="V503" s="59"/>
      <c r="W503" s="59"/>
      <c r="X503" s="59" t="s">
        <v>95</v>
      </c>
      <c r="Y503" s="59"/>
      <c r="Z503" s="61" t="s">
        <v>277</v>
      </c>
      <c r="AA503" s="61" t="s">
        <v>1279</v>
      </c>
      <c r="AB503" s="40"/>
      <c r="AC503" s="40"/>
      <c r="AD503" s="40"/>
      <c r="AE503" s="40"/>
      <c r="AF503" s="40"/>
      <c r="AG503" s="40"/>
      <c r="AH503" s="40"/>
      <c r="AI503" s="40"/>
    </row>
    <row r="504">
      <c r="A504" s="13" t="s">
        <v>1280</v>
      </c>
      <c r="B504" s="61">
        <v>2014.0</v>
      </c>
      <c r="C504" s="100" t="s">
        <v>1281</v>
      </c>
      <c r="D504" s="13" t="s">
        <v>95</v>
      </c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</row>
    <row r="505">
      <c r="A505" s="13" t="s">
        <v>1282</v>
      </c>
      <c r="B505" s="61">
        <v>2014.0</v>
      </c>
      <c r="C505" s="100" t="s">
        <v>1283</v>
      </c>
      <c r="F505" s="61" t="s">
        <v>86</v>
      </c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</row>
    <row r="506">
      <c r="A506" s="13" t="s">
        <v>1284</v>
      </c>
      <c r="B506" s="61">
        <v>2014.0</v>
      </c>
      <c r="C506" s="100" t="s">
        <v>1285</v>
      </c>
      <c r="D506" s="13" t="s">
        <v>95</v>
      </c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</row>
    <row r="507">
      <c r="A507" s="13" t="s">
        <v>1286</v>
      </c>
      <c r="B507" s="61">
        <v>2015.0</v>
      </c>
      <c r="C507" s="100" t="s">
        <v>1287</v>
      </c>
      <c r="D507" s="13" t="s">
        <v>95</v>
      </c>
      <c r="K507" s="13" t="s">
        <v>152</v>
      </c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</row>
    <row r="508">
      <c r="A508" s="13" t="s">
        <v>1288</v>
      </c>
      <c r="B508" s="61">
        <v>2014.0</v>
      </c>
      <c r="C508" s="100" t="s">
        <v>1289</v>
      </c>
      <c r="F508" s="13" t="s">
        <v>91</v>
      </c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</row>
    <row r="509">
      <c r="A509" s="13" t="s">
        <v>1290</v>
      </c>
      <c r="B509" s="61">
        <v>2014.0</v>
      </c>
      <c r="C509" s="100" t="s">
        <v>1291</v>
      </c>
      <c r="F509" s="13" t="s">
        <v>91</v>
      </c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</row>
    <row r="510">
      <c r="A510" s="13" t="s">
        <v>1292</v>
      </c>
      <c r="B510" s="61">
        <v>2013.0</v>
      </c>
      <c r="C510" s="100" t="s">
        <v>1293</v>
      </c>
      <c r="D510" s="13" t="s">
        <v>95</v>
      </c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</row>
    <row r="511">
      <c r="A511" s="55" t="s">
        <v>1294</v>
      </c>
      <c r="B511" s="55">
        <v>2015.0</v>
      </c>
      <c r="C511" s="57" t="s">
        <v>1295</v>
      </c>
      <c r="D511" s="55" t="s">
        <v>95</v>
      </c>
      <c r="E511" s="59"/>
      <c r="F511" s="59"/>
      <c r="G511" s="55" t="s">
        <v>131</v>
      </c>
      <c r="H511" s="59"/>
      <c r="I511" s="79" t="s">
        <v>125</v>
      </c>
      <c r="J511" s="79" t="s">
        <v>132</v>
      </c>
      <c r="K511" s="55" t="s">
        <v>658</v>
      </c>
      <c r="L511" s="55" t="s">
        <v>159</v>
      </c>
      <c r="M511" s="59"/>
      <c r="N511" s="55" t="s">
        <v>136</v>
      </c>
      <c r="O511" s="59"/>
      <c r="P511" s="55" t="s">
        <v>137</v>
      </c>
      <c r="Q511" s="55" t="s">
        <v>114</v>
      </c>
      <c r="R511" s="55" t="s">
        <v>178</v>
      </c>
      <c r="S511" s="55" t="s">
        <v>343</v>
      </c>
      <c r="T511" s="55" t="s">
        <v>158</v>
      </c>
      <c r="U511" s="59"/>
      <c r="V511" s="59"/>
      <c r="W511" s="59"/>
      <c r="X511" s="59"/>
      <c r="Y511" s="59"/>
      <c r="Z511" s="61" t="s">
        <v>143</v>
      </c>
      <c r="AA511" s="61" t="s">
        <v>145</v>
      </c>
      <c r="AB511" s="40"/>
      <c r="AC511" s="40"/>
      <c r="AD511" s="40"/>
      <c r="AE511" s="40"/>
      <c r="AF511" s="40"/>
      <c r="AG511" s="40"/>
      <c r="AH511" s="40"/>
      <c r="AI511" s="40"/>
    </row>
    <row r="512">
      <c r="A512" s="13" t="s">
        <v>1296</v>
      </c>
      <c r="B512" s="61">
        <v>2015.0</v>
      </c>
      <c r="C512" s="100" t="s">
        <v>1297</v>
      </c>
      <c r="D512" s="13" t="s">
        <v>95</v>
      </c>
    </row>
    <row r="513">
      <c r="A513" s="13" t="s">
        <v>1298</v>
      </c>
      <c r="B513" s="61">
        <v>2013.0</v>
      </c>
      <c r="C513" s="100" t="s">
        <v>1299</v>
      </c>
      <c r="D513" s="13" t="s">
        <v>95</v>
      </c>
    </row>
    <row r="514">
      <c r="A514" s="13" t="s">
        <v>1300</v>
      </c>
      <c r="B514" s="61">
        <v>2014.0</v>
      </c>
      <c r="C514" s="100" t="s">
        <v>1301</v>
      </c>
      <c r="D514" s="13" t="s">
        <v>95</v>
      </c>
      <c r="K514" s="13" t="s">
        <v>152</v>
      </c>
    </row>
    <row r="515">
      <c r="A515" s="13" t="s">
        <v>1302</v>
      </c>
      <c r="B515" s="61">
        <v>2015.0</v>
      </c>
      <c r="C515" s="100" t="s">
        <v>1303</v>
      </c>
      <c r="F515" s="13" t="s">
        <v>91</v>
      </c>
    </row>
    <row r="516">
      <c r="A516" s="13" t="s">
        <v>1304</v>
      </c>
      <c r="B516" s="61">
        <v>2015.0</v>
      </c>
      <c r="C516" s="100" t="s">
        <v>1305</v>
      </c>
      <c r="D516" s="13" t="s">
        <v>95</v>
      </c>
    </row>
    <row r="517">
      <c r="A517" s="13" t="s">
        <v>1306</v>
      </c>
      <c r="B517" s="61">
        <v>2015.0</v>
      </c>
      <c r="C517" s="100" t="s">
        <v>1307</v>
      </c>
      <c r="D517" s="13" t="s">
        <v>95</v>
      </c>
    </row>
    <row r="518">
      <c r="A518" s="13" t="s">
        <v>1308</v>
      </c>
      <c r="B518" s="61">
        <v>2015.0</v>
      </c>
      <c r="C518" s="100" t="s">
        <v>1309</v>
      </c>
      <c r="F518" s="61" t="s">
        <v>86</v>
      </c>
    </row>
    <row r="519">
      <c r="A519" s="13" t="s">
        <v>1310</v>
      </c>
      <c r="B519" s="61">
        <v>2014.0</v>
      </c>
      <c r="C519" s="100" t="s">
        <v>1311</v>
      </c>
      <c r="D519" s="13" t="s">
        <v>95</v>
      </c>
    </row>
    <row r="520">
      <c r="A520" s="13" t="s">
        <v>1312</v>
      </c>
      <c r="B520" s="61">
        <v>2014.0</v>
      </c>
      <c r="C520" s="100" t="s">
        <v>1313</v>
      </c>
      <c r="F520" s="61" t="s">
        <v>86</v>
      </c>
      <c r="K520" s="13" t="s">
        <v>152</v>
      </c>
    </row>
    <row r="521">
      <c r="A521" s="13" t="s">
        <v>1314</v>
      </c>
      <c r="B521" s="61">
        <v>2015.0</v>
      </c>
      <c r="C521" s="100" t="s">
        <v>1315</v>
      </c>
      <c r="D521" s="13" t="s">
        <v>95</v>
      </c>
    </row>
    <row r="522">
      <c r="A522" s="13" t="s">
        <v>1316</v>
      </c>
      <c r="B522" s="61">
        <v>2015.0</v>
      </c>
      <c r="C522" s="100" t="s">
        <v>1317</v>
      </c>
      <c r="D522" s="13" t="s">
        <v>95</v>
      </c>
    </row>
    <row r="523">
      <c r="A523" s="13" t="s">
        <v>1318</v>
      </c>
      <c r="B523" s="61">
        <v>2014.0</v>
      </c>
      <c r="C523" s="100" t="s">
        <v>1319</v>
      </c>
      <c r="F523" s="61" t="s">
        <v>86</v>
      </c>
    </row>
    <row r="524">
      <c r="A524" s="13" t="s">
        <v>1320</v>
      </c>
      <c r="B524" s="61">
        <v>2015.0</v>
      </c>
      <c r="C524" s="100" t="s">
        <v>1321</v>
      </c>
      <c r="F524" s="13" t="s">
        <v>86</v>
      </c>
    </row>
    <row r="525">
      <c r="A525" s="13" t="s">
        <v>1322</v>
      </c>
      <c r="B525" s="61">
        <v>2014.0</v>
      </c>
      <c r="C525" s="100" t="s">
        <v>1323</v>
      </c>
      <c r="D525" s="13" t="s">
        <v>95</v>
      </c>
    </row>
    <row r="526">
      <c r="A526" s="13" t="s">
        <v>1324</v>
      </c>
      <c r="B526" s="61">
        <v>2015.0</v>
      </c>
      <c r="C526" s="100" t="s">
        <v>1325</v>
      </c>
      <c r="D526" s="13" t="s">
        <v>95</v>
      </c>
    </row>
    <row r="527">
      <c r="A527" s="13" t="s">
        <v>1326</v>
      </c>
      <c r="B527" s="61">
        <v>2015.0</v>
      </c>
      <c r="C527" s="100" t="s">
        <v>1327</v>
      </c>
      <c r="F527" s="61" t="s">
        <v>86</v>
      </c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</row>
    <row r="528">
      <c r="A528" s="13" t="s">
        <v>1328</v>
      </c>
      <c r="B528" s="61">
        <v>2014.0</v>
      </c>
      <c r="C528" s="100" t="s">
        <v>1329</v>
      </c>
      <c r="D528" s="13" t="s">
        <v>95</v>
      </c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</row>
    <row r="529">
      <c r="A529" s="13" t="s">
        <v>1330</v>
      </c>
      <c r="B529" s="61">
        <v>2015.0</v>
      </c>
      <c r="C529" s="100" t="s">
        <v>1331</v>
      </c>
      <c r="D529" s="13" t="s">
        <v>95</v>
      </c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</row>
    <row r="530">
      <c r="A530" s="13" t="s">
        <v>1332</v>
      </c>
      <c r="B530" s="61">
        <v>2014.0</v>
      </c>
      <c r="C530" s="100" t="s">
        <v>1333</v>
      </c>
      <c r="D530" s="13" t="s">
        <v>95</v>
      </c>
      <c r="K530" s="13" t="s">
        <v>152</v>
      </c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</row>
    <row r="531">
      <c r="A531" s="13" t="s">
        <v>1334</v>
      </c>
      <c r="B531" s="61">
        <v>2013.0</v>
      </c>
      <c r="C531" s="100" t="s">
        <v>1335</v>
      </c>
      <c r="D531" s="13" t="s">
        <v>95</v>
      </c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</row>
    <row r="532">
      <c r="A532" s="13" t="s">
        <v>1336</v>
      </c>
      <c r="B532" s="61">
        <v>2010.0</v>
      </c>
      <c r="C532" s="100" t="s">
        <v>1337</v>
      </c>
      <c r="D532" s="13" t="s">
        <v>95</v>
      </c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</row>
    <row r="533">
      <c r="A533" s="13" t="s">
        <v>1338</v>
      </c>
      <c r="B533" s="61">
        <v>2013.0</v>
      </c>
      <c r="C533" s="100" t="s">
        <v>1339</v>
      </c>
      <c r="D533" s="13" t="s">
        <v>95</v>
      </c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</row>
    <row r="534">
      <c r="A534" s="61" t="s">
        <v>1340</v>
      </c>
      <c r="B534" s="61">
        <v>2015.0</v>
      </c>
      <c r="C534" s="100" t="s">
        <v>1341</v>
      </c>
      <c r="F534" s="61" t="s">
        <v>86</v>
      </c>
      <c r="K534" s="13" t="s">
        <v>152</v>
      </c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</row>
    <row r="535">
      <c r="A535" s="13" t="s">
        <v>1342</v>
      </c>
      <c r="B535" s="61">
        <v>2015.0</v>
      </c>
      <c r="C535" s="100" t="s">
        <v>1343</v>
      </c>
      <c r="D535" s="13" t="s">
        <v>95</v>
      </c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</row>
    <row r="536">
      <c r="A536" s="13" t="s">
        <v>1344</v>
      </c>
      <c r="B536" s="61">
        <v>2011.0</v>
      </c>
      <c r="C536" s="100" t="s">
        <v>1345</v>
      </c>
      <c r="D536" s="13" t="s">
        <v>95</v>
      </c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</row>
    <row r="537">
      <c r="A537" s="13" t="s">
        <v>1346</v>
      </c>
      <c r="B537" s="61">
        <v>2011.0</v>
      </c>
      <c r="C537" s="100" t="s">
        <v>1347</v>
      </c>
      <c r="D537" s="13" t="s">
        <v>95</v>
      </c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</row>
    <row r="538">
      <c r="A538" s="13" t="s">
        <v>1348</v>
      </c>
      <c r="B538" s="61">
        <v>2014.0</v>
      </c>
      <c r="C538" s="100" t="s">
        <v>1349</v>
      </c>
      <c r="D538" s="13" t="s">
        <v>95</v>
      </c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</row>
    <row r="539">
      <c r="A539" s="13" t="s">
        <v>1350</v>
      </c>
      <c r="B539" s="61">
        <v>2015.0</v>
      </c>
      <c r="C539" s="100" t="s">
        <v>1351</v>
      </c>
      <c r="D539" s="13" t="s">
        <v>95</v>
      </c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</row>
    <row r="540">
      <c r="A540" s="13" t="s">
        <v>1352</v>
      </c>
      <c r="B540" s="61">
        <v>2014.0</v>
      </c>
      <c r="C540" s="100" t="s">
        <v>1353</v>
      </c>
      <c r="F540" s="13" t="s">
        <v>86</v>
      </c>
      <c r="K540" s="13" t="s">
        <v>152</v>
      </c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</row>
    <row r="541">
      <c r="A541" s="13" t="s">
        <v>1354</v>
      </c>
      <c r="B541" s="61">
        <v>2014.0</v>
      </c>
      <c r="C541" s="100" t="s">
        <v>1355</v>
      </c>
      <c r="D541" s="13" t="s">
        <v>95</v>
      </c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</row>
    <row r="542">
      <c r="A542" s="13" t="s">
        <v>1356</v>
      </c>
      <c r="B542" s="61">
        <v>2015.0</v>
      </c>
      <c r="C542" s="100" t="s">
        <v>1357</v>
      </c>
      <c r="D542" s="13" t="s">
        <v>95</v>
      </c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</row>
    <row r="543">
      <c r="A543" s="55" t="s">
        <v>1358</v>
      </c>
      <c r="B543" s="55">
        <v>2015.0</v>
      </c>
      <c r="C543" s="57" t="s">
        <v>1359</v>
      </c>
      <c r="D543" s="59"/>
      <c r="E543" s="59"/>
      <c r="F543" s="55" t="s">
        <v>130</v>
      </c>
      <c r="G543" s="55" t="s">
        <v>131</v>
      </c>
      <c r="H543" s="59"/>
      <c r="I543" s="79" t="s">
        <v>118</v>
      </c>
      <c r="J543" s="79" t="s">
        <v>274</v>
      </c>
      <c r="K543" s="55" t="s">
        <v>158</v>
      </c>
      <c r="L543" s="59" t="s">
        <v>159</v>
      </c>
      <c r="M543" s="59"/>
      <c r="N543" s="59" t="s">
        <v>446</v>
      </c>
      <c r="O543" s="59"/>
      <c r="P543" s="59" t="s">
        <v>137</v>
      </c>
      <c r="Q543" s="59" t="s">
        <v>532</v>
      </c>
      <c r="R543" s="59" t="s">
        <v>439</v>
      </c>
      <c r="S543" s="59" t="s">
        <v>158</v>
      </c>
      <c r="T543" s="55" t="s">
        <v>142</v>
      </c>
      <c r="U543" s="59"/>
      <c r="V543" s="55" t="s">
        <v>95</v>
      </c>
      <c r="W543" s="55" t="s">
        <v>95</v>
      </c>
      <c r="X543" s="59"/>
      <c r="Y543" s="59"/>
      <c r="Z543" s="61" t="s">
        <v>179</v>
      </c>
      <c r="AA543" s="61" t="s">
        <v>1360</v>
      </c>
      <c r="AB543" s="40"/>
      <c r="AC543" s="40"/>
      <c r="AD543" s="40"/>
      <c r="AE543" s="40"/>
      <c r="AF543" s="40"/>
      <c r="AG543" s="40"/>
      <c r="AH543" s="40"/>
      <c r="AI543" s="40"/>
    </row>
    <row r="544">
      <c r="A544" s="13" t="s">
        <v>1361</v>
      </c>
      <c r="B544" s="61">
        <v>2016.0</v>
      </c>
      <c r="C544" s="100" t="s">
        <v>1362</v>
      </c>
      <c r="D544" s="13" t="s">
        <v>95</v>
      </c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</row>
    <row r="545">
      <c r="A545" s="55" t="s">
        <v>1363</v>
      </c>
      <c r="B545" s="55">
        <v>2016.0</v>
      </c>
      <c r="C545" s="57" t="s">
        <v>1364</v>
      </c>
      <c r="D545" s="59"/>
      <c r="E545" s="59"/>
      <c r="F545" s="55" t="s">
        <v>130</v>
      </c>
      <c r="G545" s="55" t="s">
        <v>131</v>
      </c>
      <c r="H545" s="59"/>
      <c r="I545" s="80" t="s">
        <v>120</v>
      </c>
      <c r="J545" s="80" t="s">
        <v>274</v>
      </c>
      <c r="K545" s="55" t="s">
        <v>133</v>
      </c>
      <c r="L545" s="59" t="s">
        <v>159</v>
      </c>
      <c r="M545" s="59"/>
      <c r="N545" s="55" t="s">
        <v>446</v>
      </c>
      <c r="O545" s="55" t="s">
        <v>251</v>
      </c>
      <c r="P545" s="55" t="s">
        <v>164</v>
      </c>
      <c r="Q545" s="55" t="s">
        <v>165</v>
      </c>
      <c r="R545" s="55" t="s">
        <v>178</v>
      </c>
      <c r="S545" s="55" t="s">
        <v>343</v>
      </c>
      <c r="T545" s="55" t="s">
        <v>158</v>
      </c>
      <c r="U545" s="59"/>
      <c r="V545" s="59"/>
      <c r="W545" s="59"/>
      <c r="X545" s="59"/>
      <c r="Y545" s="59"/>
      <c r="Z545" s="61" t="s">
        <v>260</v>
      </c>
      <c r="AA545" s="61" t="s">
        <v>1134</v>
      </c>
      <c r="AB545" s="40"/>
      <c r="AC545" s="40"/>
      <c r="AD545" s="40"/>
      <c r="AE545" s="40"/>
      <c r="AF545" s="40"/>
      <c r="AG545" s="40"/>
      <c r="AH545" s="40"/>
      <c r="AI545" s="40"/>
    </row>
    <row r="546">
      <c r="A546" s="13" t="s">
        <v>1365</v>
      </c>
      <c r="B546" s="61">
        <v>2016.0</v>
      </c>
      <c r="C546" s="100" t="s">
        <v>1366</v>
      </c>
      <c r="D546" s="13" t="s">
        <v>95</v>
      </c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</row>
    <row r="547">
      <c r="A547" s="13" t="s">
        <v>1367</v>
      </c>
      <c r="B547" s="61">
        <v>2016.0</v>
      </c>
      <c r="C547" s="100" t="s">
        <v>1368</v>
      </c>
      <c r="F547" s="13" t="s">
        <v>86</v>
      </c>
      <c r="K547" s="13" t="s">
        <v>152</v>
      </c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</row>
    <row r="548">
      <c r="A548" s="13" t="s">
        <v>1369</v>
      </c>
      <c r="B548" s="61">
        <v>2016.0</v>
      </c>
      <c r="C548" s="100" t="s">
        <v>1370</v>
      </c>
      <c r="D548" s="13" t="s">
        <v>95</v>
      </c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</row>
    <row r="549">
      <c r="A549" s="13" t="s">
        <v>1371</v>
      </c>
      <c r="B549" s="61">
        <v>2016.0</v>
      </c>
      <c r="C549" s="100" t="s">
        <v>1372</v>
      </c>
      <c r="D549" s="13" t="s">
        <v>95</v>
      </c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</row>
    <row r="550">
      <c r="A550" s="13" t="s">
        <v>1373</v>
      </c>
      <c r="B550" s="61">
        <v>2016.0</v>
      </c>
      <c r="C550" s="100" t="s">
        <v>1374</v>
      </c>
      <c r="D550" s="13" t="s">
        <v>95</v>
      </c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</row>
    <row r="551">
      <c r="A551" s="13" t="s">
        <v>1375</v>
      </c>
      <c r="B551" s="61">
        <v>2016.0</v>
      </c>
      <c r="C551" s="100" t="s">
        <v>1376</v>
      </c>
      <c r="D551" s="13" t="s">
        <v>95</v>
      </c>
      <c r="K551" s="13" t="s">
        <v>152</v>
      </c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</row>
    <row r="552">
      <c r="A552" s="13" t="s">
        <v>1377</v>
      </c>
      <c r="B552" s="61">
        <v>2016.0</v>
      </c>
      <c r="C552" s="100" t="s">
        <v>603</v>
      </c>
      <c r="F552" s="13" t="s">
        <v>86</v>
      </c>
      <c r="K552" s="13" t="s">
        <v>152</v>
      </c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</row>
    <row r="553">
      <c r="A553" s="61" t="s">
        <v>1378</v>
      </c>
      <c r="B553" s="61">
        <v>2015.0</v>
      </c>
      <c r="C553" s="99" t="s">
        <v>1379</v>
      </c>
      <c r="D553" s="61" t="s">
        <v>95</v>
      </c>
      <c r="E553" s="40"/>
      <c r="F553" s="61"/>
      <c r="G553" s="61"/>
      <c r="H553" s="40"/>
      <c r="I553" s="101"/>
      <c r="J553" s="101" t="s">
        <v>132</v>
      </c>
      <c r="K553" s="61" t="s">
        <v>133</v>
      </c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</row>
    <row r="554">
      <c r="A554" s="13" t="s">
        <v>1380</v>
      </c>
      <c r="B554" s="61">
        <v>2016.0</v>
      </c>
      <c r="C554" s="100" t="s">
        <v>1381</v>
      </c>
      <c r="F554" s="13" t="s">
        <v>130</v>
      </c>
      <c r="G554" s="13" t="s">
        <v>149</v>
      </c>
      <c r="M554" s="46" t="s">
        <v>104</v>
      </c>
      <c r="N554" s="46" t="s">
        <v>136</v>
      </c>
      <c r="O554" s="49"/>
      <c r="P554" s="46" t="s">
        <v>113</v>
      </c>
      <c r="Q554" s="46" t="s">
        <v>224</v>
      </c>
      <c r="R554" s="46" t="s">
        <v>1382</v>
      </c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</row>
    <row r="555">
      <c r="A555" s="55" t="s">
        <v>1383</v>
      </c>
      <c r="B555" s="55">
        <v>2016.0</v>
      </c>
      <c r="C555" s="57" t="s">
        <v>1384</v>
      </c>
      <c r="D555" s="59"/>
      <c r="E555" s="59"/>
      <c r="F555" s="55" t="s">
        <v>130</v>
      </c>
      <c r="G555" s="55" t="s">
        <v>131</v>
      </c>
      <c r="H555" s="55"/>
      <c r="I555" s="55" t="s">
        <v>1385</v>
      </c>
      <c r="J555" s="55" t="s">
        <v>590</v>
      </c>
      <c r="K555" s="55" t="s">
        <v>133</v>
      </c>
      <c r="L555" s="55" t="s">
        <v>134</v>
      </c>
      <c r="M555" s="55" t="s">
        <v>1386</v>
      </c>
      <c r="N555" s="55" t="s">
        <v>136</v>
      </c>
      <c r="O555" s="55" t="s">
        <v>177</v>
      </c>
      <c r="P555" s="55" t="s">
        <v>137</v>
      </c>
      <c r="Q555" s="55" t="s">
        <v>224</v>
      </c>
      <c r="R555" s="55" t="s">
        <v>178</v>
      </c>
      <c r="S555" s="55" t="s">
        <v>343</v>
      </c>
      <c r="T555" s="55" t="s">
        <v>142</v>
      </c>
      <c r="U555" s="59"/>
      <c r="V555" s="55" t="s">
        <v>95</v>
      </c>
      <c r="W555" s="59"/>
      <c r="X555" s="59"/>
      <c r="Y555" s="59"/>
      <c r="Z555" s="61" t="s">
        <v>143</v>
      </c>
      <c r="AA555" s="61" t="s">
        <v>145</v>
      </c>
      <c r="AB555" s="40"/>
      <c r="AC555" s="40"/>
      <c r="AD555" s="40"/>
      <c r="AE555" s="40"/>
      <c r="AF555" s="40"/>
      <c r="AG555" s="40"/>
      <c r="AH555" s="40"/>
      <c r="AI555" s="40"/>
    </row>
    <row r="556">
      <c r="A556" s="55" t="s">
        <v>1387</v>
      </c>
      <c r="B556" s="55">
        <v>2016.0</v>
      </c>
      <c r="C556" s="57" t="s">
        <v>1388</v>
      </c>
      <c r="D556" s="59"/>
      <c r="E556" s="59"/>
      <c r="F556" s="55" t="s">
        <v>130</v>
      </c>
      <c r="G556" s="55" t="s">
        <v>131</v>
      </c>
      <c r="H556" s="59"/>
      <c r="I556" s="55" t="s">
        <v>1385</v>
      </c>
      <c r="J556" s="55" t="s">
        <v>590</v>
      </c>
      <c r="K556" s="55" t="s">
        <v>133</v>
      </c>
      <c r="L556" s="59" t="s">
        <v>159</v>
      </c>
      <c r="M556" s="59"/>
      <c r="N556" s="55" t="s">
        <v>136</v>
      </c>
      <c r="O556" s="59"/>
      <c r="P556" s="55" t="s">
        <v>137</v>
      </c>
      <c r="Q556" s="59" t="s">
        <v>224</v>
      </c>
      <c r="R556" s="55" t="s">
        <v>1389</v>
      </c>
      <c r="S556" s="55" t="s">
        <v>343</v>
      </c>
      <c r="T556" s="55" t="s">
        <v>142</v>
      </c>
      <c r="U556" s="55" t="s">
        <v>95</v>
      </c>
      <c r="V556" s="55" t="s">
        <v>95</v>
      </c>
      <c r="W556" s="55" t="s">
        <v>95</v>
      </c>
      <c r="X556" s="55"/>
      <c r="Y556" s="55" t="s">
        <v>95</v>
      </c>
      <c r="Z556" s="61" t="s">
        <v>260</v>
      </c>
      <c r="AA556" s="61" t="s">
        <v>1390</v>
      </c>
      <c r="AB556" s="40"/>
      <c r="AC556" s="40"/>
      <c r="AD556" s="40"/>
      <c r="AE556" s="40"/>
      <c r="AF556" s="40"/>
      <c r="AG556" s="40"/>
      <c r="AH556" s="40"/>
      <c r="AI556" s="40"/>
    </row>
    <row r="557">
      <c r="A557" s="13" t="s">
        <v>1391</v>
      </c>
      <c r="B557" s="61">
        <v>2016.0</v>
      </c>
      <c r="C557" s="100" t="s">
        <v>1392</v>
      </c>
      <c r="D557" s="13" t="s">
        <v>95</v>
      </c>
      <c r="K557" s="13" t="s">
        <v>152</v>
      </c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</row>
    <row r="558">
      <c r="A558" s="13" t="s">
        <v>1393</v>
      </c>
      <c r="B558" s="61">
        <v>2016.0</v>
      </c>
      <c r="C558" s="100" t="s">
        <v>1394</v>
      </c>
      <c r="D558" s="13" t="s">
        <v>95</v>
      </c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</row>
    <row r="559">
      <c r="A559" s="13" t="s">
        <v>1395</v>
      </c>
      <c r="B559" s="61">
        <v>2016.0</v>
      </c>
      <c r="C559" s="100" t="s">
        <v>1396</v>
      </c>
      <c r="D559" s="13" t="s">
        <v>95</v>
      </c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</row>
    <row r="560">
      <c r="A560" s="13" t="s">
        <v>1397</v>
      </c>
      <c r="B560" s="61">
        <v>2016.0</v>
      </c>
      <c r="C560" s="100" t="s">
        <v>1398</v>
      </c>
      <c r="F560" s="13" t="s">
        <v>86</v>
      </c>
      <c r="K560" s="13" t="s">
        <v>152</v>
      </c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</row>
    <row r="561">
      <c r="A561" s="13" t="s">
        <v>1399</v>
      </c>
      <c r="B561" s="61">
        <v>2016.0</v>
      </c>
      <c r="C561" s="100" t="s">
        <v>1400</v>
      </c>
      <c r="D561" s="13" t="s">
        <v>95</v>
      </c>
      <c r="F561" s="13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</row>
    <row r="562">
      <c r="A562" s="13" t="s">
        <v>1401</v>
      </c>
      <c r="B562" s="61">
        <v>2016.0</v>
      </c>
      <c r="C562" s="100" t="s">
        <v>1402</v>
      </c>
      <c r="D562" s="13" t="s">
        <v>95</v>
      </c>
      <c r="F562" s="13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</row>
    <row r="563">
      <c r="A563" s="13" t="s">
        <v>1403</v>
      </c>
      <c r="B563" s="61">
        <v>2015.0</v>
      </c>
      <c r="C563" s="100" t="s">
        <v>1404</v>
      </c>
      <c r="D563" s="13" t="s">
        <v>95</v>
      </c>
      <c r="F563" s="13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</row>
    <row r="564">
      <c r="A564" s="88" t="s">
        <v>1405</v>
      </c>
      <c r="B564" s="55">
        <v>2014.0</v>
      </c>
      <c r="C564" s="57" t="s">
        <v>1406</v>
      </c>
      <c r="D564" s="59"/>
      <c r="E564" s="59"/>
      <c r="F564" s="55" t="s">
        <v>130</v>
      </c>
      <c r="G564" s="55" t="s">
        <v>131</v>
      </c>
      <c r="H564" s="59"/>
      <c r="I564" s="55" t="s">
        <v>29</v>
      </c>
      <c r="J564" s="80" t="s">
        <v>132</v>
      </c>
      <c r="K564" s="55" t="s">
        <v>158</v>
      </c>
      <c r="L564" s="81" t="s">
        <v>159</v>
      </c>
      <c r="M564" s="80"/>
      <c r="N564" s="79" t="s">
        <v>136</v>
      </c>
      <c r="O564" s="80"/>
      <c r="P564" s="79" t="s">
        <v>164</v>
      </c>
      <c r="Q564" s="79" t="s">
        <v>1278</v>
      </c>
      <c r="R564" s="79" t="s">
        <v>178</v>
      </c>
      <c r="S564" s="82" t="s">
        <v>343</v>
      </c>
      <c r="T564" s="79" t="s">
        <v>158</v>
      </c>
      <c r="U564" s="59"/>
      <c r="V564" s="59"/>
      <c r="W564" s="59"/>
      <c r="X564" s="59"/>
      <c r="Y564" s="59"/>
      <c r="Z564" s="61" t="s">
        <v>260</v>
      </c>
      <c r="AA564" s="61" t="s">
        <v>344</v>
      </c>
      <c r="AB564" s="40"/>
      <c r="AC564" s="40"/>
      <c r="AD564" s="40"/>
      <c r="AE564" s="40"/>
      <c r="AF564" s="40"/>
      <c r="AG564" s="40"/>
      <c r="AH564" s="40"/>
      <c r="AI564" s="40"/>
    </row>
    <row r="565">
      <c r="A565" s="55" t="s">
        <v>1407</v>
      </c>
      <c r="B565" s="55">
        <v>2014.0</v>
      </c>
      <c r="C565" s="57" t="s">
        <v>1408</v>
      </c>
      <c r="D565" s="59"/>
      <c r="E565" s="59"/>
      <c r="F565" s="55" t="s">
        <v>130</v>
      </c>
      <c r="G565" s="55" t="s">
        <v>131</v>
      </c>
      <c r="H565" s="55">
        <v>545.0</v>
      </c>
      <c r="I565" s="55" t="s">
        <v>29</v>
      </c>
      <c r="J565" s="80" t="s">
        <v>132</v>
      </c>
      <c r="K565" s="55" t="s">
        <v>158</v>
      </c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</row>
    <row r="566">
      <c r="A566" s="61" t="s">
        <v>1409</v>
      </c>
      <c r="B566" s="61">
        <v>2014.0</v>
      </c>
      <c r="C566" s="99" t="s">
        <v>1410</v>
      </c>
      <c r="D566" s="40"/>
      <c r="E566" s="40"/>
      <c r="F566" s="61" t="s">
        <v>86</v>
      </c>
      <c r="G566" s="40"/>
      <c r="H566" s="40"/>
      <c r="I566" s="61"/>
      <c r="J566" s="101" t="s">
        <v>132</v>
      </c>
      <c r="K566" s="61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</row>
    <row r="567">
      <c r="A567" s="61" t="s">
        <v>1411</v>
      </c>
      <c r="B567" s="61">
        <v>2014.0</v>
      </c>
      <c r="C567" s="99" t="s">
        <v>1412</v>
      </c>
      <c r="D567" s="40"/>
      <c r="E567" s="40"/>
      <c r="F567" s="61" t="s">
        <v>86</v>
      </c>
      <c r="G567" s="40"/>
      <c r="H567" s="40"/>
      <c r="I567" s="61"/>
      <c r="J567" s="101" t="s">
        <v>132</v>
      </c>
      <c r="K567" s="61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</row>
    <row r="568">
      <c r="A568" s="61" t="s">
        <v>1413</v>
      </c>
      <c r="B568" s="61">
        <v>2015.0</v>
      </c>
      <c r="C568" s="99" t="s">
        <v>1414</v>
      </c>
      <c r="D568" s="40"/>
      <c r="E568" s="40"/>
      <c r="F568" s="61" t="s">
        <v>86</v>
      </c>
      <c r="G568" s="40"/>
      <c r="H568" s="40"/>
      <c r="I568" s="101"/>
      <c r="J568" s="101" t="s">
        <v>132</v>
      </c>
      <c r="K568" s="61"/>
      <c r="L568" s="40"/>
      <c r="M568" s="40"/>
      <c r="N568" s="40"/>
      <c r="O568" s="40"/>
      <c r="P568" s="40"/>
      <c r="Q568" s="40"/>
      <c r="R568" s="40"/>
      <c r="S568" s="40"/>
      <c r="T568" s="40"/>
    </row>
    <row r="569">
      <c r="A569" s="61" t="s">
        <v>1415</v>
      </c>
      <c r="B569" s="61">
        <v>2014.0</v>
      </c>
      <c r="C569" s="99" t="s">
        <v>1416</v>
      </c>
      <c r="D569" s="40"/>
      <c r="E569" s="40"/>
      <c r="F569" s="61" t="s">
        <v>86</v>
      </c>
      <c r="G569" s="40"/>
      <c r="H569" s="40"/>
      <c r="I569" s="61"/>
      <c r="J569" s="101" t="s">
        <v>132</v>
      </c>
      <c r="K569" s="61"/>
      <c r="L569" s="40"/>
      <c r="M569" s="40"/>
      <c r="N569" s="40"/>
      <c r="O569" s="40"/>
      <c r="P569" s="40"/>
      <c r="Q569" s="40"/>
      <c r="R569" s="40"/>
      <c r="S569" s="40"/>
      <c r="T569" s="40"/>
    </row>
    <row r="576">
      <c r="A576" s="101"/>
      <c r="B576" s="102"/>
      <c r="C576" s="30"/>
      <c r="D576" s="103"/>
      <c r="E576" s="104"/>
      <c r="F576" s="103"/>
      <c r="G576" s="103"/>
      <c r="H576" s="103"/>
      <c r="I576" s="103"/>
      <c r="J576" s="103"/>
      <c r="K576" s="103"/>
      <c r="L576" s="104"/>
      <c r="M576" s="104"/>
      <c r="N576" s="104"/>
      <c r="O576" s="104"/>
      <c r="P576" s="104"/>
      <c r="Q576" s="104"/>
      <c r="R576" s="104"/>
    </row>
    <row r="577">
      <c r="A577" s="30"/>
      <c r="B577" s="105"/>
      <c r="C577" s="106"/>
      <c r="D577" s="106"/>
      <c r="E577" s="105"/>
      <c r="F577" s="106"/>
      <c r="G577" s="106"/>
      <c r="H577" s="106"/>
      <c r="I577" s="106"/>
      <c r="J577" s="106"/>
      <c r="K577" s="106"/>
      <c r="L577" s="105"/>
      <c r="M577" s="105"/>
      <c r="N577" s="105"/>
      <c r="O577" s="105"/>
      <c r="P577" s="105"/>
      <c r="Q577" s="105"/>
      <c r="R577" s="105"/>
    </row>
    <row r="578">
      <c r="A578" s="30"/>
      <c r="B578" s="105"/>
      <c r="C578" s="106"/>
      <c r="D578" s="106"/>
      <c r="E578" s="106"/>
      <c r="F578" s="106"/>
      <c r="G578" s="106"/>
      <c r="H578" s="105"/>
      <c r="I578" s="106"/>
      <c r="J578" s="106"/>
      <c r="K578" s="106"/>
      <c r="L578" s="105"/>
      <c r="M578" s="105"/>
      <c r="N578" s="105"/>
      <c r="O578" s="105"/>
      <c r="P578" s="105"/>
      <c r="Q578" s="105"/>
      <c r="R578" s="105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</row>
    <row r="580">
      <c r="A580" s="107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</row>
    <row r="582">
      <c r="A582" s="30"/>
      <c r="B582" s="105"/>
      <c r="C582" s="106"/>
      <c r="D582" s="106"/>
      <c r="E582" s="106"/>
      <c r="F582" s="106"/>
      <c r="G582" s="106"/>
      <c r="H582" s="105"/>
      <c r="I582" s="106"/>
      <c r="J582" s="105"/>
      <c r="K582" s="105"/>
      <c r="L582" s="105"/>
      <c r="M582" s="105"/>
      <c r="N582" s="105"/>
      <c r="O582" s="105"/>
      <c r="P582" s="105"/>
      <c r="Q582" s="105"/>
      <c r="R582" s="105"/>
    </row>
    <row r="583">
      <c r="A583" s="30"/>
      <c r="B583" s="105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</row>
    <row r="584">
      <c r="A584" s="108"/>
      <c r="B584" s="101"/>
      <c r="C584" s="101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</row>
    <row r="586">
      <c r="A586" s="109" t="s">
        <v>1417</v>
      </c>
      <c r="B586" s="109" t="s">
        <v>1418</v>
      </c>
      <c r="C586" s="110" t="s">
        <v>19</v>
      </c>
      <c r="D586" s="111" t="s">
        <v>1419</v>
      </c>
      <c r="E586" s="111" t="s">
        <v>1420</v>
      </c>
      <c r="F586" s="111" t="s">
        <v>1421</v>
      </c>
      <c r="G586" s="111" t="s">
        <v>1422</v>
      </c>
      <c r="H586" s="112" t="s">
        <v>1423</v>
      </c>
      <c r="I586" s="112" t="s">
        <v>1424</v>
      </c>
      <c r="J586" s="112" t="s">
        <v>1425</v>
      </c>
      <c r="K586" s="112" t="s">
        <v>1426</v>
      </c>
      <c r="L586" s="113" t="s">
        <v>1427</v>
      </c>
      <c r="M586" s="113" t="s">
        <v>1428</v>
      </c>
      <c r="N586" s="113" t="s">
        <v>1429</v>
      </c>
      <c r="O586" s="113" t="s">
        <v>1430</v>
      </c>
      <c r="P586" s="113" t="s">
        <v>1431</v>
      </c>
      <c r="Q586" s="113" t="s">
        <v>1426</v>
      </c>
      <c r="S586" s="5"/>
    </row>
    <row r="587">
      <c r="A587" s="114">
        <f>MIN(B11:B569)</f>
        <v>2009</v>
      </c>
      <c r="B587" s="115">
        <f t="shared" ref="B587:B594" si="2">COUNTIFS(B$11:B$569,A587,D$11:D$569,"&lt;&gt;X",E$11:E$569,"&lt;&gt;X")</f>
        <v>0</v>
      </c>
      <c r="C587" s="115">
        <f t="shared" ref="C587:C594" si="3">COUNTIFS(B$11:B$569,A587,G$11:G$569,"Y",H$11:H$569,"")</f>
        <v>0</v>
      </c>
      <c r="D587" s="116">
        <f t="shared" ref="D587:D594" si="4">COUNTIFS(B$11:B$569,A587,G$11:G$569,"Y",J$11:J$569,"technical report",H$11:H$569,"")</f>
        <v>0</v>
      </c>
      <c r="E587" s="116">
        <f t="shared" ref="E587:E594" si="5">COUNTIFS(B$11:B$569,A587,G$11:G$569,"Y",J$11:J$569,"workshop",H$11:H$569,"")</f>
        <v>0</v>
      </c>
      <c r="F587" s="116">
        <f t="shared" ref="F587:F594" si="6">COUNTIFS(B$11:B$569,A587,G$11:G$569,"Y",J$11:J$569,"conference",H$11:H$569,"")</f>
        <v>0</v>
      </c>
      <c r="G587" s="116">
        <f t="shared" ref="G587:G594" si="7">COUNTIFS(B$11:B$569,A587,G$11:G$569,"Y",J$11:J$569,"journal",H$11:H$569,"")</f>
        <v>0</v>
      </c>
      <c r="H587" s="117">
        <f t="shared" ref="H587:H594" si="8">COUNTIFS(B$11:B$569,A587,G$11:G$569,"Y",L$11:L$569,"metadata observation",H$11:H$569,"")</f>
        <v>0</v>
      </c>
      <c r="I587" s="117">
        <f t="shared" ref="I587:I594" si="9">COUNTIFS(B$11:B$569,A587,G$11:G$569,"Y",L$11:L$569,"survey",H$11:H$569,"")</f>
        <v>0</v>
      </c>
      <c r="J587" s="117">
        <f t="shared" ref="J587:J594" si="10">COUNTIFS(B$11:B$569,A587,G$11:G$569,"Y",L$11:L$569,"interview",H$11:H$569,"")</f>
        <v>0</v>
      </c>
      <c r="K587" s="117">
        <f t="shared" ref="K587:K594" si="11">COUNTIFS(B$11:B$569,A587,G$11:G$569,"Y",L$11:L$569,"mixed",H$11:H$569,"")</f>
        <v>0</v>
      </c>
      <c r="L587" s="118">
        <f t="shared" ref="L587:L594" si="12">COUNTIFS(B$11:B$569,A587,G$11:G$569,"Y",R$11:R$569,"GHTorrent",H$11:H$569,"")</f>
        <v>0</v>
      </c>
      <c r="M587" s="118">
        <f t="shared" ref="M587:M594" si="13">COUNTIFS(B$11:B$569,A587,G$11:G$569,"Y",R$11:R$569,"GitHub API",H$11:H$569,"")</f>
        <v>0</v>
      </c>
      <c r="N587" s="118">
        <f t="shared" ref="N587:N594" si="14">COUNTIFS(B$11:B$569,A587,G$11:G$569,"Y",R$11:R$569,"GitHubArchive",H$11:H$569,"")</f>
        <v>0</v>
      </c>
      <c r="O587" s="118">
        <f t="shared" ref="O587:O594" si="15">COUNTIFS(B$11:B$569,A587,G$11:G$569,"Y",R$11:R$569,"manual",H$11:H$569,"")</f>
        <v>0</v>
      </c>
      <c r="P587" s="118">
        <f t="shared" ref="P587:P594" si="16">COUNTIFS(B$11:B$569,A587,G$11:G$569,"Y",R$11:R$569,"*:*",H$11:H$569,"")</f>
        <v>0</v>
      </c>
      <c r="Q587" s="118">
        <f t="shared" ref="Q587:Q594" si="17">COUNTIFS(B$11:B$569,A587,G$11:G$569,"Y",R$11:R$569,"*,*",H$11:H$569,"")</f>
        <v>0</v>
      </c>
    </row>
    <row r="588">
      <c r="A588" s="115">
        <f t="shared" ref="A588:A594" si="18">IF(A587+1&lt;MAX(B11:B569),A587+1,MAX(B11:B569))</f>
        <v>2010</v>
      </c>
      <c r="B588" s="115">
        <f t="shared" si="2"/>
        <v>2</v>
      </c>
      <c r="C588" s="115">
        <f t="shared" si="3"/>
        <v>1</v>
      </c>
      <c r="D588" s="116">
        <f t="shared" si="4"/>
        <v>1</v>
      </c>
      <c r="E588" s="116">
        <f t="shared" si="5"/>
        <v>0</v>
      </c>
      <c r="F588" s="116">
        <f t="shared" si="6"/>
        <v>0</v>
      </c>
      <c r="G588" s="116">
        <f t="shared" si="7"/>
        <v>0</v>
      </c>
      <c r="H588" s="117">
        <f t="shared" si="8"/>
        <v>1</v>
      </c>
      <c r="I588" s="117">
        <f t="shared" si="9"/>
        <v>0</v>
      </c>
      <c r="J588" s="117">
        <f t="shared" si="10"/>
        <v>0</v>
      </c>
      <c r="K588" s="117">
        <f t="shared" si="11"/>
        <v>0</v>
      </c>
      <c r="L588" s="118">
        <f t="shared" si="12"/>
        <v>0</v>
      </c>
      <c r="M588" s="118">
        <f t="shared" si="13"/>
        <v>1</v>
      </c>
      <c r="N588" s="118">
        <f t="shared" si="14"/>
        <v>0</v>
      </c>
      <c r="O588" s="118">
        <f t="shared" si="15"/>
        <v>0</v>
      </c>
      <c r="P588" s="118">
        <f t="shared" si="16"/>
        <v>0</v>
      </c>
      <c r="Q588" s="118">
        <f t="shared" si="17"/>
        <v>0</v>
      </c>
    </row>
    <row r="589">
      <c r="A589" s="115">
        <f t="shared" si="18"/>
        <v>2011</v>
      </c>
      <c r="B589" s="115">
        <f t="shared" si="2"/>
        <v>1</v>
      </c>
      <c r="C589" s="115">
        <f t="shared" si="3"/>
        <v>0</v>
      </c>
      <c r="D589" s="116">
        <f t="shared" si="4"/>
        <v>0</v>
      </c>
      <c r="E589" s="116">
        <f t="shared" si="5"/>
        <v>0</v>
      </c>
      <c r="F589" s="116">
        <f t="shared" si="6"/>
        <v>0</v>
      </c>
      <c r="G589" s="116">
        <f t="shared" si="7"/>
        <v>0</v>
      </c>
      <c r="H589" s="117">
        <f t="shared" si="8"/>
        <v>0</v>
      </c>
      <c r="I589" s="117">
        <f t="shared" si="9"/>
        <v>0</v>
      </c>
      <c r="J589" s="117">
        <f t="shared" si="10"/>
        <v>0</v>
      </c>
      <c r="K589" s="117">
        <f t="shared" si="11"/>
        <v>0</v>
      </c>
      <c r="L589" s="118">
        <f t="shared" si="12"/>
        <v>0</v>
      </c>
      <c r="M589" s="118">
        <f t="shared" si="13"/>
        <v>0</v>
      </c>
      <c r="N589" s="118">
        <f t="shared" si="14"/>
        <v>0</v>
      </c>
      <c r="O589" s="118">
        <f t="shared" si="15"/>
        <v>0</v>
      </c>
      <c r="P589" s="118">
        <f t="shared" si="16"/>
        <v>0</v>
      </c>
      <c r="Q589" s="118">
        <f t="shared" si="17"/>
        <v>0</v>
      </c>
    </row>
    <row r="590">
      <c r="A590" s="115">
        <f t="shared" si="18"/>
        <v>2012</v>
      </c>
      <c r="B590" s="115">
        <f t="shared" si="2"/>
        <v>15</v>
      </c>
      <c r="C590" s="115">
        <f t="shared" si="3"/>
        <v>5</v>
      </c>
      <c r="D590" s="116">
        <f t="shared" si="4"/>
        <v>1</v>
      </c>
      <c r="E590" s="116">
        <f t="shared" si="5"/>
        <v>0</v>
      </c>
      <c r="F590" s="116">
        <f t="shared" si="6"/>
        <v>4</v>
      </c>
      <c r="G590" s="116">
        <f t="shared" si="7"/>
        <v>0</v>
      </c>
      <c r="H590" s="117">
        <f t="shared" si="8"/>
        <v>4</v>
      </c>
      <c r="I590" s="117">
        <f t="shared" si="9"/>
        <v>0</v>
      </c>
      <c r="J590" s="117">
        <f t="shared" si="10"/>
        <v>1</v>
      </c>
      <c r="K590" s="117">
        <f t="shared" si="11"/>
        <v>0</v>
      </c>
      <c r="L590" s="118">
        <f t="shared" si="12"/>
        <v>0</v>
      </c>
      <c r="M590" s="118">
        <f t="shared" si="13"/>
        <v>4</v>
      </c>
      <c r="N590" s="118">
        <f t="shared" si="14"/>
        <v>0</v>
      </c>
      <c r="O590" s="118">
        <f t="shared" si="15"/>
        <v>1</v>
      </c>
      <c r="P590" s="118">
        <f t="shared" si="16"/>
        <v>0</v>
      </c>
      <c r="Q590" s="118">
        <f t="shared" si="17"/>
        <v>0</v>
      </c>
    </row>
    <row r="591">
      <c r="A591" s="115">
        <f t="shared" si="18"/>
        <v>2013</v>
      </c>
      <c r="B591" s="115">
        <f t="shared" si="2"/>
        <v>44</v>
      </c>
      <c r="C591" s="115">
        <f t="shared" si="3"/>
        <v>12</v>
      </c>
      <c r="D591" s="116">
        <f t="shared" si="4"/>
        <v>1</v>
      </c>
      <c r="E591" s="116">
        <f t="shared" si="5"/>
        <v>0</v>
      </c>
      <c r="F591" s="116">
        <f t="shared" si="6"/>
        <v>10</v>
      </c>
      <c r="G591" s="116">
        <f t="shared" si="7"/>
        <v>1</v>
      </c>
      <c r="H591" s="117">
        <f t="shared" si="8"/>
        <v>8</v>
      </c>
      <c r="I591" s="117">
        <f t="shared" si="9"/>
        <v>0</v>
      </c>
      <c r="J591" s="117">
        <f t="shared" si="10"/>
        <v>3</v>
      </c>
      <c r="K591" s="117">
        <f t="shared" si="11"/>
        <v>1</v>
      </c>
      <c r="L591" s="118">
        <f t="shared" si="12"/>
        <v>1</v>
      </c>
      <c r="M591" s="118">
        <f t="shared" si="13"/>
        <v>8</v>
      </c>
      <c r="N591" s="118">
        <f t="shared" si="14"/>
        <v>1</v>
      </c>
      <c r="O591" s="118">
        <f t="shared" si="15"/>
        <v>2</v>
      </c>
      <c r="P591" s="118">
        <f t="shared" si="16"/>
        <v>0</v>
      </c>
      <c r="Q591" s="118">
        <f t="shared" si="17"/>
        <v>0</v>
      </c>
    </row>
    <row r="592">
      <c r="A592" s="115">
        <f t="shared" si="18"/>
        <v>2014</v>
      </c>
      <c r="B592" s="115">
        <f t="shared" si="2"/>
        <v>96</v>
      </c>
      <c r="C592" s="115">
        <f t="shared" si="3"/>
        <v>25</v>
      </c>
      <c r="D592" s="116">
        <f t="shared" si="4"/>
        <v>2</v>
      </c>
      <c r="E592" s="116">
        <f t="shared" si="5"/>
        <v>2</v>
      </c>
      <c r="F592" s="116">
        <f t="shared" si="6"/>
        <v>20</v>
      </c>
      <c r="G592" s="116">
        <f t="shared" si="7"/>
        <v>1</v>
      </c>
      <c r="H592" s="117">
        <f t="shared" si="8"/>
        <v>21</v>
      </c>
      <c r="I592" s="117">
        <f t="shared" si="9"/>
        <v>0</v>
      </c>
      <c r="J592" s="117">
        <f t="shared" si="10"/>
        <v>0</v>
      </c>
      <c r="K592" s="117">
        <f t="shared" si="11"/>
        <v>4</v>
      </c>
      <c r="L592" s="118">
        <f t="shared" si="12"/>
        <v>11</v>
      </c>
      <c r="M592" s="118">
        <f t="shared" si="13"/>
        <v>4</v>
      </c>
      <c r="N592" s="118">
        <f t="shared" si="14"/>
        <v>2</v>
      </c>
      <c r="O592" s="118">
        <f t="shared" si="15"/>
        <v>1</v>
      </c>
      <c r="P592" s="118">
        <f t="shared" si="16"/>
        <v>1</v>
      </c>
      <c r="Q592" s="118">
        <f t="shared" si="17"/>
        <v>6</v>
      </c>
    </row>
    <row r="593">
      <c r="A593" s="115">
        <f t="shared" si="18"/>
        <v>2015</v>
      </c>
      <c r="B593" s="115">
        <f t="shared" si="2"/>
        <v>108</v>
      </c>
      <c r="C593" s="115">
        <f t="shared" si="3"/>
        <v>21</v>
      </c>
      <c r="D593" s="116">
        <f t="shared" si="4"/>
        <v>0</v>
      </c>
      <c r="E593" s="116">
        <f t="shared" si="5"/>
        <v>1</v>
      </c>
      <c r="F593" s="116">
        <f t="shared" si="6"/>
        <v>18</v>
      </c>
      <c r="G593" s="116">
        <f t="shared" si="7"/>
        <v>2</v>
      </c>
      <c r="H593" s="117">
        <f t="shared" si="8"/>
        <v>16</v>
      </c>
      <c r="I593" s="117">
        <f t="shared" si="9"/>
        <v>3</v>
      </c>
      <c r="J593" s="117">
        <f t="shared" si="10"/>
        <v>0</v>
      </c>
      <c r="K593" s="117">
        <f t="shared" si="11"/>
        <v>2</v>
      </c>
      <c r="L593" s="118">
        <f t="shared" si="12"/>
        <v>14</v>
      </c>
      <c r="M593" s="118">
        <f t="shared" si="13"/>
        <v>4</v>
      </c>
      <c r="N593" s="118">
        <f t="shared" si="14"/>
        <v>1</v>
      </c>
      <c r="O593" s="118">
        <f t="shared" si="15"/>
        <v>2</v>
      </c>
      <c r="P593" s="118">
        <f t="shared" si="16"/>
        <v>0</v>
      </c>
      <c r="Q593" s="118">
        <f t="shared" si="17"/>
        <v>0</v>
      </c>
    </row>
    <row r="594">
      <c r="A594" s="115">
        <f t="shared" si="18"/>
        <v>2016</v>
      </c>
      <c r="B594" s="115">
        <f t="shared" si="2"/>
        <v>76</v>
      </c>
      <c r="C594" s="115">
        <f t="shared" si="3"/>
        <v>16</v>
      </c>
      <c r="D594" s="116">
        <f t="shared" si="4"/>
        <v>4</v>
      </c>
      <c r="E594" s="116">
        <f t="shared" si="5"/>
        <v>1</v>
      </c>
      <c r="F594" s="116">
        <f t="shared" si="6"/>
        <v>6</v>
      </c>
      <c r="G594" s="116">
        <f t="shared" si="7"/>
        <v>5</v>
      </c>
      <c r="H594" s="117">
        <f t="shared" si="8"/>
        <v>7</v>
      </c>
      <c r="I594" s="117">
        <f t="shared" si="9"/>
        <v>3</v>
      </c>
      <c r="J594" s="117">
        <f t="shared" si="10"/>
        <v>0</v>
      </c>
      <c r="K594" s="117">
        <f t="shared" si="11"/>
        <v>6</v>
      </c>
      <c r="L594" s="118">
        <f t="shared" si="12"/>
        <v>7</v>
      </c>
      <c r="M594" s="118">
        <f t="shared" si="13"/>
        <v>4</v>
      </c>
      <c r="N594" s="118">
        <f t="shared" si="14"/>
        <v>0</v>
      </c>
      <c r="O594" s="118">
        <f t="shared" si="15"/>
        <v>2</v>
      </c>
      <c r="P594" s="118">
        <f t="shared" si="16"/>
        <v>2</v>
      </c>
      <c r="Q594" s="118">
        <f t="shared" si="17"/>
        <v>1</v>
      </c>
    </row>
    <row r="595">
      <c r="A595" s="109" t="s">
        <v>18</v>
      </c>
      <c r="B595" s="115">
        <f t="shared" ref="B595:Q595" si="19">SUM(B587:B594)</f>
        <v>342</v>
      </c>
      <c r="C595" s="115">
        <f t="shared" si="19"/>
        <v>80</v>
      </c>
      <c r="D595" s="116">
        <f t="shared" si="19"/>
        <v>9</v>
      </c>
      <c r="E595" s="116">
        <f t="shared" si="19"/>
        <v>4</v>
      </c>
      <c r="F595" s="116">
        <f t="shared" si="19"/>
        <v>58</v>
      </c>
      <c r="G595" s="116">
        <f t="shared" si="19"/>
        <v>9</v>
      </c>
      <c r="H595" s="117">
        <f t="shared" si="19"/>
        <v>57</v>
      </c>
      <c r="I595" s="117">
        <f t="shared" si="19"/>
        <v>6</v>
      </c>
      <c r="J595" s="117">
        <f t="shared" si="19"/>
        <v>4</v>
      </c>
      <c r="K595" s="117">
        <f t="shared" si="19"/>
        <v>13</v>
      </c>
      <c r="L595" s="118">
        <f t="shared" si="19"/>
        <v>33</v>
      </c>
      <c r="M595" s="118">
        <f t="shared" si="19"/>
        <v>25</v>
      </c>
      <c r="N595" s="118">
        <f t="shared" si="19"/>
        <v>4</v>
      </c>
      <c r="O595" s="118">
        <f t="shared" si="19"/>
        <v>8</v>
      </c>
      <c r="P595" s="118">
        <f t="shared" si="19"/>
        <v>3</v>
      </c>
      <c r="Q595" s="118">
        <f t="shared" si="19"/>
        <v>7</v>
      </c>
    </row>
    <row r="596">
      <c r="A596" s="109" t="s">
        <v>1432</v>
      </c>
      <c r="B596" s="115"/>
      <c r="C596" s="115"/>
      <c r="D596" s="116">
        <f t="shared" ref="D596:Q596" si="20">ROUND((D595/$C$595)*100,2)</f>
        <v>11.25</v>
      </c>
      <c r="E596" s="116">
        <f t="shared" si="20"/>
        <v>5</v>
      </c>
      <c r="F596" s="116">
        <f t="shared" si="20"/>
        <v>72.5</v>
      </c>
      <c r="G596" s="116">
        <f t="shared" si="20"/>
        <v>11.25</v>
      </c>
      <c r="H596" s="117">
        <f t="shared" si="20"/>
        <v>71.25</v>
      </c>
      <c r="I596" s="117">
        <f t="shared" si="20"/>
        <v>7.5</v>
      </c>
      <c r="J596" s="117">
        <f t="shared" si="20"/>
        <v>5</v>
      </c>
      <c r="K596" s="117">
        <f t="shared" si="20"/>
        <v>16.25</v>
      </c>
      <c r="L596" s="118">
        <f t="shared" si="20"/>
        <v>41.25</v>
      </c>
      <c r="M596" s="118">
        <f t="shared" si="20"/>
        <v>31.25</v>
      </c>
      <c r="N596" s="118">
        <f t="shared" si="20"/>
        <v>5</v>
      </c>
      <c r="O596" s="118">
        <f t="shared" si="20"/>
        <v>10</v>
      </c>
      <c r="P596" s="118">
        <f t="shared" si="20"/>
        <v>3.75</v>
      </c>
      <c r="Q596" s="118">
        <f t="shared" si="20"/>
        <v>8.75</v>
      </c>
    </row>
    <row r="597">
      <c r="D597" s="5" t="s">
        <v>1433</v>
      </c>
      <c r="E597" t="str">
        <f>IF(SUM(D595:G595)=C595,"OK","NO")</f>
        <v>OK</v>
      </c>
      <c r="F597" s="5" t="s">
        <v>1434</v>
      </c>
      <c r="G597" t="str">
        <f>IF(SUM(D596:G596)=100,"OK","NO")</f>
        <v>OK</v>
      </c>
      <c r="H597" s="5" t="s">
        <v>1433</v>
      </c>
      <c r="I597" t="str">
        <f>IF(SUM(H595:K595)=C595,"OK","NO")</f>
        <v>OK</v>
      </c>
      <c r="J597" s="11" t="s">
        <v>1434</v>
      </c>
      <c r="K597" t="str">
        <f>IF(SUM(H596:K596)=100,"OK","NO")</f>
        <v>OK</v>
      </c>
      <c r="L597" s="5" t="s">
        <v>1433</v>
      </c>
      <c r="M597" t="str">
        <f>IF(SUM(L595:Q595)=C595,"OK","NO")</f>
        <v>OK</v>
      </c>
      <c r="N597" s="11" t="s">
        <v>1434</v>
      </c>
      <c r="O597" s="19" t="str">
        <f>IF(SUM(L596:Q596)=100,"OK","NO")</f>
        <v>OK</v>
      </c>
    </row>
    <row r="599">
      <c r="A599" s="119" t="s">
        <v>1435</v>
      </c>
      <c r="B599" s="119" t="s">
        <v>1436</v>
      </c>
      <c r="C599" s="119" t="s">
        <v>1432</v>
      </c>
      <c r="D599" s="120" t="s">
        <v>66</v>
      </c>
      <c r="E599" s="120" t="s">
        <v>1436</v>
      </c>
      <c r="F599" s="120" t="s">
        <v>1432</v>
      </c>
      <c r="G599" s="121" t="s">
        <v>67</v>
      </c>
      <c r="H599" s="121" t="s">
        <v>1436</v>
      </c>
      <c r="I599" s="121" t="s">
        <v>1432</v>
      </c>
      <c r="J599" s="119" t="s">
        <v>1437</v>
      </c>
      <c r="K599" s="122" t="s">
        <v>1436</v>
      </c>
      <c r="L599" s="122" t="s">
        <v>1432</v>
      </c>
    </row>
    <row r="600">
      <c r="A600" s="123" t="s">
        <v>1438</v>
      </c>
      <c r="B600" s="124">
        <f>COUNTIFS(P$11:P$569,"users")</f>
        <v>34</v>
      </c>
      <c r="C600" s="124">
        <f t="shared" ref="C600:C602" si="21">ROUND((B600/B$603)*100,2)</f>
        <v>36.56</v>
      </c>
      <c r="D600" s="120" t="s">
        <v>343</v>
      </c>
      <c r="E600" s="20">
        <f>COUNTIFS(G$11:G$569,"Y",S$11:S$569,"YES, dataset")</f>
        <v>18</v>
      </c>
      <c r="F600" s="20">
        <f t="shared" ref="F600:F602" si="22">ROUND((E600/E$603)*100,2)</f>
        <v>22.5</v>
      </c>
      <c r="G600" s="125" t="s">
        <v>158</v>
      </c>
      <c r="H600" s="126">
        <f>COUNTIFS(G$11:G$569,"Y",T$11:T$569,"NO")</f>
        <v>27</v>
      </c>
      <c r="I600" s="126">
        <f t="shared" ref="I600:I604" si="23">ROUND((H600/SUM(H$600:H$601))*100,2)</f>
        <v>33.75</v>
      </c>
      <c r="J600" s="119" t="s">
        <v>1428</v>
      </c>
      <c r="K600" s="127">
        <f>COUNTIFS(G$11:G$569,"Y",X$11:X$569,"X")</f>
        <v>12</v>
      </c>
      <c r="L600" s="124">
        <f t="shared" ref="L600:L601" si="24">ROUND((K600/E$603)*100,2)</f>
        <v>15</v>
      </c>
    </row>
    <row r="601">
      <c r="A601" s="123" t="s">
        <v>1439</v>
      </c>
      <c r="B601" s="124">
        <f>COUNTIFS(P$11:P$569,"projects")</f>
        <v>34</v>
      </c>
      <c r="C601" s="124">
        <f t="shared" si="21"/>
        <v>36.56</v>
      </c>
      <c r="D601" s="120" t="s">
        <v>141</v>
      </c>
      <c r="E601" s="20">
        <f>COUNTIFS(G$11:G$569,"Y",S$11:S$569,"YES, link")</f>
        <v>17</v>
      </c>
      <c r="F601" s="20">
        <f t="shared" si="22"/>
        <v>21.25</v>
      </c>
      <c r="G601" s="125" t="s">
        <v>142</v>
      </c>
      <c r="H601" s="126">
        <f>COUNTIFS(G$11:G$569,"Y",T$11:T$569,"YES")</f>
        <v>53</v>
      </c>
      <c r="I601" s="126">
        <f t="shared" si="23"/>
        <v>66.25</v>
      </c>
      <c r="J601" s="119" t="s">
        <v>1440</v>
      </c>
      <c r="K601" s="127">
        <f>COUNTIFS(G$11:G$569,"Y",Y$11:Y$569,"X")</f>
        <v>7</v>
      </c>
      <c r="L601" s="124">
        <f t="shared" si="24"/>
        <v>8.75</v>
      </c>
    </row>
    <row r="602">
      <c r="A602" s="123" t="s">
        <v>1441</v>
      </c>
      <c r="B602" s="124">
        <f>COUNTIFS(P$11:P$569,"*,*")</f>
        <v>25</v>
      </c>
      <c r="C602" s="124">
        <f t="shared" si="21"/>
        <v>26.88</v>
      </c>
      <c r="D602" s="120" t="s">
        <v>158</v>
      </c>
      <c r="E602" s="20">
        <f>COUNTIFS(G$11:G$569,"Y",S$11:S$569,"NO")</f>
        <v>45</v>
      </c>
      <c r="F602" s="20">
        <f t="shared" si="22"/>
        <v>56.25</v>
      </c>
      <c r="G602" s="128" t="s">
        <v>1442</v>
      </c>
      <c r="H602" s="129">
        <f>COUNTIFS(G$11:G$569,"Y",T$11:T$569,"YES",U$11:U$569,"X")</f>
        <v>18</v>
      </c>
      <c r="I602" s="129">
        <f t="shared" si="23"/>
        <v>22.5</v>
      </c>
      <c r="J602" s="119" t="s">
        <v>18</v>
      </c>
      <c r="K602" s="124">
        <f t="shared" ref="K602:L602" si="25">SUM(K600:K601)</f>
        <v>19</v>
      </c>
      <c r="L602" s="124">
        <f t="shared" si="25"/>
        <v>23.75</v>
      </c>
    </row>
    <row r="603">
      <c r="A603" s="124"/>
      <c r="B603" s="124">
        <f t="shared" ref="B603:C603" si="26">SUM(B600:B602)</f>
        <v>93</v>
      </c>
      <c r="C603" s="124">
        <f t="shared" si="26"/>
        <v>100</v>
      </c>
      <c r="D603" s="20"/>
      <c r="E603" s="20">
        <f t="shared" ref="E603:F603" si="27">SUM(E600:E602)</f>
        <v>80</v>
      </c>
      <c r="F603" s="20">
        <f t="shared" si="27"/>
        <v>100</v>
      </c>
      <c r="G603" s="128" t="s">
        <v>1443</v>
      </c>
      <c r="H603" s="129">
        <f>COUNTIFS(G$11:G$569,"Y",T$11:T$569,"YES",V$11:V$569,"X")</f>
        <v>32</v>
      </c>
      <c r="I603" s="129">
        <f t="shared" si="23"/>
        <v>40</v>
      </c>
    </row>
    <row r="604">
      <c r="G604" s="128" t="s">
        <v>1444</v>
      </c>
      <c r="H604" s="129">
        <f>COUNTIFS(G$11:G$569,"Y",T$11:T$569,"YES",W$11:W$569,"X")</f>
        <v>41</v>
      </c>
      <c r="I604" s="129">
        <f t="shared" si="23"/>
        <v>51.25</v>
      </c>
    </row>
    <row r="605">
      <c r="A605" s="54" t="s">
        <v>1445</v>
      </c>
      <c r="B605" s="13" t="str">
        <f>IF(B603=K595+C595,"OK","NO")</f>
        <v>OK</v>
      </c>
      <c r="D605" s="5" t="s">
        <v>1445</v>
      </c>
      <c r="E605" t="str">
        <f>IF(E603=C595,"OK","NO")</f>
        <v>OK</v>
      </c>
      <c r="G605" s="5" t="s">
        <v>1445</v>
      </c>
      <c r="H605" t="str">
        <f>IF(SUM(H600:H601)=C595,"OK","NO")</f>
        <v>OK</v>
      </c>
    </row>
    <row r="607">
      <c r="A607" s="130" t="s">
        <v>1446</v>
      </c>
      <c r="B607" s="131" t="s">
        <v>1447</v>
      </c>
      <c r="C607" s="131" t="s">
        <v>1448</v>
      </c>
      <c r="D607" s="131" t="s">
        <v>1449</v>
      </c>
      <c r="E607" s="131" t="s">
        <v>1450</v>
      </c>
      <c r="F607" s="131" t="s">
        <v>1451</v>
      </c>
      <c r="G607" s="131" t="s">
        <v>18</v>
      </c>
      <c r="H607" s="131" t="s">
        <v>1432</v>
      </c>
      <c r="J607" s="89" t="s">
        <v>1452</v>
      </c>
      <c r="K607" s="89" t="s">
        <v>1453</v>
      </c>
      <c r="L607" s="89" t="s">
        <v>1432</v>
      </c>
      <c r="M607" s="65"/>
      <c r="N607" s="112" t="s">
        <v>1454</v>
      </c>
      <c r="O607" s="112" t="s">
        <v>1453</v>
      </c>
      <c r="P607" s="112" t="s">
        <v>1432</v>
      </c>
    </row>
    <row r="608">
      <c r="A608" s="132" t="s">
        <v>1455</v>
      </c>
      <c r="B608" s="133">
        <f>COUNTIFS(P$11:P$569, "*,*", Q$11:Q$569, "L100,L100")</f>
        <v>2</v>
      </c>
      <c r="C608" s="133">
        <f>COUNTIFS(P$11:P$569, "*,*", Q$11:Q$569, "L100,100-1K")</f>
        <v>1</v>
      </c>
      <c r="D608" s="133">
        <f>COUNTIFS(P$11:P$569, "*,*", Q$11:Q$569, "L100,1K-100K")</f>
        <v>0</v>
      </c>
      <c r="E608" s="133">
        <f>COUNTIFS(P$11:P$569, "*,*", Q$11:Q$569, "L100,100K-1M")</f>
        <v>0</v>
      </c>
      <c r="F608" s="133">
        <f>COUNTIFS(P$11:P$569, "*,*", Q$11:Q$569, "L100,G1M")</f>
        <v>0</v>
      </c>
      <c r="G608" s="133">
        <f t="shared" ref="G608:G612" si="28">SUM(B608:F608)</f>
        <v>3</v>
      </c>
      <c r="H608" s="133">
        <f t="shared" ref="H608:H612" si="29">ROUND((G608/$G$613)*100,2)</f>
        <v>12</v>
      </c>
      <c r="J608" s="83" t="s">
        <v>1455</v>
      </c>
      <c r="K608" s="134">
        <f>COUNTIFS(P$11:P$569, "users", Q$11:Q$569, "L100")</f>
        <v>12</v>
      </c>
      <c r="L608" s="135">
        <f t="shared" ref="L608:L612" si="30">ROUND((K608/$K$613)*100,2)</f>
        <v>35.29</v>
      </c>
      <c r="N608" s="136" t="s">
        <v>1447</v>
      </c>
      <c r="O608" s="137">
        <f>COUNTIFS(P$11:P$569, "projects", Q$11:Q$569, "L100")</f>
        <v>13</v>
      </c>
      <c r="P608" s="117">
        <f t="shared" ref="P608:P612" si="31">ROUND((O608/$O$613)*100,2)</f>
        <v>38.24</v>
      </c>
    </row>
    <row r="609">
      <c r="A609" s="138" t="s">
        <v>1456</v>
      </c>
      <c r="B609" s="133">
        <f>COUNTIFS(P$11:P$569, "*,*", Q$11:Q$569, "100-1K,L100")</f>
        <v>0</v>
      </c>
      <c r="C609" s="133">
        <f>COUNTIFS(P$11:P$569, "*,*", Q$11:Q$569, "100-1K,100-1K")</f>
        <v>0</v>
      </c>
      <c r="D609" s="133">
        <f>COUNTIFS(P$11:P$569, "*,*", Q$11:Q$569, "100-1K,1K-100K")</f>
        <v>2</v>
      </c>
      <c r="E609" s="133">
        <f>COUNTIFS(P$11:P$569, "*,*", Q$11:Q$569, "100-1K,100K-1M")</f>
        <v>0</v>
      </c>
      <c r="F609" s="133">
        <f>COUNTIFS(P$11:P$569, "*,*", Q$11:Q$569, "100-1K,G1M")</f>
        <v>0</v>
      </c>
      <c r="G609" s="133">
        <f t="shared" si="28"/>
        <v>2</v>
      </c>
      <c r="H609" s="133">
        <f t="shared" si="29"/>
        <v>8</v>
      </c>
      <c r="I609" s="108"/>
      <c r="J609" s="139" t="s">
        <v>1456</v>
      </c>
      <c r="K609" s="134">
        <f>COUNTIFS(P$11:P$569, "users", Q$11:Q$569, "100-1K")</f>
        <v>11</v>
      </c>
      <c r="L609" s="135">
        <f t="shared" si="30"/>
        <v>32.35</v>
      </c>
      <c r="M609" s="40"/>
      <c r="N609" s="140" t="s">
        <v>1448</v>
      </c>
      <c r="O609" s="137">
        <f>COUNTIFS(P$11:P$569, "projects", Q$11:Q$569, "100-1K")</f>
        <v>6</v>
      </c>
      <c r="P609" s="117">
        <f t="shared" si="31"/>
        <v>17.65</v>
      </c>
    </row>
    <row r="610">
      <c r="A610" s="138" t="s">
        <v>1458</v>
      </c>
      <c r="B610" s="133">
        <f>COUNTIFS(P$11:P$569, "*,*", Q$11:Q$569, "1K-100K,L100")</f>
        <v>0</v>
      </c>
      <c r="C610" s="133">
        <f>COUNTIFS(P$11:P$569, "*,*", Q$11:Q$569, "1K-100K,100-1K")</f>
        <v>1</v>
      </c>
      <c r="D610" s="133">
        <f>COUNTIFS(P$11:P$569, "*,*", Q$11:Q$569, "1K-100K,1K-100K")</f>
        <v>4</v>
      </c>
      <c r="E610" s="133">
        <f>COUNTIFS(P$11:P$569, "*,*", Q$11:Q$569, "1K-100K,100K-1M")</f>
        <v>1</v>
      </c>
      <c r="F610" s="133">
        <f>COUNTIFS(P$11:P$569, "*,*", Q$11:Q$569, "1K-100K,G1M")</f>
        <v>0</v>
      </c>
      <c r="G610" s="133">
        <f t="shared" si="28"/>
        <v>6</v>
      </c>
      <c r="H610" s="133">
        <f t="shared" si="29"/>
        <v>24</v>
      </c>
      <c r="I610" s="105"/>
      <c r="J610" s="139" t="s">
        <v>1458</v>
      </c>
      <c r="K610" s="134">
        <f>COUNTIFS(P$11:P$569, "users", Q$11:Q$569, "1K-100K")</f>
        <v>5</v>
      </c>
      <c r="L610" s="135">
        <f t="shared" si="30"/>
        <v>14.71</v>
      </c>
      <c r="M610" s="40"/>
      <c r="N610" s="140" t="s">
        <v>1449</v>
      </c>
      <c r="O610" s="137">
        <f>COUNTIFS(P$11:P$569, "projects", Q$11:Q$569, "1K-100K")</f>
        <v>12</v>
      </c>
      <c r="P610" s="117">
        <f t="shared" si="31"/>
        <v>35.29</v>
      </c>
    </row>
    <row r="611">
      <c r="A611" s="138" t="s">
        <v>1459</v>
      </c>
      <c r="B611" s="133">
        <f>COUNTIFS(P$11:P$569, "*,*", Q$11:Q$569, "100K-1M,L100")</f>
        <v>0</v>
      </c>
      <c r="C611" s="133">
        <f>COUNTIFS(P$11:P$569, "*,*", Q$11:Q$569, "100K-1M,100-1K")</f>
        <v>0</v>
      </c>
      <c r="D611" s="133">
        <f>COUNTIFS(P$11:P$569, "*,*", Q$11:Q$569, "100K-1M,1K-100K")</f>
        <v>3</v>
      </c>
      <c r="E611" s="133">
        <f>COUNTIFS(P$11:P$569, "*,*", Q$11:Q$569, "100K-1M,100K-1M")</f>
        <v>2</v>
      </c>
      <c r="F611" s="133">
        <f>COUNTIFS(P$11:P$569, "*,*", Q$11:Q$569, "100K-1M,G1M")</f>
        <v>2</v>
      </c>
      <c r="G611" s="133">
        <f t="shared" si="28"/>
        <v>7</v>
      </c>
      <c r="H611" s="133">
        <f t="shared" si="29"/>
        <v>28</v>
      </c>
      <c r="I611" s="105"/>
      <c r="J611" s="139" t="s">
        <v>1459</v>
      </c>
      <c r="K611" s="134">
        <f>COUNTIFS(P$11:P$569, "users", Q$11:Q$569, "100K-1M")</f>
        <v>3</v>
      </c>
      <c r="L611" s="135">
        <f t="shared" si="30"/>
        <v>8.82</v>
      </c>
      <c r="M611" s="40"/>
      <c r="N611" s="140" t="s">
        <v>1450</v>
      </c>
      <c r="O611" s="137">
        <f>COUNTIFS(P$11:P$569, "projects", Q$11:Q$569, "100K-1M")</f>
        <v>1</v>
      </c>
      <c r="P611" s="117">
        <f t="shared" si="31"/>
        <v>2.94</v>
      </c>
    </row>
    <row r="612">
      <c r="A612" s="138" t="s">
        <v>1460</v>
      </c>
      <c r="B612" s="133">
        <f>COUNTIFS(P$11:P$569, "*,*", Q$11:Q$569, "G1M,L100")</f>
        <v>0</v>
      </c>
      <c r="C612" s="133">
        <f>COUNTIFS(P$11:P$569, "*,*", Q$11:Q$569, "G1M,100-1K")</f>
        <v>0</v>
      </c>
      <c r="D612" s="133">
        <f>COUNTIFS(P$11:P$569, "*,*", Q$11:Q$569, "G1M,1K-100K")</f>
        <v>0</v>
      </c>
      <c r="E612" s="133">
        <f>COUNTIFS(P$11:P$569, "*,*", Q$11:Q$569, "G1M,100K-1M")</f>
        <v>1</v>
      </c>
      <c r="F612" s="133">
        <f>COUNTIFS(P$11:P$569, "*,*", Q$11:Q$569, "G1M,G1M")</f>
        <v>6</v>
      </c>
      <c r="G612" s="133">
        <f t="shared" si="28"/>
        <v>7</v>
      </c>
      <c r="H612" s="133">
        <f t="shared" si="29"/>
        <v>28</v>
      </c>
      <c r="I612" s="105"/>
      <c r="J612" s="139" t="s">
        <v>1460</v>
      </c>
      <c r="K612" s="134">
        <f>COUNTIFS(P$11:P$569, "users", Q$11:Q$569, "G1M")</f>
        <v>3</v>
      </c>
      <c r="L612" s="135">
        <f t="shared" si="30"/>
        <v>8.82</v>
      </c>
      <c r="M612" s="40"/>
      <c r="N612" s="140" t="s">
        <v>1451</v>
      </c>
      <c r="O612" s="137">
        <f>COUNTIFS(P$11:P$569, "projects", Q$11:Q$569, "G1M")</f>
        <v>2</v>
      </c>
      <c r="P612" s="117">
        <f t="shared" si="31"/>
        <v>5.88</v>
      </c>
    </row>
    <row r="613">
      <c r="A613" s="141" t="s">
        <v>18</v>
      </c>
      <c r="B613" s="142">
        <f t="shared" ref="B613:F613" si="32">SUM(B608:B612)</f>
        <v>2</v>
      </c>
      <c r="C613" s="142">
        <f t="shared" si="32"/>
        <v>2</v>
      </c>
      <c r="D613" s="142">
        <f t="shared" si="32"/>
        <v>9</v>
      </c>
      <c r="E613" s="142">
        <f t="shared" si="32"/>
        <v>4</v>
      </c>
      <c r="F613" s="142">
        <f t="shared" si="32"/>
        <v>8</v>
      </c>
      <c r="G613" s="143">
        <f>IF(AND(SUM(G608:G612)=B602,SUM(B613:F613)=B602), SUM(B613:F613), "NO")</f>
        <v>25</v>
      </c>
      <c r="H613" s="144"/>
      <c r="I613" s="105"/>
      <c r="J613" s="145" t="s">
        <v>18</v>
      </c>
      <c r="K613" s="146">
        <f t="shared" ref="K613:L613" si="33">SUM(K608:K612)</f>
        <v>34</v>
      </c>
      <c r="L613" s="146">
        <f t="shared" si="33"/>
        <v>99.99</v>
      </c>
      <c r="M613" s="40"/>
      <c r="N613" s="112" t="s">
        <v>18</v>
      </c>
      <c r="O613" s="117">
        <f t="shared" ref="O613:P613" si="34">SUM(O608:O612)</f>
        <v>34</v>
      </c>
      <c r="P613" s="117">
        <f t="shared" si="34"/>
        <v>100</v>
      </c>
    </row>
    <row r="614">
      <c r="A614" s="141" t="s">
        <v>1432</v>
      </c>
      <c r="B614" s="142">
        <f t="shared" ref="B614:F614" si="35">ROUND((B613/$G$613)*100,2)</f>
        <v>8</v>
      </c>
      <c r="C614" s="142">
        <f t="shared" si="35"/>
        <v>8</v>
      </c>
      <c r="D614" s="142">
        <f t="shared" si="35"/>
        <v>36</v>
      </c>
      <c r="E614" s="142">
        <f t="shared" si="35"/>
        <v>16</v>
      </c>
      <c r="F614" s="142">
        <f t="shared" si="35"/>
        <v>32</v>
      </c>
      <c r="G614" s="144"/>
      <c r="H614" s="147">
        <f>IF(SUM(B614:F614)=SUM(H608:H612),SUM(H608:H612),"NO")</f>
        <v>100</v>
      </c>
      <c r="I614" s="105"/>
      <c r="J614" s="148" t="s">
        <v>1445</v>
      </c>
      <c r="K614" s="101" t="str">
        <f>IF(K613=B600,"OK","NO")</f>
        <v>OK</v>
      </c>
      <c r="L614" s="108"/>
      <c r="M614" s="150"/>
      <c r="N614" s="5" t="s">
        <v>1445</v>
      </c>
      <c r="O614" t="str">
        <f>IF(O613=B601,"OK","NO")</f>
        <v>OK</v>
      </c>
    </row>
    <row r="615">
      <c r="G615" s="5" t="s">
        <v>1445</v>
      </c>
      <c r="H615" t="str">
        <f>IF(AND(SUM(G608:G612)=B602,SUM(B613:F613)=B602), "OK", "NO")</f>
        <v>OK</v>
      </c>
    </row>
    <row r="616">
      <c r="A616" s="151" t="s">
        <v>1461</v>
      </c>
      <c r="B616" s="152" t="s">
        <v>1436</v>
      </c>
      <c r="C616" s="152" t="s">
        <v>1432</v>
      </c>
    </row>
    <row r="617">
      <c r="A617" s="153" t="s">
        <v>1462</v>
      </c>
      <c r="B617" s="154">
        <f>COUNTIFS($N$11:$N$569, "population")</f>
        <v>10</v>
      </c>
      <c r="C617" s="154">
        <f t="shared" ref="C617:C620" si="36">ROUND((B617/B$620)*100,2)</f>
        <v>10.75</v>
      </c>
      <c r="F617" s="5"/>
    </row>
    <row r="618">
      <c r="A618" s="153" t="s">
        <v>1463</v>
      </c>
      <c r="B618" s="154">
        <f>COUNTIFS($N$11:$N$569, "probability sampling")</f>
        <v>19</v>
      </c>
      <c r="C618" s="154">
        <f t="shared" si="36"/>
        <v>20.43</v>
      </c>
    </row>
    <row r="619">
      <c r="A619" s="153" t="s">
        <v>1464</v>
      </c>
      <c r="B619" s="154">
        <f>COUNTIFS($N$11:$N$569, "non-probability sampling")</f>
        <v>64</v>
      </c>
      <c r="C619" s="154">
        <f t="shared" si="36"/>
        <v>68.82</v>
      </c>
      <c r="L619" s="40"/>
      <c r="M619" s="40"/>
      <c r="N619" s="40"/>
      <c r="O619" s="40"/>
    </row>
    <row r="620">
      <c r="A620" s="153" t="s">
        <v>18</v>
      </c>
      <c r="B620" s="154">
        <f>SUM(B617:B619)</f>
        <v>93</v>
      </c>
      <c r="C620" s="154">
        <f t="shared" si="36"/>
        <v>100</v>
      </c>
      <c r="L620" s="30"/>
      <c r="M620" s="30"/>
      <c r="N620" s="108"/>
      <c r="O620" s="40"/>
    </row>
    <row r="621">
      <c r="A621" s="155" t="s">
        <v>1465</v>
      </c>
      <c r="B621" s="155" t="s">
        <v>1436</v>
      </c>
      <c r="C621" s="155" t="s">
        <v>1432</v>
      </c>
      <c r="L621" s="102"/>
      <c r="M621" s="105"/>
      <c r="N621" s="156"/>
      <c r="O621" s="40"/>
    </row>
    <row r="622">
      <c r="A622" s="157"/>
      <c r="B622" s="157">
        <f>COUNTIFS($O$11:$O$569, "*Diversity/Heterogeneity*")</f>
        <v>9</v>
      </c>
      <c r="C622" s="157">
        <f>ROUND((B622/C595)*100,2)</f>
        <v>11.25</v>
      </c>
      <c r="L622" s="102"/>
      <c r="M622" s="105"/>
      <c r="N622" s="156"/>
      <c r="O622" s="40"/>
    </row>
    <row r="623">
      <c r="A623" s="120" t="s">
        <v>1466</v>
      </c>
      <c r="B623" s="120" t="s">
        <v>1436</v>
      </c>
      <c r="C623" s="120" t="s">
        <v>1432</v>
      </c>
      <c r="L623" s="102"/>
      <c r="M623" s="105"/>
      <c r="N623" s="156"/>
      <c r="O623" s="40"/>
    </row>
    <row r="624">
      <c r="A624" s="20"/>
      <c r="B624" s="20">
        <f>COUNTIFS($O$11:$O$569, "*longitudinal*")</f>
        <v>18</v>
      </c>
      <c r="C624" s="20">
        <f>ROUND((B624/C595)*100,2)</f>
        <v>22.5</v>
      </c>
      <c r="L624" s="102"/>
      <c r="M624" s="105"/>
      <c r="N624" s="156"/>
      <c r="O624" s="40"/>
    </row>
    <row r="625">
      <c r="L625" s="30"/>
      <c r="M625" s="105"/>
      <c r="N625" s="156"/>
      <c r="O625" s="40"/>
    </row>
    <row r="626">
      <c r="A626" s="158" t="s">
        <v>1467</v>
      </c>
      <c r="B626" s="159" t="s">
        <v>49</v>
      </c>
      <c r="C626" s="159" t="s">
        <v>1436</v>
      </c>
      <c r="D626" s="159" t="s">
        <v>1468</v>
      </c>
      <c r="E626" s="159" t="s">
        <v>1469</v>
      </c>
      <c r="F626" s="160" t="s">
        <v>1470</v>
      </c>
      <c r="G626" s="125" t="s">
        <v>49</v>
      </c>
      <c r="H626" s="125" t="s">
        <v>1436</v>
      </c>
      <c r="I626" s="125" t="s">
        <v>1468</v>
      </c>
      <c r="J626" s="125" t="s">
        <v>1469</v>
      </c>
      <c r="K626" s="158" t="s">
        <v>1471</v>
      </c>
      <c r="L626" s="161" t="s">
        <v>1436</v>
      </c>
      <c r="M626" s="162" t="s">
        <v>1468</v>
      </c>
      <c r="N626" s="120" t="s">
        <v>1469</v>
      </c>
      <c r="O626" s="40"/>
    </row>
    <row r="627">
      <c r="A627" s="163"/>
      <c r="B627" s="164">
        <f>MIN(B11:B569)</f>
        <v>2009</v>
      </c>
      <c r="C627" s="165">
        <f t="shared" ref="C627:C634" si="37">COUNTIFS(G$11:G$569,"Y",S$11:S$569,"YES*", B$11:B$569, B627)</f>
        <v>0</v>
      </c>
      <c r="D627" s="166">
        <f t="shared" ref="D627:D634" si="38">ROUND((C627/E$603)*100,2)</f>
        <v>0</v>
      </c>
      <c r="E627" s="166">
        <f t="shared" ref="E627:E634" si="39">ROUND((C627/SUM(E$600:E$601))*100,2)</f>
        <v>0</v>
      </c>
      <c r="F627" s="126"/>
      <c r="G627" s="167">
        <f>MIN(B11:B569)</f>
        <v>2009</v>
      </c>
      <c r="H627" s="167">
        <f t="shared" ref="H627:H634" si="40">COUNTIFS(G$11:G$569,"Y",T$11:T$569,"YES", B$11:B$569, G627)</f>
        <v>0</v>
      </c>
      <c r="I627" s="126">
        <f t="shared" ref="I627:I634" si="41">ROUND((H627/SUM(H$600:H$601))*100,2)</f>
        <v>0</v>
      </c>
      <c r="J627" s="126">
        <f t="shared" ref="J627:J634" si="42">ROUND((H627/H$601)*100,2)</f>
        <v>0</v>
      </c>
      <c r="K627" s="168">
        <f>MIN(B11:B569)</f>
        <v>2009</v>
      </c>
      <c r="L627" s="169">
        <f t="shared" ref="L627:L634" si="43">COUNTIFS(G$11:G$569,"Y", B$11:B$569, K627, $O$11:$O$569, "*longitudinal*")</f>
        <v>0</v>
      </c>
      <c r="M627" s="166">
        <f t="shared" ref="M627:M634" si="44">ROUND((L627/E$603)*100,2)</f>
        <v>0</v>
      </c>
      <c r="N627" s="20">
        <f t="shared" ref="N627:N634" si="45">ROUND((L627/B$624)*100,2)</f>
        <v>0</v>
      </c>
      <c r="O627" s="40"/>
    </row>
    <row r="628">
      <c r="A628" s="163"/>
      <c r="B628" s="170">
        <f t="shared" ref="B628:B634" si="46">IF(A587+1&lt;MAX(B11:B569),A587+1,MAX(B11:B569))</f>
        <v>2010</v>
      </c>
      <c r="C628" s="165">
        <f t="shared" si="37"/>
        <v>0</v>
      </c>
      <c r="D628" s="166">
        <f t="shared" si="38"/>
        <v>0</v>
      </c>
      <c r="E628" s="166">
        <f t="shared" si="39"/>
        <v>0</v>
      </c>
      <c r="F628" s="126"/>
      <c r="G628" s="171">
        <f t="shared" ref="G628:G634" si="47">IF(A587+1&lt;MAX(B11:B569),A587+1,MAX(B11:B569))</f>
        <v>2010</v>
      </c>
      <c r="H628" s="167">
        <f t="shared" si="40"/>
        <v>0</v>
      </c>
      <c r="I628" s="126">
        <f t="shared" si="41"/>
        <v>0</v>
      </c>
      <c r="J628" s="126">
        <f t="shared" si="42"/>
        <v>0</v>
      </c>
      <c r="K628" s="168">
        <f t="shared" ref="K628:K634" si="48">IF(A587+1&lt;MAX(B11:B569),A587+1,MAX(B11:B569))</f>
        <v>2010</v>
      </c>
      <c r="L628" s="169">
        <f t="shared" si="43"/>
        <v>0</v>
      </c>
      <c r="M628" s="166">
        <f t="shared" si="44"/>
        <v>0</v>
      </c>
      <c r="N628" s="20">
        <f t="shared" si="45"/>
        <v>0</v>
      </c>
      <c r="O628" s="40"/>
    </row>
    <row r="629">
      <c r="A629" s="163"/>
      <c r="B629" s="170">
        <f t="shared" si="46"/>
        <v>2011</v>
      </c>
      <c r="C629" s="165">
        <f t="shared" si="37"/>
        <v>0</v>
      </c>
      <c r="D629" s="166">
        <f t="shared" si="38"/>
        <v>0</v>
      </c>
      <c r="E629" s="166">
        <f t="shared" si="39"/>
        <v>0</v>
      </c>
      <c r="F629" s="126"/>
      <c r="G629" s="171">
        <f t="shared" si="47"/>
        <v>2011</v>
      </c>
      <c r="H629" s="167">
        <f t="shared" si="40"/>
        <v>0</v>
      </c>
      <c r="I629" s="126">
        <f t="shared" si="41"/>
        <v>0</v>
      </c>
      <c r="J629" s="126">
        <f t="shared" si="42"/>
        <v>0</v>
      </c>
      <c r="K629" s="168">
        <f t="shared" si="48"/>
        <v>2011</v>
      </c>
      <c r="L629" s="169">
        <f t="shared" si="43"/>
        <v>0</v>
      </c>
      <c r="M629" s="166">
        <f t="shared" si="44"/>
        <v>0</v>
      </c>
      <c r="N629" s="20">
        <f t="shared" si="45"/>
        <v>0</v>
      </c>
    </row>
    <row r="630">
      <c r="A630" s="163"/>
      <c r="B630" s="170">
        <f t="shared" si="46"/>
        <v>2012</v>
      </c>
      <c r="C630" s="165">
        <f t="shared" si="37"/>
        <v>1</v>
      </c>
      <c r="D630" s="166">
        <f t="shared" si="38"/>
        <v>1.25</v>
      </c>
      <c r="E630" s="166">
        <f t="shared" si="39"/>
        <v>2.86</v>
      </c>
      <c r="F630" s="126"/>
      <c r="G630" s="171">
        <f t="shared" si="47"/>
        <v>2012</v>
      </c>
      <c r="H630" s="167">
        <f t="shared" si="40"/>
        <v>2</v>
      </c>
      <c r="I630" s="126">
        <f t="shared" si="41"/>
        <v>2.5</v>
      </c>
      <c r="J630" s="126">
        <f t="shared" si="42"/>
        <v>3.77</v>
      </c>
      <c r="K630" s="168">
        <f t="shared" si="48"/>
        <v>2012</v>
      </c>
      <c r="L630" s="169">
        <f t="shared" si="43"/>
        <v>0</v>
      </c>
      <c r="M630" s="166">
        <f t="shared" si="44"/>
        <v>0</v>
      </c>
      <c r="N630" s="20">
        <f t="shared" si="45"/>
        <v>0</v>
      </c>
    </row>
    <row r="631">
      <c r="A631" s="163"/>
      <c r="B631" s="170">
        <f t="shared" si="46"/>
        <v>2013</v>
      </c>
      <c r="C631" s="165">
        <f t="shared" si="37"/>
        <v>2</v>
      </c>
      <c r="D631" s="166">
        <f t="shared" si="38"/>
        <v>2.5</v>
      </c>
      <c r="E631" s="166">
        <f t="shared" si="39"/>
        <v>5.71</v>
      </c>
      <c r="F631" s="172"/>
      <c r="G631" s="171">
        <f t="shared" si="47"/>
        <v>2013</v>
      </c>
      <c r="H631" s="167">
        <f t="shared" si="40"/>
        <v>8</v>
      </c>
      <c r="I631" s="126">
        <f t="shared" si="41"/>
        <v>10</v>
      </c>
      <c r="J631" s="126">
        <f t="shared" si="42"/>
        <v>15.09</v>
      </c>
      <c r="K631" s="168">
        <f t="shared" si="48"/>
        <v>2013</v>
      </c>
      <c r="L631" s="169">
        <f t="shared" si="43"/>
        <v>2</v>
      </c>
      <c r="M631" s="166">
        <f t="shared" si="44"/>
        <v>2.5</v>
      </c>
      <c r="N631" s="20">
        <f t="shared" si="45"/>
        <v>11.11</v>
      </c>
    </row>
    <row r="632">
      <c r="A632" s="163"/>
      <c r="B632" s="170">
        <f t="shared" si="46"/>
        <v>2014</v>
      </c>
      <c r="C632" s="165">
        <f t="shared" si="37"/>
        <v>12</v>
      </c>
      <c r="D632" s="166">
        <f t="shared" si="38"/>
        <v>15</v>
      </c>
      <c r="E632" s="166">
        <f t="shared" si="39"/>
        <v>34.29</v>
      </c>
      <c r="F632" s="173"/>
      <c r="G632" s="171">
        <f t="shared" si="47"/>
        <v>2014</v>
      </c>
      <c r="H632" s="167">
        <f t="shared" si="40"/>
        <v>12</v>
      </c>
      <c r="I632" s="126">
        <f t="shared" si="41"/>
        <v>15</v>
      </c>
      <c r="J632" s="126">
        <f t="shared" si="42"/>
        <v>22.64</v>
      </c>
      <c r="K632" s="168">
        <f t="shared" si="48"/>
        <v>2014</v>
      </c>
      <c r="L632" s="169">
        <f t="shared" si="43"/>
        <v>5</v>
      </c>
      <c r="M632" s="166">
        <f t="shared" si="44"/>
        <v>6.25</v>
      </c>
      <c r="N632" s="20">
        <f t="shared" si="45"/>
        <v>27.78</v>
      </c>
    </row>
    <row r="633">
      <c r="A633" s="163"/>
      <c r="B633" s="170">
        <f t="shared" si="46"/>
        <v>2015</v>
      </c>
      <c r="C633" s="165">
        <f t="shared" si="37"/>
        <v>9</v>
      </c>
      <c r="D633" s="166">
        <f t="shared" si="38"/>
        <v>11.25</v>
      </c>
      <c r="E633" s="166">
        <f t="shared" si="39"/>
        <v>25.71</v>
      </c>
      <c r="F633" s="173"/>
      <c r="G633" s="171">
        <f t="shared" si="47"/>
        <v>2015</v>
      </c>
      <c r="H633" s="167">
        <f t="shared" si="40"/>
        <v>19</v>
      </c>
      <c r="I633" s="126">
        <f t="shared" si="41"/>
        <v>23.75</v>
      </c>
      <c r="J633" s="126">
        <f t="shared" si="42"/>
        <v>35.85</v>
      </c>
      <c r="K633" s="168">
        <f t="shared" si="48"/>
        <v>2015</v>
      </c>
      <c r="L633" s="169">
        <f t="shared" si="43"/>
        <v>5</v>
      </c>
      <c r="M633" s="166">
        <f t="shared" si="44"/>
        <v>6.25</v>
      </c>
      <c r="N633" s="20">
        <f t="shared" si="45"/>
        <v>27.78</v>
      </c>
    </row>
    <row r="634">
      <c r="A634" s="163"/>
      <c r="B634" s="170">
        <f t="shared" si="46"/>
        <v>2016</v>
      </c>
      <c r="C634" s="165">
        <f t="shared" si="37"/>
        <v>11</v>
      </c>
      <c r="D634" s="166">
        <f t="shared" si="38"/>
        <v>13.75</v>
      </c>
      <c r="E634" s="166">
        <f t="shared" si="39"/>
        <v>31.43</v>
      </c>
      <c r="F634" s="173"/>
      <c r="G634" s="171">
        <f t="shared" si="47"/>
        <v>2016</v>
      </c>
      <c r="H634" s="167">
        <f t="shared" si="40"/>
        <v>12</v>
      </c>
      <c r="I634" s="126">
        <f t="shared" si="41"/>
        <v>15</v>
      </c>
      <c r="J634" s="126">
        <f t="shared" si="42"/>
        <v>22.64</v>
      </c>
      <c r="K634" s="168">
        <f t="shared" si="48"/>
        <v>2016</v>
      </c>
      <c r="L634" s="169">
        <f t="shared" si="43"/>
        <v>6</v>
      </c>
      <c r="M634" s="166">
        <f t="shared" si="44"/>
        <v>7.5</v>
      </c>
      <c r="N634" s="20">
        <f t="shared" si="45"/>
        <v>33.33</v>
      </c>
    </row>
    <row r="635">
      <c r="A635" s="163"/>
      <c r="B635" s="174" t="s">
        <v>1445</v>
      </c>
      <c r="C635" s="169" t="str">
        <f t="shared" ref="C635:D635" si="49">IF(SUM(C627:C634)=SUM(E600:E601),"OK","NO")</f>
        <v>OK</v>
      </c>
      <c r="D635" s="166" t="str">
        <f t="shared" si="49"/>
        <v>OK</v>
      </c>
      <c r="E635" s="166">
        <f>SUM(E627:E634)</f>
        <v>100</v>
      </c>
      <c r="G635" s="175" t="s">
        <v>1445</v>
      </c>
      <c r="H635" s="105" t="str">
        <f t="shared" ref="H635:I635" si="50">IF(SUM(H627:H634)=H601,"OK","NO")</f>
        <v>OK</v>
      </c>
      <c r="I635" s="176" t="str">
        <f t="shared" si="50"/>
        <v>OK</v>
      </c>
      <c r="J635">
        <f>SUM(J627:J634)</f>
        <v>99.99</v>
      </c>
      <c r="K635" s="5" t="s">
        <v>1445</v>
      </c>
      <c r="L635" t="str">
        <f t="shared" ref="L635:M635" si="51">IF(SUM(L627:L634)=B624,"OK","NO")</f>
        <v>OK</v>
      </c>
      <c r="M635" t="str">
        <f t="shared" si="51"/>
        <v>OK</v>
      </c>
      <c r="N635">
        <f>SUM(N627:N634)</f>
        <v>100</v>
      </c>
    </row>
    <row r="640">
      <c r="A640" s="177"/>
      <c r="B640" s="177"/>
      <c r="C640" s="177"/>
      <c r="D640" s="177"/>
      <c r="E640" s="177"/>
      <c r="F640" s="177"/>
      <c r="G640" s="177"/>
      <c r="H640" s="177"/>
      <c r="I640" s="177"/>
      <c r="J640" s="177"/>
      <c r="K640" s="177"/>
      <c r="L640" s="177"/>
      <c r="M640" s="177"/>
      <c r="N640" s="177"/>
      <c r="O640" s="177"/>
      <c r="P640" s="177"/>
      <c r="Q640" s="177"/>
      <c r="R640" s="177"/>
      <c r="S640" s="177"/>
      <c r="T640" s="177"/>
      <c r="U640" s="177"/>
      <c r="V640" s="177"/>
      <c r="W640" s="177"/>
      <c r="X640" s="177"/>
      <c r="Y640" s="177"/>
      <c r="Z640" s="177"/>
      <c r="AA640" s="177"/>
      <c r="AB640" s="177"/>
      <c r="AC640" s="177"/>
      <c r="AD640" s="177"/>
      <c r="AE640" s="177"/>
      <c r="AF640" s="177"/>
      <c r="AG640" s="177"/>
      <c r="AH640" s="177"/>
      <c r="AI640" s="177"/>
    </row>
    <row r="641">
      <c r="A641" s="178" t="s">
        <v>1472</v>
      </c>
      <c r="B641" s="177"/>
      <c r="C641" s="177"/>
      <c r="D641" s="177"/>
      <c r="E641" s="177"/>
      <c r="F641" s="177"/>
      <c r="G641" s="177"/>
      <c r="H641" s="177"/>
      <c r="I641" s="177"/>
      <c r="J641" s="177"/>
      <c r="K641" s="177"/>
      <c r="L641" s="177"/>
      <c r="M641" s="177"/>
      <c r="N641" s="177"/>
      <c r="O641" s="177"/>
      <c r="P641" s="177"/>
      <c r="Q641" s="177"/>
      <c r="R641" s="177"/>
      <c r="S641" s="177"/>
      <c r="T641" s="177"/>
      <c r="U641" s="177"/>
      <c r="V641" s="177"/>
      <c r="W641" s="177"/>
      <c r="X641" s="177"/>
      <c r="Y641" s="177"/>
      <c r="Z641" s="177"/>
      <c r="AA641" s="177"/>
      <c r="AB641" s="177"/>
      <c r="AC641" s="177"/>
      <c r="AD641" s="177"/>
      <c r="AE641" s="177"/>
      <c r="AF641" s="177"/>
      <c r="AG641" s="177"/>
      <c r="AH641" s="177"/>
      <c r="AI641" s="177"/>
    </row>
    <row r="642">
      <c r="A642" s="177"/>
      <c r="B642" s="177"/>
      <c r="C642" s="177"/>
      <c r="D642" s="177"/>
      <c r="E642" s="177"/>
      <c r="F642" s="177"/>
      <c r="G642" s="177"/>
      <c r="H642" s="177"/>
      <c r="I642" s="177"/>
      <c r="J642" s="177"/>
      <c r="K642" s="177"/>
      <c r="L642" s="177"/>
      <c r="M642" s="177"/>
      <c r="N642" s="177"/>
      <c r="O642" s="177"/>
      <c r="P642" s="177"/>
      <c r="Q642" s="177"/>
      <c r="R642" s="177"/>
      <c r="S642" s="177"/>
      <c r="T642" s="177"/>
      <c r="U642" s="177"/>
      <c r="V642" s="177"/>
      <c r="W642" s="177"/>
      <c r="X642" s="177"/>
      <c r="Y642" s="177"/>
      <c r="Z642" s="177"/>
      <c r="AA642" s="177"/>
      <c r="AB642" s="177"/>
      <c r="AC642" s="177"/>
      <c r="AD642" s="177"/>
      <c r="AE642" s="177"/>
      <c r="AF642" s="177"/>
      <c r="AG642" s="177"/>
      <c r="AH642" s="177"/>
      <c r="AI642" s="177"/>
    </row>
    <row r="643">
      <c r="A643" s="119" t="s">
        <v>1473</v>
      </c>
      <c r="B643" s="124"/>
      <c r="C643" s="119" t="s">
        <v>1474</v>
      </c>
      <c r="D643" s="179"/>
      <c r="E643" s="40"/>
      <c r="F643" s="159" t="s">
        <v>49</v>
      </c>
      <c r="G643" s="120" t="s">
        <v>1475</v>
      </c>
      <c r="H643" s="120" t="s">
        <v>1476</v>
      </c>
      <c r="I643" s="120" t="s">
        <v>1477</v>
      </c>
      <c r="J643" s="120" t="s">
        <v>1478</v>
      </c>
      <c r="K643" s="120" t="s">
        <v>1479</v>
      </c>
      <c r="L643" s="120" t="s">
        <v>1480</v>
      </c>
      <c r="M643" s="120" t="s">
        <v>1481</v>
      </c>
      <c r="N643" s="120" t="s">
        <v>1482</v>
      </c>
      <c r="O643" s="40"/>
    </row>
    <row r="644">
      <c r="A644" s="119" t="s">
        <v>1475</v>
      </c>
      <c r="B644" s="124">
        <f>COUNTIFS(G$11:G$569,"Y",Z$11:Z$569,"*[1]*")</f>
        <v>34</v>
      </c>
      <c r="C644" s="119" t="s">
        <v>1483</v>
      </c>
      <c r="D644" s="124">
        <f>COUNTIFS(G$11:G$569,"Y",AA$11:AA$569,"*[1.1]*")</f>
        <v>21</v>
      </c>
      <c r="E644" s="40"/>
      <c r="F644" s="164">
        <f>MIN(B11:B569)</f>
        <v>2009</v>
      </c>
      <c r="G644" s="20">
        <f t="shared" ref="G644:G651" si="52">COUNTIFS(B$11:B$569,F644,G$11:G$569,"Y",H$11:H$569,"",Z$11:Z$569,"*[1]*")</f>
        <v>0</v>
      </c>
      <c r="H644" s="20">
        <f t="shared" ref="H644:H651" si="53">COUNTIFS(B$11:B$569,F644,G$11:G$569,"Y",H$11:H$569,"",Z$11:Z$569,"*[2]*")</f>
        <v>0</v>
      </c>
      <c r="I644" s="20">
        <f t="shared" ref="I644:I651" si="54">COUNTIFS(B$11:B$569,F644,G$11:G$569,"Y",H$11:H$569,"",Z$11:Z$569,"*[3]*")</f>
        <v>0</v>
      </c>
      <c r="J644" s="20">
        <f t="shared" ref="J644:J651" si="55">COUNTIFS(B$11:B$569,F644,G$11:G$569,"Y",H$11:H$569,"",Z$11:Z$569,"*[4]*")</f>
        <v>0</v>
      </c>
      <c r="K644" s="20">
        <f t="shared" ref="K644:K651" si="56">ROUND((G644/$B$644)*100,2)</f>
        <v>0</v>
      </c>
      <c r="L644" s="20">
        <f t="shared" ref="L644:L651" si="57">ROUND((H644/$B$645)*100,2)</f>
        <v>0</v>
      </c>
      <c r="M644" s="20">
        <f t="shared" ref="M644:M651" si="58">ROUND((I644/$B$646)*100,2)</f>
        <v>0</v>
      </c>
      <c r="N644" s="20">
        <f t="shared" ref="N644:N651" si="59">ROUND((J644/$B$647)*100,2)</f>
        <v>0</v>
      </c>
      <c r="O644" s="40"/>
    </row>
    <row r="645">
      <c r="A645" s="119" t="s">
        <v>1476</v>
      </c>
      <c r="B645" s="124">
        <f>COUNTIFS(G$11:G$569,"Y",Z$11:Z$569,"*[2]*")</f>
        <v>45</v>
      </c>
      <c r="C645" s="119" t="s">
        <v>1484</v>
      </c>
      <c r="D645" s="124">
        <f>COUNTIFS(G$11:G$569,"Y",AA$11:AA$569,"*[1.2]*")</f>
        <v>6</v>
      </c>
      <c r="F645" s="170">
        <f t="shared" ref="F645:F651" si="60">IF(A587+1&lt;MAX(B11:B569),A587+1,MAX(B11:B569))</f>
        <v>2010</v>
      </c>
      <c r="G645" s="20">
        <f t="shared" si="52"/>
        <v>0</v>
      </c>
      <c r="H645" s="20">
        <f t="shared" si="53"/>
        <v>0</v>
      </c>
      <c r="I645" s="20">
        <f t="shared" si="54"/>
        <v>1</v>
      </c>
      <c r="J645" s="20">
        <f t="shared" si="55"/>
        <v>0</v>
      </c>
      <c r="K645" s="20">
        <f t="shared" si="56"/>
        <v>0</v>
      </c>
      <c r="L645" s="20">
        <f t="shared" si="57"/>
        <v>0</v>
      </c>
      <c r="M645" s="20">
        <f t="shared" si="58"/>
        <v>2.94</v>
      </c>
      <c r="N645" s="20">
        <f t="shared" si="59"/>
        <v>0</v>
      </c>
      <c r="O645" s="40"/>
    </row>
    <row r="646">
      <c r="A646" s="119" t="s">
        <v>1477</v>
      </c>
      <c r="B646" s="124">
        <f>COUNTIFS(G$11:G$569,"Y",Z$11:Z$569,"*[3]*")</f>
        <v>34</v>
      </c>
      <c r="C646" s="119" t="s">
        <v>1485</v>
      </c>
      <c r="D646" s="124">
        <f>COUNTIFS(G$11:G$569,"Y",AA$11:AA$569,"*[1.3]*")</f>
        <v>12</v>
      </c>
      <c r="F646" s="170">
        <f t="shared" si="60"/>
        <v>2011</v>
      </c>
      <c r="G646" s="20">
        <f t="shared" si="52"/>
        <v>0</v>
      </c>
      <c r="H646" s="20">
        <f t="shared" si="53"/>
        <v>0</v>
      </c>
      <c r="I646" s="20">
        <f t="shared" si="54"/>
        <v>0</v>
      </c>
      <c r="J646" s="20">
        <f t="shared" si="55"/>
        <v>0</v>
      </c>
      <c r="K646" s="20">
        <f t="shared" si="56"/>
        <v>0</v>
      </c>
      <c r="L646" s="20">
        <f t="shared" si="57"/>
        <v>0</v>
      </c>
      <c r="M646" s="20">
        <f t="shared" si="58"/>
        <v>0</v>
      </c>
      <c r="N646" s="20">
        <f t="shared" si="59"/>
        <v>0</v>
      </c>
      <c r="O646" s="40"/>
    </row>
    <row r="647">
      <c r="A647" s="119" t="s">
        <v>1478</v>
      </c>
      <c r="B647" s="124">
        <f>COUNTIFS(G$11:G$569,"Y",Z$11:Z$569,"*[4]*")</f>
        <v>23</v>
      </c>
      <c r="C647" s="119" t="s">
        <v>1486</v>
      </c>
      <c r="D647" s="124">
        <f>COUNTIFS(G$11:G$569,"Y",AA$11:AA$569,"*[2.1]*")</f>
        <v>18</v>
      </c>
      <c r="F647" s="170">
        <f t="shared" si="60"/>
        <v>2012</v>
      </c>
      <c r="G647" s="20">
        <f t="shared" si="52"/>
        <v>1</v>
      </c>
      <c r="H647" s="20">
        <f t="shared" si="53"/>
        <v>2</v>
      </c>
      <c r="I647" s="20">
        <f t="shared" si="54"/>
        <v>3</v>
      </c>
      <c r="J647" s="20">
        <f t="shared" si="55"/>
        <v>2</v>
      </c>
      <c r="K647" s="20">
        <f t="shared" si="56"/>
        <v>2.94</v>
      </c>
      <c r="L647" s="20">
        <f t="shared" si="57"/>
        <v>4.44</v>
      </c>
      <c r="M647" s="20">
        <f t="shared" si="58"/>
        <v>8.82</v>
      </c>
      <c r="N647" s="20">
        <f t="shared" si="59"/>
        <v>8.7</v>
      </c>
      <c r="O647" s="40"/>
    </row>
    <row r="648">
      <c r="A648" s="124"/>
      <c r="B648" s="124"/>
      <c r="C648" s="119" t="s">
        <v>1487</v>
      </c>
      <c r="D648" s="124">
        <f>COUNTIFS(G$11:G$569,"Y",AA$11:AA$569,"*[2.2]*")</f>
        <v>14</v>
      </c>
      <c r="F648" s="170">
        <f t="shared" si="60"/>
        <v>2013</v>
      </c>
      <c r="G648" s="20">
        <f t="shared" si="52"/>
        <v>4</v>
      </c>
      <c r="H648" s="20">
        <f t="shared" si="53"/>
        <v>3</v>
      </c>
      <c r="I648" s="20">
        <f t="shared" si="54"/>
        <v>9</v>
      </c>
      <c r="J648" s="20">
        <f t="shared" si="55"/>
        <v>6</v>
      </c>
      <c r="K648" s="20">
        <f t="shared" si="56"/>
        <v>11.76</v>
      </c>
      <c r="L648" s="20">
        <f t="shared" si="57"/>
        <v>6.67</v>
      </c>
      <c r="M648" s="20">
        <f t="shared" si="58"/>
        <v>26.47</v>
      </c>
      <c r="N648" s="20">
        <f t="shared" si="59"/>
        <v>26.09</v>
      </c>
      <c r="O648" s="40"/>
    </row>
    <row r="649">
      <c r="A649" s="124"/>
      <c r="B649" s="124"/>
      <c r="C649" s="119" t="s">
        <v>1488</v>
      </c>
      <c r="D649" s="124">
        <f>COUNTIFS(G$11:G$569,"Y",AA$11:AA$569,"*[2.3]*")</f>
        <v>18</v>
      </c>
      <c r="F649" s="170">
        <f t="shared" si="60"/>
        <v>2014</v>
      </c>
      <c r="G649" s="20">
        <f t="shared" si="52"/>
        <v>9</v>
      </c>
      <c r="H649" s="20">
        <f t="shared" si="53"/>
        <v>16</v>
      </c>
      <c r="I649" s="20">
        <f t="shared" si="54"/>
        <v>11</v>
      </c>
      <c r="J649" s="20">
        <f t="shared" si="55"/>
        <v>7</v>
      </c>
      <c r="K649" s="20">
        <f t="shared" si="56"/>
        <v>26.47</v>
      </c>
      <c r="L649" s="20">
        <f t="shared" si="57"/>
        <v>35.56</v>
      </c>
      <c r="M649" s="20">
        <f t="shared" si="58"/>
        <v>32.35</v>
      </c>
      <c r="N649" s="20">
        <f t="shared" si="59"/>
        <v>30.43</v>
      </c>
      <c r="O649" s="40"/>
    </row>
    <row r="650">
      <c r="A650" s="124"/>
      <c r="B650" s="124"/>
      <c r="C650" s="119" t="s">
        <v>1489</v>
      </c>
      <c r="D650" s="124">
        <f>COUNTIFS(G$11:G$569,"Y",AA$11:AA$569,"*[2.4]*")</f>
        <v>12</v>
      </c>
      <c r="F650" s="170">
        <f t="shared" si="60"/>
        <v>2015</v>
      </c>
      <c r="G650" s="20">
        <f t="shared" si="52"/>
        <v>12</v>
      </c>
      <c r="H650" s="20">
        <f t="shared" si="53"/>
        <v>14</v>
      </c>
      <c r="I650" s="20">
        <f t="shared" si="54"/>
        <v>4</v>
      </c>
      <c r="J650" s="20">
        <f t="shared" si="55"/>
        <v>3</v>
      </c>
      <c r="K650" s="20">
        <f t="shared" si="56"/>
        <v>35.29</v>
      </c>
      <c r="L650" s="20">
        <f t="shared" si="57"/>
        <v>31.11</v>
      </c>
      <c r="M650" s="20">
        <f t="shared" si="58"/>
        <v>11.76</v>
      </c>
      <c r="N650" s="20">
        <f t="shared" si="59"/>
        <v>13.04</v>
      </c>
      <c r="O650" s="40"/>
    </row>
    <row r="651">
      <c r="A651" s="124"/>
      <c r="B651" s="124"/>
      <c r="C651" s="119" t="s">
        <v>1490</v>
      </c>
      <c r="D651" s="124">
        <f>COUNTIFS(G$11:G$569,"Y",AA$11:AA$569,"*[3.1]*")</f>
        <v>21</v>
      </c>
      <c r="F651" s="170">
        <f t="shared" si="60"/>
        <v>2016</v>
      </c>
      <c r="G651" s="20">
        <f t="shared" si="52"/>
        <v>8</v>
      </c>
      <c r="H651" s="20">
        <f t="shared" si="53"/>
        <v>10</v>
      </c>
      <c r="I651" s="20">
        <f t="shared" si="54"/>
        <v>6</v>
      </c>
      <c r="J651" s="20">
        <f t="shared" si="55"/>
        <v>5</v>
      </c>
      <c r="K651" s="20">
        <f t="shared" si="56"/>
        <v>23.53</v>
      </c>
      <c r="L651" s="20">
        <f t="shared" si="57"/>
        <v>22.22</v>
      </c>
      <c r="M651" s="20">
        <f t="shared" si="58"/>
        <v>17.65</v>
      </c>
      <c r="N651" s="20">
        <f t="shared" si="59"/>
        <v>21.74</v>
      </c>
      <c r="O651" s="40"/>
    </row>
    <row r="652">
      <c r="A652" s="124"/>
      <c r="B652" s="124"/>
      <c r="C652" s="119" t="s">
        <v>1491</v>
      </c>
      <c r="D652" s="124">
        <f>COUNTIFS(G$11:G$569,"Y",AA$11:AA$569,"*[3.2]*")</f>
        <v>10</v>
      </c>
      <c r="F652" s="120" t="s">
        <v>1445</v>
      </c>
      <c r="G652" s="20" t="str">
        <f>IF(SUM(G644:G651)=B644,"OK","NO")</f>
        <v>OK</v>
      </c>
      <c r="H652" s="20" t="str">
        <f>IF(SUM(H644:H651)=B645,"OK","NO")</f>
        <v>OK</v>
      </c>
      <c r="I652" s="20" t="str">
        <f>IF(SUM(I644:I651)=B646,"OK","NO")</f>
        <v>OK</v>
      </c>
      <c r="J652" s="20" t="str">
        <f>IF(SUM(J644:J651)=B647,"OK","NO")</f>
        <v>OK</v>
      </c>
      <c r="K652" s="20">
        <f t="shared" ref="K652:N652" si="61">SUM(K644:K651)</f>
        <v>99.99</v>
      </c>
      <c r="L652" s="20">
        <f t="shared" si="61"/>
        <v>100</v>
      </c>
      <c r="M652" s="20">
        <f t="shared" si="61"/>
        <v>99.99</v>
      </c>
      <c r="N652" s="20">
        <f t="shared" si="61"/>
        <v>100</v>
      </c>
      <c r="O652" s="40"/>
    </row>
    <row r="653">
      <c r="A653" s="124"/>
      <c r="B653" s="124"/>
      <c r="C653" s="119" t="s">
        <v>1492</v>
      </c>
      <c r="D653" s="124">
        <f>COUNTIFS(G$11:G$569,"Y",AA$11:AA$569,"*[3.3]*")</f>
        <v>2</v>
      </c>
      <c r="F653" s="5"/>
      <c r="G653" s="40"/>
      <c r="H653" s="40"/>
      <c r="I653" s="40"/>
      <c r="J653" s="40"/>
      <c r="K653" s="40"/>
      <c r="L653" s="40"/>
      <c r="M653" s="40"/>
      <c r="N653" s="40"/>
      <c r="O653" s="40"/>
    </row>
    <row r="654">
      <c r="A654" s="124"/>
      <c r="B654" s="124"/>
      <c r="C654" s="119" t="s">
        <v>1493</v>
      </c>
      <c r="D654" s="124">
        <f>COUNTIFS(G$11:G$569,"Y",AA$11:AA$569,"*[3.4]*")</f>
        <v>10</v>
      </c>
      <c r="F654" s="40"/>
      <c r="G654" s="40"/>
      <c r="H654" s="40"/>
      <c r="I654" s="40"/>
      <c r="J654" s="40"/>
      <c r="K654" s="40"/>
      <c r="L654" s="40"/>
      <c r="M654" s="40"/>
      <c r="N654" s="40"/>
      <c r="O654" s="40"/>
    </row>
    <row r="655">
      <c r="A655" s="124"/>
      <c r="B655" s="124"/>
      <c r="C655" s="119" t="s">
        <v>1494</v>
      </c>
      <c r="D655" s="124">
        <f>COUNTIFS(G$11:G$569,"Y",AA$11:AA$569,"*[3.5]*")</f>
        <v>6</v>
      </c>
      <c r="F655" s="40"/>
      <c r="G655" s="40"/>
      <c r="H655" s="40"/>
      <c r="I655" s="40"/>
      <c r="J655" s="40"/>
      <c r="K655" s="40"/>
      <c r="L655" s="40"/>
      <c r="M655" s="40"/>
      <c r="N655" s="40"/>
      <c r="O655" s="40"/>
    </row>
    <row r="656">
      <c r="A656" s="124"/>
      <c r="B656" s="124"/>
      <c r="C656" s="119" t="s">
        <v>1495</v>
      </c>
      <c r="D656" s="124">
        <f>COUNTIFS(G$11:G$569,"Y",AA$11:AA$569,"*[4.1]*")</f>
        <v>8</v>
      </c>
      <c r="F656" s="40"/>
      <c r="G656" s="40"/>
      <c r="H656" s="40"/>
      <c r="I656" s="40"/>
      <c r="J656" s="40"/>
      <c r="K656" s="40"/>
      <c r="L656" s="40"/>
      <c r="M656" s="40"/>
      <c r="N656" s="40"/>
      <c r="O656" s="40"/>
    </row>
    <row r="657">
      <c r="A657" s="124"/>
      <c r="B657" s="124"/>
      <c r="C657" s="119" t="s">
        <v>1496</v>
      </c>
      <c r="D657" s="124">
        <f>COUNTIFS(G$11:G$569,"Y",AA$11:AA$569,"*[4.2]*")</f>
        <v>9</v>
      </c>
      <c r="F657" s="40"/>
      <c r="G657" s="40"/>
      <c r="H657" s="40"/>
      <c r="I657" s="40"/>
      <c r="J657" s="40"/>
      <c r="K657" s="40"/>
      <c r="L657" s="40"/>
      <c r="M657" s="40"/>
      <c r="N657" s="40"/>
      <c r="O657" s="40"/>
    </row>
    <row r="658">
      <c r="A658" s="124"/>
      <c r="B658" s="124"/>
      <c r="C658" s="119" t="s">
        <v>1497</v>
      </c>
      <c r="D658" s="124">
        <f>COUNTIFS(G$11:G$569,"Y",AA$11:AA$569,"*[4.3]*")</f>
        <v>7</v>
      </c>
      <c r="F658" s="40"/>
      <c r="G658" s="40"/>
      <c r="H658" s="40"/>
      <c r="I658" s="40"/>
      <c r="J658" s="40"/>
      <c r="K658" s="40"/>
      <c r="L658" s="40"/>
      <c r="M658" s="40"/>
      <c r="N658" s="40"/>
      <c r="O658" s="40"/>
    </row>
    <row r="659">
      <c r="F659" s="40"/>
      <c r="G659" s="40"/>
      <c r="H659" s="40"/>
      <c r="I659" s="40"/>
      <c r="J659" s="40"/>
      <c r="K659" s="40"/>
      <c r="L659" s="40"/>
      <c r="M659" s="40"/>
      <c r="N659" s="40"/>
      <c r="O659" s="40"/>
    </row>
    <row r="661">
      <c r="A661" s="128" t="s">
        <v>1498</v>
      </c>
      <c r="B661" s="128" t="s">
        <v>1423</v>
      </c>
      <c r="C661" s="128" t="s">
        <v>1424</v>
      </c>
      <c r="D661" s="128" t="s">
        <v>1425</v>
      </c>
      <c r="E661" s="128" t="s">
        <v>1426</v>
      </c>
      <c r="F661" s="128" t="s">
        <v>1445</v>
      </c>
      <c r="G661" s="128" t="s">
        <v>1499</v>
      </c>
      <c r="H661" s="128" t="s">
        <v>1500</v>
      </c>
      <c r="I661" s="128" t="s">
        <v>1501</v>
      </c>
      <c r="J661" s="128" t="s">
        <v>1502</v>
      </c>
      <c r="K661" s="128" t="s">
        <v>1503</v>
      </c>
      <c r="L661" s="128"/>
      <c r="M661" s="128"/>
      <c r="N661" s="128"/>
      <c r="O661" s="128"/>
    </row>
    <row r="662">
      <c r="A662" s="128" t="s">
        <v>1475</v>
      </c>
      <c r="B662" s="129">
        <f>COUNTIFS(G$11:G$569,"Y",L$11:L$569,"metadata observation",H$11:H$569,"",Z$11:Z$569,"*[1]*")</f>
        <v>21</v>
      </c>
      <c r="C662" s="129">
        <f>COUNTIFS(G$11:G$569,"Y",L$11:L$569,"survey",H$11:H$569,"",Z$11:Z$569,"*[1]*")</f>
        <v>2</v>
      </c>
      <c r="D662" s="129">
        <f>COUNTIFS(G$11:G$569,"Y",L$11:L$569,"interview",H$11:H$569,"",Z$11:Z$569,"*[1]*")</f>
        <v>3</v>
      </c>
      <c r="E662" s="129">
        <f>COUNTIFS(G$11:G$569,"Y",L$11:L$569,"mixed",H$11:H$569,"",Z$11:Z$569,"*[1]*")</f>
        <v>8</v>
      </c>
      <c r="F662" s="129" t="str">
        <f>IF(SUM(B$662:E$662)=B$644,"OK","NO")</f>
        <v>OK</v>
      </c>
      <c r="G662" s="129">
        <f t="shared" ref="G662:J662" si="62">ROUND(B662/SUM($B662:$E662)*100,2)</f>
        <v>61.76</v>
      </c>
      <c r="H662" s="129">
        <f t="shared" si="62"/>
        <v>5.88</v>
      </c>
      <c r="I662" s="129">
        <f t="shared" si="62"/>
        <v>8.82</v>
      </c>
      <c r="J662" s="129">
        <f t="shared" si="62"/>
        <v>23.53</v>
      </c>
      <c r="K662" s="129">
        <f t="shared" ref="K662:K665" si="64">SUM(G662:J662)</f>
        <v>99.99</v>
      </c>
      <c r="L662" s="129"/>
      <c r="M662" s="129"/>
      <c r="N662" s="129"/>
      <c r="O662" s="129"/>
    </row>
    <row r="663">
      <c r="A663" s="128" t="s">
        <v>1476</v>
      </c>
      <c r="B663" s="129">
        <f>COUNTIFS(G$11:G$569,"Y",L$11:L$569,"metadata observation",H$11:H$569,"",Z$11:Z$569,"*[2]*")</f>
        <v>33</v>
      </c>
      <c r="C663" s="129">
        <f>COUNTIFS(G$11:G$569,"Y",L$11:L$569,"survey",H$11:H$569,"",Z$11:Z$569,"*[2]*")</f>
        <v>3</v>
      </c>
      <c r="D663" s="129">
        <f>COUNTIFS(G$11:G$569,"Y",L$11:L$569,"interview",H$11:H$569,"",Z$11:Z$569,"*[2]*")</f>
        <v>3</v>
      </c>
      <c r="E663" s="129">
        <f>COUNTIFS(G$11:G$569,"Y",L$11:L$569,"mixed",H$11:H$569,"",Z$11:Z$569,"*[2]*")</f>
        <v>6</v>
      </c>
      <c r="F663" s="129" t="str">
        <f>IF(SUM(B$663:E$663)=B$645,"OK","NO")</f>
        <v>OK</v>
      </c>
      <c r="G663" s="129">
        <f t="shared" ref="G663:J663" si="63">ROUND(B663/SUM($B663:$E663)*100,2)</f>
        <v>73.33</v>
      </c>
      <c r="H663" s="129">
        <f t="shared" si="63"/>
        <v>6.67</v>
      </c>
      <c r="I663" s="129">
        <f t="shared" si="63"/>
        <v>6.67</v>
      </c>
      <c r="J663" s="129">
        <f t="shared" si="63"/>
        <v>13.33</v>
      </c>
      <c r="K663" s="129">
        <f t="shared" si="64"/>
        <v>100</v>
      </c>
      <c r="L663" s="129"/>
      <c r="M663" s="129"/>
      <c r="N663" s="129"/>
      <c r="O663" s="129"/>
    </row>
    <row r="664">
      <c r="A664" s="128" t="s">
        <v>1477</v>
      </c>
      <c r="B664" s="129">
        <f>COUNTIFS(G$11:G$569,"Y",L$11:L$569,"metadata observation",H$11:H$569,"",Z$11:Z$569,"*[3]*")</f>
        <v>23</v>
      </c>
      <c r="C664" s="129">
        <f>COUNTIFS(G$11:G$569,"Y",L$11:L$569,"survey",H$11:H$569,"",Z$11:Z$569,"*[3]*")</f>
        <v>2</v>
      </c>
      <c r="D664" s="129">
        <f>COUNTIFS(G$11:G$569,"Y",L$11:L$569,"interview",H$11:H$569,"",Z$11:Z$569,"*[3]*")</f>
        <v>4</v>
      </c>
      <c r="E664" s="129">
        <f>COUNTIFS(G$11:G$569,"Y",L$11:L$569,"mixed",H$11:H$569,"",Z$11:Z$569,"*[3]*")</f>
        <v>5</v>
      </c>
      <c r="F664" s="129" t="str">
        <f>IF(SUM(B$664:E$664)=B$646,"OK","NO")</f>
        <v>OK</v>
      </c>
      <c r="G664" s="129">
        <f t="shared" ref="G664:J664" si="65">ROUND(B664/SUM($B664:$E664)*100,2)</f>
        <v>67.65</v>
      </c>
      <c r="H664" s="129">
        <f t="shared" si="65"/>
        <v>5.88</v>
      </c>
      <c r="I664" s="129">
        <f t="shared" si="65"/>
        <v>11.76</v>
      </c>
      <c r="J664" s="129">
        <f t="shared" si="65"/>
        <v>14.71</v>
      </c>
      <c r="K664" s="129">
        <f t="shared" si="64"/>
        <v>100</v>
      </c>
      <c r="L664" s="129"/>
      <c r="M664" s="129"/>
      <c r="N664" s="129"/>
      <c r="O664" s="129"/>
    </row>
    <row r="665">
      <c r="A665" s="128" t="s">
        <v>1478</v>
      </c>
      <c r="B665" s="129">
        <f>COUNTIFS(G$11:G$569,"Y",L$11:L$569,"metadata observation",H$11:H$569,"",Z$11:Z$569,"*[4]*")</f>
        <v>12</v>
      </c>
      <c r="C665" s="129">
        <f>COUNTIFS(G$11:G$569,"Y",L$11:L$569,"survey",H$11:H$569,"",Z$11:Z$569,"*[4]*")</f>
        <v>2</v>
      </c>
      <c r="D665" s="129">
        <f>COUNTIFS(G$11:G$569,"Y",L$11:L$569,"interview",H$11:H$569,"",Z$11:Z$569,"*[4]*")</f>
        <v>3</v>
      </c>
      <c r="E665" s="129">
        <f>COUNTIFS(G$11:G$569,"Y",L$11:L$569,"mixed",H$11:H$569,"",Z$11:Z$569,"*[4]*")</f>
        <v>6</v>
      </c>
      <c r="F665" s="129" t="str">
        <f>IF(SUM(B$665:E$665)=B$647,"OK","NO")</f>
        <v>OK</v>
      </c>
      <c r="G665" s="129">
        <f t="shared" ref="G665:J665" si="66">ROUND(B665/SUM($B665:$E665)*100,2)</f>
        <v>52.17</v>
      </c>
      <c r="H665" s="129">
        <f t="shared" si="66"/>
        <v>8.7</v>
      </c>
      <c r="I665" s="129">
        <f t="shared" si="66"/>
        <v>13.04</v>
      </c>
      <c r="J665" s="129">
        <f t="shared" si="66"/>
        <v>26.09</v>
      </c>
      <c r="K665" s="129">
        <f t="shared" si="64"/>
        <v>100</v>
      </c>
      <c r="L665" s="129"/>
      <c r="M665" s="129"/>
      <c r="N665" s="129"/>
      <c r="O665" s="129"/>
    </row>
    <row r="667">
      <c r="A667" s="180" t="s">
        <v>1504</v>
      </c>
      <c r="B667" s="180" t="s">
        <v>1462</v>
      </c>
      <c r="C667" s="180" t="s">
        <v>1505</v>
      </c>
      <c r="D667" s="180" t="s">
        <v>1506</v>
      </c>
      <c r="E667" s="180" t="s">
        <v>1445</v>
      </c>
      <c r="F667" s="180" t="s">
        <v>1507</v>
      </c>
      <c r="G667" s="180" t="s">
        <v>1508</v>
      </c>
      <c r="H667" s="180" t="s">
        <v>1509</v>
      </c>
      <c r="I667" s="180" t="s">
        <v>1503</v>
      </c>
    </row>
    <row r="668">
      <c r="A668" s="180" t="s">
        <v>1475</v>
      </c>
      <c r="B668" s="181">
        <f>COUNTIFS($N$11:$N$569, "population", Z$11:Z$569,"*[1]*")</f>
        <v>2</v>
      </c>
      <c r="C668" s="181">
        <f>COUNTIFS($N$11:$N$569, "probability sampling",Z$11:Z$569,"*[1]*")</f>
        <v>5</v>
      </c>
      <c r="D668" s="181">
        <f>COUNTIFS($N$11:$N$569, "non-probability sampling",Z$11:Z$569,"*[1]*")</f>
        <v>27</v>
      </c>
      <c r="E668" s="181" t="str">
        <f>IF(SUM(B$668:D$668)=B$644,"OK","NO")</f>
        <v>OK</v>
      </c>
      <c r="F668" s="181">
        <f t="shared" ref="F668:H668" si="67">ROUND((B668/SUM($B668:$D668))*100,2)</f>
        <v>5.88</v>
      </c>
      <c r="G668" s="181">
        <f t="shared" si="67"/>
        <v>14.71</v>
      </c>
      <c r="H668" s="181">
        <f t="shared" si="67"/>
        <v>79.41</v>
      </c>
      <c r="I668" s="181">
        <f t="shared" ref="I668:I671" si="69">SUM(F668:H668)</f>
        <v>100</v>
      </c>
    </row>
    <row r="669">
      <c r="A669" s="180" t="s">
        <v>1476</v>
      </c>
      <c r="B669" s="181">
        <f>COUNTIFS($N$11:$N$569, "population", Z$11:Z$569,"*[2]*")</f>
        <v>5</v>
      </c>
      <c r="C669" s="181">
        <f>COUNTIFS($N$11:$N$569, "probability sampling",Z$11:Z$569,"*[2]*")</f>
        <v>11</v>
      </c>
      <c r="D669" s="181">
        <f>COUNTIFS($N$11:$N$569, "non-probability sampling",Z$11:Z$569,"*[2]*")</f>
        <v>29</v>
      </c>
      <c r="E669" s="181" t="str">
        <f>IF(SUM(B$669:D$669)=B$645,"OK","NO")</f>
        <v>OK</v>
      </c>
      <c r="F669" s="181">
        <f t="shared" ref="F669:H669" si="68">ROUND((B669/SUM($B669:$D669))*100,2)</f>
        <v>11.11</v>
      </c>
      <c r="G669" s="181">
        <f t="shared" si="68"/>
        <v>24.44</v>
      </c>
      <c r="H669" s="181">
        <f t="shared" si="68"/>
        <v>64.44</v>
      </c>
      <c r="I669" s="181">
        <f t="shared" si="69"/>
        <v>99.99</v>
      </c>
    </row>
    <row r="670">
      <c r="A670" s="180" t="s">
        <v>1477</v>
      </c>
      <c r="B670" s="181">
        <f>COUNTIFS($N$11:$N$569, "population", Z$11:Z$569,"*[3]*")</f>
        <v>6</v>
      </c>
      <c r="C670" s="181">
        <f>COUNTIFS($N$11:$N$569, "probability sampling",Z$11:Z$569,"*[3]*")</f>
        <v>11</v>
      </c>
      <c r="D670" s="181">
        <f>COUNTIFS($N$11:$N$569, "non-probability sampling",Z$11:Z$569,"*[3]*")</f>
        <v>17</v>
      </c>
      <c r="E670" s="181" t="str">
        <f>IF(SUM(B$670:D$670)=B$646,"OK","NO")</f>
        <v>OK</v>
      </c>
      <c r="F670" s="181">
        <f t="shared" ref="F670:H670" si="70">ROUND((B670/SUM($B670:$D670))*100,2)</f>
        <v>17.65</v>
      </c>
      <c r="G670" s="181">
        <f t="shared" si="70"/>
        <v>32.35</v>
      </c>
      <c r="H670" s="181">
        <f t="shared" si="70"/>
        <v>50</v>
      </c>
      <c r="I670" s="181">
        <f t="shared" si="69"/>
        <v>100</v>
      </c>
    </row>
    <row r="671">
      <c r="A671" s="180" t="s">
        <v>1478</v>
      </c>
      <c r="B671" s="181">
        <f>COUNTIFS($N$11:$N$569, "population", Z$11:Z$569,"*[4]*")</f>
        <v>5</v>
      </c>
      <c r="C671" s="181">
        <f>COUNTIFS($N$11:$N$569, "probability sampling",Z$11:Z$569,"*[4]*")</f>
        <v>5</v>
      </c>
      <c r="D671" s="181">
        <f>COUNTIFS($N$11:$N$569, "non-probability sampling",Z$11:Z$569,"*[4]*")</f>
        <v>13</v>
      </c>
      <c r="E671" s="181" t="str">
        <f>IF(SUM(B$671:D$671)=B$647,"OK","NO")</f>
        <v>OK</v>
      </c>
      <c r="F671" s="181">
        <f t="shared" ref="F671:H671" si="71">ROUND((B671/SUM($B671:$D671))*100,2)</f>
        <v>21.74</v>
      </c>
      <c r="G671" s="181">
        <f t="shared" si="71"/>
        <v>21.74</v>
      </c>
      <c r="H671" s="181">
        <f t="shared" si="71"/>
        <v>56.52</v>
      </c>
      <c r="I671" s="181">
        <f t="shared" si="69"/>
        <v>100</v>
      </c>
    </row>
    <row r="673">
      <c r="A673" s="182" t="s">
        <v>1510</v>
      </c>
      <c r="B673" s="182" t="s">
        <v>158</v>
      </c>
      <c r="C673" s="182" t="s">
        <v>142</v>
      </c>
      <c r="D673" s="182" t="s">
        <v>1442</v>
      </c>
      <c r="E673" s="182" t="s">
        <v>1443</v>
      </c>
      <c r="F673" s="182" t="s">
        <v>1444</v>
      </c>
      <c r="G673" s="182" t="s">
        <v>1445</v>
      </c>
      <c r="H673" s="182" t="s">
        <v>1511</v>
      </c>
      <c r="I673" s="183" t="s">
        <v>1512</v>
      </c>
      <c r="J673" s="182" t="s">
        <v>1513</v>
      </c>
      <c r="K673" s="182" t="s">
        <v>1514</v>
      </c>
      <c r="L673" s="182" t="s">
        <v>1515</v>
      </c>
      <c r="M673" s="182" t="s">
        <v>1503</v>
      </c>
      <c r="N673" s="182"/>
      <c r="O673" s="182"/>
    </row>
    <row r="674">
      <c r="A674" s="182" t="s">
        <v>1475</v>
      </c>
      <c r="B674" s="184">
        <f>COUNTIFS(G$11:G$569,"Y",T$11:T$569,"NO", Z$11:Z$569,"*[1]*")</f>
        <v>10</v>
      </c>
      <c r="C674" s="184">
        <f>COUNTIFS(G$11:G$569,"Y",T$11:T$569,"YES", Z$11:Z$569,"*[1]*")</f>
        <v>24</v>
      </c>
      <c r="D674" s="184">
        <f>COUNTIFS(G$11:G$569,"Y",T$11:T$569,"YES",U$11:U$569,"X",Z$11:Z$569,"*[1]*")</f>
        <v>6</v>
      </c>
      <c r="E674" s="184">
        <f>COUNTIFS(G$11:G$569,"Y",T$11:T$569,"YES",V$11:V$569,"X",Z$11:Z$569,"*[1]*")</f>
        <v>15</v>
      </c>
      <c r="F674" s="184">
        <f>COUNTIFS(G$11:G$569,"Y",T$11:T$569,"YES",W$11:W$569,"X",Z$11:Z$569,"*[1]*")</f>
        <v>19</v>
      </c>
      <c r="G674" s="184" t="str">
        <f>IF(SUM(B$674:C$674)=B$644,"OK","NO")</f>
        <v>OK</v>
      </c>
      <c r="H674" s="184">
        <f t="shared" ref="H674:L674" si="72">ROUND((B674/$B644)*100,2)</f>
        <v>29.41</v>
      </c>
      <c r="I674" s="184">
        <f t="shared" si="72"/>
        <v>70.59</v>
      </c>
      <c r="J674" s="184">
        <f t="shared" si="72"/>
        <v>17.65</v>
      </c>
      <c r="K674" s="184">
        <f t="shared" si="72"/>
        <v>44.12</v>
      </c>
      <c r="L674" s="184">
        <f t="shared" si="72"/>
        <v>55.88</v>
      </c>
      <c r="M674" s="184">
        <f t="shared" ref="M674:M677" si="74">SUM(H674:I674)</f>
        <v>100</v>
      </c>
      <c r="N674" s="184"/>
      <c r="O674" s="184"/>
    </row>
    <row r="675">
      <c r="A675" s="182" t="s">
        <v>1476</v>
      </c>
      <c r="B675" s="184">
        <f>COUNTIFS(G$11:G$569,"Y",T$11:T$569,"NO", Z$11:Z$569,"*[2]*")</f>
        <v>13</v>
      </c>
      <c r="C675" s="184">
        <f>COUNTIFS(G$11:G$569,"Y",T$11:T$569,"YES", Z$11:Z$569,"*[2]*")</f>
        <v>32</v>
      </c>
      <c r="D675" s="184">
        <f>COUNTIFS(G$11:G$569,"Y",T$11:T$569,"YES",U$11:U$569,"X",Z$11:Z$569,"*[2]*")</f>
        <v>13</v>
      </c>
      <c r="E675" s="184">
        <f>COUNTIFS(G$11:G$569,"Y",T$11:T$569,"YES",V$11:V$569,"X",Z$11:Z$569,"*[2]*")</f>
        <v>16</v>
      </c>
      <c r="F675" s="184">
        <f>COUNTIFS(G$11:G$569,"Y",T$11:T$569,"YES",W$11:W$569,"X",Z$11:Z$569,"*[2]*")</f>
        <v>24</v>
      </c>
      <c r="G675" s="184" t="str">
        <f>IF(SUM(B$675:C$675)=B$645,"OK","NO")</f>
        <v>OK</v>
      </c>
      <c r="H675" s="184">
        <f t="shared" ref="H675:L675" si="73">ROUND((B675/$B645)*100,2)</f>
        <v>28.89</v>
      </c>
      <c r="I675" s="184">
        <f t="shared" si="73"/>
        <v>71.11</v>
      </c>
      <c r="J675" s="184">
        <f t="shared" si="73"/>
        <v>28.89</v>
      </c>
      <c r="K675" s="184">
        <f t="shared" si="73"/>
        <v>35.56</v>
      </c>
      <c r="L675" s="184">
        <f t="shared" si="73"/>
        <v>53.33</v>
      </c>
      <c r="M675" s="184">
        <f t="shared" si="74"/>
        <v>100</v>
      </c>
      <c r="N675" s="184"/>
      <c r="O675" s="184"/>
    </row>
    <row r="676">
      <c r="A676" s="182" t="s">
        <v>1477</v>
      </c>
      <c r="B676" s="184">
        <f>COUNTIFS(G$11:G$569,"Y",T$11:T$569,"NO", Z$11:Z$569,"*[3]*")</f>
        <v>17</v>
      </c>
      <c r="C676" s="184">
        <f>COUNTIFS(G$11:G$569,"Y",T$11:T$569,"YES", Z$11:Z$569,"*[3]*")</f>
        <v>17</v>
      </c>
      <c r="D676" s="184">
        <f>COUNTIFS(G$11:G$569,"Y",T$11:T$569,"YES",U$11:U$569,"X",Z$11:Z$569,"*[3]*")</f>
        <v>6</v>
      </c>
      <c r="E676" s="184">
        <f>COUNTIFS(G$11:G$569,"Y",T$11:T$569,"YES",V$11:V$569,"X",Z$11:Z$569,"*[3]*")</f>
        <v>8</v>
      </c>
      <c r="F676" s="184">
        <f>COUNTIFS(G$11:G$569,"Y",T$11:T$569,"YES",W$11:W$569,"X",Z$11:Z$569,"*[3]*")</f>
        <v>12</v>
      </c>
      <c r="G676" s="184" t="str">
        <f>IF(SUM(B$676:C$676)=B$646,"OK","NO")</f>
        <v>OK</v>
      </c>
      <c r="H676" s="184">
        <f t="shared" ref="H676:L676" si="75">ROUND((B676/$B646)*100,2)</f>
        <v>50</v>
      </c>
      <c r="I676" s="184">
        <f t="shared" si="75"/>
        <v>50</v>
      </c>
      <c r="J676" s="184">
        <f t="shared" si="75"/>
        <v>17.65</v>
      </c>
      <c r="K676" s="184">
        <f t="shared" si="75"/>
        <v>23.53</v>
      </c>
      <c r="L676" s="184">
        <f t="shared" si="75"/>
        <v>35.29</v>
      </c>
      <c r="M676" s="184">
        <f t="shared" si="74"/>
        <v>100</v>
      </c>
      <c r="N676" s="184"/>
      <c r="O676" s="184"/>
    </row>
    <row r="677">
      <c r="A677" s="182" t="s">
        <v>1478</v>
      </c>
      <c r="B677" s="184">
        <f>COUNTIFS(G$11:G$569,"Y",T$11:T$569,"NO", Z$11:Z$569,"*[4]*")</f>
        <v>6</v>
      </c>
      <c r="C677" s="184">
        <f>COUNTIFS(G$11:G$569,"Y",T$11:T$569,"YES", Z$11:Z$569,"*[4]*")</f>
        <v>17</v>
      </c>
      <c r="D677" s="184">
        <f>COUNTIFS(G$11:G$569,"Y",T$11:T$569,"YES",U$11:U$569,"X",Z$11:Z$569,"*[4]*")</f>
        <v>5</v>
      </c>
      <c r="E677" s="184">
        <f>COUNTIFS(G$11:G$569,"Y",T$11:T$569,"YES",V$11:V$569,"X",Z$11:Z$569,"*[4]*")</f>
        <v>9</v>
      </c>
      <c r="F677" s="184">
        <f>COUNTIFS(G$11:G$569,"Y",T$11:T$569,"YES",W$11:W$569,"X",Z$11:Z$569,"*[4]*")</f>
        <v>12</v>
      </c>
      <c r="G677" s="184" t="str">
        <f>IF(SUM(B$677:C$677)=B$647,"OK","NO")</f>
        <v>OK</v>
      </c>
      <c r="H677" s="184">
        <f t="shared" ref="H677:L677" si="76">ROUND((B677/$B647)*100,2)</f>
        <v>26.09</v>
      </c>
      <c r="I677" s="184">
        <f t="shared" si="76"/>
        <v>73.91</v>
      </c>
      <c r="J677" s="184">
        <f t="shared" si="76"/>
        <v>21.74</v>
      </c>
      <c r="K677" s="184">
        <f t="shared" si="76"/>
        <v>39.13</v>
      </c>
      <c r="L677" s="184">
        <f t="shared" si="76"/>
        <v>52.17</v>
      </c>
      <c r="M677" s="184">
        <f t="shared" si="74"/>
        <v>100</v>
      </c>
      <c r="N677" s="184"/>
      <c r="O677" s="184"/>
    </row>
    <row r="679">
      <c r="A679" s="185" t="s">
        <v>1516</v>
      </c>
      <c r="B679" s="185" t="s">
        <v>343</v>
      </c>
      <c r="C679" s="185" t="s">
        <v>141</v>
      </c>
      <c r="D679" s="185" t="s">
        <v>158</v>
      </c>
      <c r="E679" s="185" t="s">
        <v>1445</v>
      </c>
      <c r="F679" s="185" t="s">
        <v>1517</v>
      </c>
      <c r="G679" s="183" t="s">
        <v>1518</v>
      </c>
      <c r="H679" s="185" t="s">
        <v>1511</v>
      </c>
      <c r="I679" s="185" t="s">
        <v>1503</v>
      </c>
    </row>
    <row r="680">
      <c r="A680" s="185" t="s">
        <v>1475</v>
      </c>
      <c r="B680" s="186">
        <f>COUNTIFS(G$11:G$569,"Y",S$11:S$569,"YES, dataset",Z$11:Z$569,"*[1]*")</f>
        <v>6</v>
      </c>
      <c r="C680" s="186">
        <f>COUNTIFS(G$11:G$569,"Y",S$11:S$569,"YES, link",Z$11:Z$569,"*[1]*")</f>
        <v>11</v>
      </c>
      <c r="D680" s="186">
        <f>COUNTIFS(G$11:G$569,"Y",S$11:S$569,"NO",Z$11:Z$569,"*[1]*")</f>
        <v>17</v>
      </c>
      <c r="E680" s="186" t="str">
        <f>IF(SUM(B$680:D$680)=B$644,"OK","NO")</f>
        <v>OK</v>
      </c>
      <c r="F680" s="186">
        <f t="shared" ref="F680:H680" si="77">ROUND((B680/$B644)*100,2)</f>
        <v>17.65</v>
      </c>
      <c r="G680" s="186">
        <f t="shared" si="77"/>
        <v>32.35</v>
      </c>
      <c r="H680" s="186">
        <f t="shared" si="77"/>
        <v>50</v>
      </c>
      <c r="I680" s="186">
        <f t="shared" ref="I680:I683" si="79">SUM(F680:H680)</f>
        <v>100</v>
      </c>
    </row>
    <row r="681">
      <c r="A681" s="185" t="s">
        <v>1476</v>
      </c>
      <c r="B681" s="186">
        <f>COUNTIFS(G$11:G$569,"Y",S$11:S$569,"YES, dataset",Z$11:Z$569,"*[2]*")</f>
        <v>11</v>
      </c>
      <c r="C681" s="186">
        <f>COUNTIFS(G$11:G$569,"Y",S$11:S$569,"YES, link",Z$11:Z$569,"*[2]*")</f>
        <v>10</v>
      </c>
      <c r="D681" s="186">
        <f>COUNTIFS(G$11:G$569,"Y",S$11:S$569,"NO",Z$11:Z$569,"*[2]*")</f>
        <v>24</v>
      </c>
      <c r="E681" s="186" t="str">
        <f>IF(SUM(B$681:D$681)=B$645,"OK","NO")</f>
        <v>OK</v>
      </c>
      <c r="F681" s="186">
        <f t="shared" ref="F681:H681" si="78">ROUND((B681/$B645)*100,2)</f>
        <v>24.44</v>
      </c>
      <c r="G681" s="186">
        <f t="shared" si="78"/>
        <v>22.22</v>
      </c>
      <c r="H681" s="186">
        <f t="shared" si="78"/>
        <v>53.33</v>
      </c>
      <c r="I681" s="186">
        <f t="shared" si="79"/>
        <v>99.99</v>
      </c>
    </row>
    <row r="682">
      <c r="A682" s="185" t="s">
        <v>1477</v>
      </c>
      <c r="B682" s="186">
        <f>COUNTIFS(G$11:G$569,"Y",S$11:S$569,"YES, dataset",Z$11:Z$569,"*[3]*")</f>
        <v>4</v>
      </c>
      <c r="C682" s="186">
        <f>COUNTIFS(G$11:G$569,"Y",S$11:S$569,"YES, link",Z$11:Z$569,"*[3]*")</f>
        <v>6</v>
      </c>
      <c r="D682" s="186">
        <f>COUNTIFS(G$11:G$569,"Y",S$11:S$569,"NO",Z$11:Z$569,"*[3]*")</f>
        <v>24</v>
      </c>
      <c r="E682" s="186" t="str">
        <f>IF(SUM(B$682:D$682)=B$646,"OK","NO")</f>
        <v>OK</v>
      </c>
      <c r="F682" s="186">
        <f t="shared" ref="F682:H682" si="80">ROUND((B682/$B646)*100,2)</f>
        <v>11.76</v>
      </c>
      <c r="G682" s="186">
        <f t="shared" si="80"/>
        <v>17.65</v>
      </c>
      <c r="H682" s="186">
        <f t="shared" si="80"/>
        <v>70.59</v>
      </c>
      <c r="I682" s="186">
        <f t="shared" si="79"/>
        <v>100</v>
      </c>
    </row>
    <row r="683">
      <c r="A683" s="185" t="s">
        <v>1478</v>
      </c>
      <c r="B683" s="186">
        <f>COUNTIFS(G$11:G$569,"Y",S$11:S$569,"YES, dataset",Z$11:Z$569,"*[4]*")</f>
        <v>1</v>
      </c>
      <c r="C683" s="186">
        <f>COUNTIFS(G$11:G$569,"Y",S$11:S$569,"YES, link",Z$11:Z$569,"*[4]*")</f>
        <v>7</v>
      </c>
      <c r="D683" s="186">
        <f>COUNTIFS(G$11:G$569,"Y",S$11:S$569,"NO",Z$11:Z$569,"*[4]*")</f>
        <v>15</v>
      </c>
      <c r="E683" s="186" t="str">
        <f>IF(SUM(B$683:D$683)=B$647,"OK","NO")</f>
        <v>OK</v>
      </c>
      <c r="F683" s="186">
        <f t="shared" ref="F683:H683" si="81">ROUND((B683/$B647)*100,2)</f>
        <v>4.35</v>
      </c>
      <c r="G683" s="186">
        <f t="shared" si="81"/>
        <v>30.43</v>
      </c>
      <c r="H683" s="186">
        <f t="shared" si="81"/>
        <v>65.22</v>
      </c>
      <c r="I683" s="186">
        <f t="shared" si="79"/>
        <v>100</v>
      </c>
    </row>
    <row r="685">
      <c r="A685" s="187" t="s">
        <v>1520</v>
      </c>
      <c r="B685" s="187" t="s">
        <v>1427</v>
      </c>
      <c r="C685" s="187" t="s">
        <v>1428</v>
      </c>
      <c r="D685" s="187" t="s">
        <v>1429</v>
      </c>
      <c r="E685" s="187" t="s">
        <v>1430</v>
      </c>
      <c r="F685" s="187" t="s">
        <v>1431</v>
      </c>
      <c r="G685" s="187" t="s">
        <v>1426</v>
      </c>
      <c r="H685" s="187" t="s">
        <v>1445</v>
      </c>
      <c r="I685" s="183" t="s">
        <v>1521</v>
      </c>
      <c r="J685" s="187" t="s">
        <v>1522</v>
      </c>
      <c r="K685" s="187" t="s">
        <v>1523</v>
      </c>
      <c r="L685" s="187" t="s">
        <v>1524</v>
      </c>
      <c r="M685" s="187" t="s">
        <v>1525</v>
      </c>
      <c r="N685" s="187" t="s">
        <v>1502</v>
      </c>
      <c r="O685" s="187" t="s">
        <v>1503</v>
      </c>
    </row>
    <row r="686">
      <c r="A686" s="187" t="s">
        <v>1475</v>
      </c>
      <c r="B686" s="22">
        <f>COUNTIFS(G$11:G$569,"Y",R$11:R$569,"GHTorrent",H$11:H$569,"",Z$11:Z$569,"*[1]*")</f>
        <v>13</v>
      </c>
      <c r="C686" s="22">
        <f>COUNTIFS(G$11:G$569,"Y",R$11:R$569,"GitHub API",H$11:H$569,"",Z$11:Z$569,"*[1]*")</f>
        <v>9</v>
      </c>
      <c r="D686" s="22">
        <f>COUNTIFS(G$11:G$569,"Y",R$11:R$569,"GitHubArchive",H$11:H$569,"",Z$11:Z$569,"*[1]*")</f>
        <v>3</v>
      </c>
      <c r="E686" s="22">
        <f>COUNTIFS(G$11:G$569,"Y",R$11:R$569,"manual",H$11:H$569,"",Z$11:Z$569,"*[1]*")</f>
        <v>3</v>
      </c>
      <c r="F686" s="22">
        <f>COUNTIFS(G$11:G$569,"Y",R$11:R$569,"*:*",H$11:H$569,"",Z$11:Z$569,"*[1]*")</f>
        <v>1</v>
      </c>
      <c r="G686" s="22">
        <f>COUNTIFS(G$11:G$569,"Y",R$11:R$569,"*,*",H$11:H$569,"",Z$11:Z$569,"*[1]*")</f>
        <v>5</v>
      </c>
      <c r="H686" s="22" t="str">
        <f>IF(SUM(B$686:G$686)=B$644,"OK","NO")</f>
        <v>OK</v>
      </c>
      <c r="I686" s="22">
        <f t="shared" ref="I686:N686" si="82">ROUND((B686/$B644)*100,2)</f>
        <v>38.24</v>
      </c>
      <c r="J686" s="22">
        <f t="shared" si="82"/>
        <v>26.47</v>
      </c>
      <c r="K686" s="22">
        <f t="shared" si="82"/>
        <v>8.82</v>
      </c>
      <c r="L686" s="22">
        <f t="shared" si="82"/>
        <v>8.82</v>
      </c>
      <c r="M686" s="22">
        <f t="shared" si="82"/>
        <v>2.94</v>
      </c>
      <c r="N686" s="22">
        <f t="shared" si="82"/>
        <v>14.71</v>
      </c>
      <c r="O686" s="22">
        <f t="shared" ref="O686:O689" si="84">SUM(I686:N686)</f>
        <v>100</v>
      </c>
    </row>
    <row r="687">
      <c r="A687" s="187" t="s">
        <v>1476</v>
      </c>
      <c r="B687" s="22">
        <f>COUNTIFS(G$11:G$569,"Y",R$11:R$569,"GHTorrent",H$11:H$569,"",Z$11:Z$569,"*[2]*")</f>
        <v>17</v>
      </c>
      <c r="C687" s="22">
        <f>COUNTIFS(G$11:G$569,"Y",R$11:R$569,"GitHub API",H$11:H$569,"",Z$11:Z$569,"*[2]*")</f>
        <v>12</v>
      </c>
      <c r="D687" s="22">
        <f>COUNTIFS(G$11:G$569,"Y",R$11:R$569,"GitHubArchive",H$11:H$569,"",Z$11:Z$569,"*[2]*")</f>
        <v>2</v>
      </c>
      <c r="E687" s="22">
        <f>COUNTIFS(G$11:G$569,"Y",R$11:R$569,"manual",H$11:H$569,"",Z$11:Z$569,"*[2]*")</f>
        <v>5</v>
      </c>
      <c r="F687" s="22">
        <f>COUNTIFS(G$11:G$569,"Y",R$11:R$569,"*:*",H$11:H$569,"",Z$11:Z$569,"*[2]*")</f>
        <v>3</v>
      </c>
      <c r="G687" s="22">
        <f>COUNTIFS(G$11:G$569,"Y",R$11:R$569,"*,*",H$11:H$569,"",Z$11:Z$569,"*[2]*")</f>
        <v>6</v>
      </c>
      <c r="H687" s="22" t="str">
        <f>IF(SUM(B$687:G$687)=B$645,"OK","NO")</f>
        <v>OK</v>
      </c>
      <c r="I687" s="22">
        <f t="shared" ref="I687:N687" si="83">ROUND((B687/$B645)*100,2)</f>
        <v>37.78</v>
      </c>
      <c r="J687" s="22">
        <f t="shared" si="83"/>
        <v>26.67</v>
      </c>
      <c r="K687" s="22">
        <f t="shared" si="83"/>
        <v>4.44</v>
      </c>
      <c r="L687" s="22">
        <f t="shared" si="83"/>
        <v>11.11</v>
      </c>
      <c r="M687" s="22">
        <f t="shared" si="83"/>
        <v>6.67</v>
      </c>
      <c r="N687" s="22">
        <f t="shared" si="83"/>
        <v>13.33</v>
      </c>
      <c r="O687" s="22">
        <f t="shared" si="84"/>
        <v>100</v>
      </c>
    </row>
    <row r="688">
      <c r="A688" s="187" t="s">
        <v>1477</v>
      </c>
      <c r="B688" s="22">
        <f>COUNTIFS(G$11:G$569,"Y",R$11:R$569,"GHTorrent",H$11:H$569,"",Z$11:Z$569,"*[3]*")</f>
        <v>11</v>
      </c>
      <c r="C688" s="22">
        <f>COUNTIFS(G$11:G$569,"Y",R$11:R$569,"GitHub API",H$11:H$569,"",Z$11:Z$569,"*[3]*")</f>
        <v>14</v>
      </c>
      <c r="D688" s="22">
        <f>COUNTIFS(G$11:G$569,"Y",R$11:R$569,"GitHubArchive",H$11:H$569,"",Z$11:Z$569,"*[3]*")</f>
        <v>3</v>
      </c>
      <c r="E688" s="22">
        <f>COUNTIFS(G$11:G$569,"Y",R$11:R$569,"manual",H$11:H$569,"",Z$11:Z$569,"*[3]*")</f>
        <v>4</v>
      </c>
      <c r="F688" s="22">
        <f>COUNTIFS(G$11:G$569,"Y",R$11:R$569,"*:*",H$11:H$569,"",Z$11:Z$569,"*[3]*")</f>
        <v>0</v>
      </c>
      <c r="G688" s="22">
        <f>COUNTIFS(G$11:G$569,"Y",R$11:R$569,"*,*",H$11:H$569,"",Z$11:Z$569,"*[3]*")</f>
        <v>2</v>
      </c>
      <c r="H688" s="22" t="str">
        <f>IF(SUM(B$688:G$688)=B$646,"OK","NO")</f>
        <v>OK</v>
      </c>
      <c r="I688" s="22">
        <f t="shared" ref="I688:N688" si="85">ROUND((B688/$B646)*100,2)</f>
        <v>32.35</v>
      </c>
      <c r="J688" s="22">
        <f t="shared" si="85"/>
        <v>41.18</v>
      </c>
      <c r="K688" s="22">
        <f t="shared" si="85"/>
        <v>8.82</v>
      </c>
      <c r="L688" s="22">
        <f t="shared" si="85"/>
        <v>11.76</v>
      </c>
      <c r="M688" s="22">
        <f t="shared" si="85"/>
        <v>0</v>
      </c>
      <c r="N688" s="22">
        <f t="shared" si="85"/>
        <v>5.88</v>
      </c>
      <c r="O688" s="22">
        <f t="shared" si="84"/>
        <v>99.99</v>
      </c>
    </row>
    <row r="689">
      <c r="A689" s="187" t="s">
        <v>1478</v>
      </c>
      <c r="B689" s="22">
        <f>COUNTIFS(G$11:G$569,"Y",R$11:R$569,"GHTorrent",H$11:H$569,"",Z$11:Z$569,"*[4]*")</f>
        <v>6</v>
      </c>
      <c r="C689" s="22">
        <f>COUNTIFS(G$11:G$569,"Y",R$11:R$569,"GitHub API",H$11:H$569,"",Z$11:Z$569,"*[4]*")</f>
        <v>7</v>
      </c>
      <c r="D689" s="22">
        <f>COUNTIFS(G$11:G$569,"Y",R$11:R$569,"GitHubArchive",H$11:H$569,"",Z$11:Z$569,"*[4]*")</f>
        <v>2</v>
      </c>
      <c r="E689" s="22">
        <f>COUNTIFS(G$11:G$569,"Y",R$11:R$569,"manual",H$11:H$569,"",Z$11:Z$569,"*[4]*")</f>
        <v>6</v>
      </c>
      <c r="F689" s="22">
        <f>COUNTIFS(G$11:G$569,"Y",R$11:R$569,"*:*",H$11:H$569,"",Z$11:Z$569,"*[4]*")</f>
        <v>1</v>
      </c>
      <c r="G689" s="22">
        <f>COUNTIFS(G$11:G$569,"Y",R$11:R$569,"*,*",H$11:H$569,"",Z$11:Z$569,"*[4]*")</f>
        <v>1</v>
      </c>
      <c r="H689" s="22" t="str">
        <f>IF(SUM(B$689:G$689)=B$647,"OK","NO")</f>
        <v>OK</v>
      </c>
      <c r="I689" s="22">
        <f t="shared" ref="I689:N689" si="86">ROUND((B689/$B647)*100,2)</f>
        <v>26.09</v>
      </c>
      <c r="J689" s="22">
        <f t="shared" si="86"/>
        <v>30.43</v>
      </c>
      <c r="K689" s="22">
        <f t="shared" si="86"/>
        <v>8.7</v>
      </c>
      <c r="L689" s="22">
        <f t="shared" si="86"/>
        <v>26.09</v>
      </c>
      <c r="M689" s="22">
        <f t="shared" si="86"/>
        <v>4.35</v>
      </c>
      <c r="N689" s="22">
        <f t="shared" si="86"/>
        <v>4.35</v>
      </c>
      <c r="O689" s="22">
        <f t="shared" si="84"/>
        <v>100.01</v>
      </c>
    </row>
    <row r="691">
      <c r="A691" s="188" t="s">
        <v>1527</v>
      </c>
      <c r="B691" s="188" t="s">
        <v>1453</v>
      </c>
      <c r="C691" s="183" t="s">
        <v>1432</v>
      </c>
      <c r="E691" s="189" t="s">
        <v>1528</v>
      </c>
      <c r="F691" s="190" t="s">
        <v>1428</v>
      </c>
      <c r="G691" s="190" t="s">
        <v>1440</v>
      </c>
      <c r="H691" s="190" t="s">
        <v>1522</v>
      </c>
      <c r="I691" s="190" t="s">
        <v>1529</v>
      </c>
    </row>
    <row r="692">
      <c r="A692" s="188" t="s">
        <v>1475</v>
      </c>
      <c r="B692" s="191">
        <f>COUNTIFS($O$11:$O$569, "*Diversity/Heterogeneity*",Z$11:Z$569,"*[1]*")</f>
        <v>7</v>
      </c>
      <c r="C692" s="191">
        <f t="shared" ref="C692:C695" si="88">ROUND((B692/B644)*100,2)</f>
        <v>20.59</v>
      </c>
      <c r="E692" s="190" t="s">
        <v>1475</v>
      </c>
      <c r="F692" s="192">
        <f>COUNTIFS(G$11:G$569,"Y",X$11:X$569,"X",Z$11:Z$569,"*[1]*")</f>
        <v>2</v>
      </c>
      <c r="G692" s="192">
        <f>COUNTIFS(G$11:G$569,"Y",Y$11:Y$569,"X",Z$11:Z$569,"*[1]*")</f>
        <v>3</v>
      </c>
      <c r="H692" s="192">
        <f t="shared" ref="H692:I692" si="87">ROUND((F692/$B644)*100,2)</f>
        <v>5.88</v>
      </c>
      <c r="I692" s="192">
        <f t="shared" si="87"/>
        <v>8.82</v>
      </c>
    </row>
    <row r="693">
      <c r="A693" s="188" t="s">
        <v>1476</v>
      </c>
      <c r="B693" s="191">
        <f>COUNTIFS($O$11:$O$569, "*Diversity/Heterogeneity*",Z$11:Z$569,"*[2]*")</f>
        <v>7</v>
      </c>
      <c r="C693" s="191">
        <f t="shared" si="88"/>
        <v>15.56</v>
      </c>
      <c r="E693" s="190" t="s">
        <v>1476</v>
      </c>
      <c r="F693" s="192">
        <f>COUNTIFS(G$11:G$569,"Y",X$11:X$569,"X",Z$11:Z$569,"*[2]*")</f>
        <v>8</v>
      </c>
      <c r="G693" s="192">
        <f>COUNTIFS(G$11:G$569,"Y",Y$11:Y$569,"X",Z$11:Z$569,"*[2]*")</f>
        <v>4</v>
      </c>
      <c r="H693" s="192">
        <f t="shared" ref="H693:I693" si="89">ROUND((F693/$B645)*100,2)</f>
        <v>17.78</v>
      </c>
      <c r="I693" s="192">
        <f t="shared" si="89"/>
        <v>8.89</v>
      </c>
    </row>
    <row r="694">
      <c r="A694" s="188" t="s">
        <v>1477</v>
      </c>
      <c r="B694" s="191">
        <f>COUNTIFS($O$11:$O$569, "*Diversity/Heterogeneity*",Z$11:Z$569,"*[3]*")</f>
        <v>4</v>
      </c>
      <c r="C694" s="191">
        <f t="shared" si="88"/>
        <v>11.76</v>
      </c>
      <c r="E694" s="190" t="s">
        <v>1477</v>
      </c>
      <c r="F694" s="192">
        <f>COUNTIFS(G$11:G$569,"Y",X$11:X$569,"X",Z$11:Z$569,"*[3]*")</f>
        <v>8</v>
      </c>
      <c r="G694" s="192">
        <f>COUNTIFS(G$11:G$569,"Y",Y$11:Y$569,"X",Z$11:Z$569,"*[3]*")</f>
        <v>2</v>
      </c>
      <c r="H694" s="192">
        <f t="shared" ref="H694:I694" si="90">ROUND((F694/$B646)*100,2)</f>
        <v>23.53</v>
      </c>
      <c r="I694" s="192">
        <f t="shared" si="90"/>
        <v>5.88</v>
      </c>
    </row>
    <row r="695">
      <c r="A695" s="188" t="s">
        <v>1478</v>
      </c>
      <c r="B695" s="191">
        <f>COUNTIFS($O$11:$O$569, "*Diversity/Heterogeneity*",Z$11:Z$569,"*[4]*")</f>
        <v>1</v>
      </c>
      <c r="C695" s="191">
        <f t="shared" si="88"/>
        <v>4.35</v>
      </c>
      <c r="E695" s="190" t="s">
        <v>1478</v>
      </c>
      <c r="F695" s="192">
        <f>COUNTIFS(G$11:G$569,"Y",X$11:X$569,"X",Z$11:Z$569,"*[4]*")</f>
        <v>4</v>
      </c>
      <c r="G695" s="192">
        <f>COUNTIFS(G$11:G$569,"Y",Y$11:Y$569,"X",Z$11:Z$569,"*[4]*")</f>
        <v>2</v>
      </c>
      <c r="H695" s="192">
        <f t="shared" ref="H695:I695" si="91">ROUND((F695/$B647)*100,2)</f>
        <v>17.39</v>
      </c>
      <c r="I695" s="192">
        <f t="shared" si="91"/>
        <v>8.7</v>
      </c>
    </row>
    <row r="696">
      <c r="E696" s="5"/>
    </row>
    <row r="697">
      <c r="A697" s="111" t="s">
        <v>1530</v>
      </c>
      <c r="B697" s="116"/>
      <c r="C697" s="183" t="s">
        <v>1432</v>
      </c>
    </row>
    <row r="698">
      <c r="A698" s="111" t="s">
        <v>1475</v>
      </c>
      <c r="B698" s="116">
        <f>COUNTIFS($O$11:$O$569, "*longitudinal*",Z$11:Z$569,"*[1]*")</f>
        <v>6</v>
      </c>
      <c r="C698" s="116">
        <f t="shared" ref="C698:C701" si="92">ROUND((B698/B644)*100,2)</f>
        <v>17.65</v>
      </c>
    </row>
    <row r="699">
      <c r="A699" s="111" t="s">
        <v>1476</v>
      </c>
      <c r="B699" s="116">
        <f>COUNTIFS($O$11:$O$569, "*longitudinal*",Z$11:Z$569,"*[2]*")</f>
        <v>12</v>
      </c>
      <c r="C699" s="116">
        <f t="shared" si="92"/>
        <v>26.67</v>
      </c>
    </row>
    <row r="700">
      <c r="A700" s="111" t="s">
        <v>1477</v>
      </c>
      <c r="B700" s="116">
        <f>COUNTIFS($O$11:$O$569, "*longitudinal*",Z$11:Z$569,"*[3]*")</f>
        <v>7</v>
      </c>
      <c r="C700" s="116">
        <f t="shared" si="92"/>
        <v>20.59</v>
      </c>
    </row>
    <row r="701">
      <c r="A701" s="111" t="s">
        <v>1478</v>
      </c>
      <c r="B701" s="116">
        <f>COUNTIFS($O$11:$O$569, "*longitudinal*",Z$11:Z$569,"*[4]*")</f>
        <v>5</v>
      </c>
      <c r="C701" s="116">
        <f t="shared" si="92"/>
        <v>21.74</v>
      </c>
    </row>
    <row r="703">
      <c r="A703" s="193" t="s">
        <v>1531</v>
      </c>
      <c r="B703" s="193" t="s">
        <v>1438</v>
      </c>
      <c r="C703" s="193" t="s">
        <v>1439</v>
      </c>
      <c r="D703" s="193" t="s">
        <v>1441</v>
      </c>
      <c r="E703" s="193" t="s">
        <v>1445</v>
      </c>
      <c r="F703" s="193" t="s">
        <v>1532</v>
      </c>
      <c r="G703" s="193" t="s">
        <v>1533</v>
      </c>
      <c r="H703" s="193" t="s">
        <v>1534</v>
      </c>
      <c r="I703" s="193" t="s">
        <v>1503</v>
      </c>
    </row>
    <row r="704">
      <c r="A704" s="193" t="s">
        <v>1475</v>
      </c>
      <c r="B704" s="194">
        <f>COUNTIFS(P$11:P$569,"users",Z$11:Z$569,"*[1]*")</f>
        <v>7</v>
      </c>
      <c r="C704" s="194">
        <f>COUNTIFS(P$11:P$569,"projects",Z$11:Z$569,"*[1]*")</f>
        <v>18</v>
      </c>
      <c r="D704" s="194">
        <f>COUNTIFS(P$11:P$569,"*,*",Z$11:Z$569,"*[1]*")</f>
        <v>9</v>
      </c>
      <c r="E704" s="194" t="str">
        <f>IF(SUM(B$704:D$704)=B$644,"OK","NO")</f>
        <v>OK</v>
      </c>
      <c r="F704" s="194">
        <f t="shared" ref="F704:H704" si="93">ROUND((B704/$B644)*100,2)</f>
        <v>20.59</v>
      </c>
      <c r="G704" s="194">
        <f t="shared" si="93"/>
        <v>52.94</v>
      </c>
      <c r="H704" s="194">
        <f t="shared" si="93"/>
        <v>26.47</v>
      </c>
      <c r="I704" s="194">
        <f t="shared" ref="I704:I707" si="95">SUM(F704:H704)</f>
        <v>100</v>
      </c>
    </row>
    <row r="705">
      <c r="A705" s="193" t="s">
        <v>1476</v>
      </c>
      <c r="B705" s="194">
        <f>COUNTIFS(P$11:P$569,"users",Z$11:Z$569,"*[2]*")</f>
        <v>9</v>
      </c>
      <c r="C705" s="194">
        <f>COUNTIFS(P$11:P$569,"projects",Z$11:Z$569,"*[2]*")</f>
        <v>23</v>
      </c>
      <c r="D705" s="194">
        <f>COUNTIFS(P$11:P$569,"*,*",Z$11:Z$569,"*[2]*")</f>
        <v>13</v>
      </c>
      <c r="E705" s="194" t="str">
        <f>IF(SUM(B$705:D$705)=B$645,"OK","NO")</f>
        <v>OK</v>
      </c>
      <c r="F705" s="194">
        <f t="shared" ref="F705:H705" si="94">ROUND((B705/$B645)*100,2)</f>
        <v>20</v>
      </c>
      <c r="G705" s="194">
        <f t="shared" si="94"/>
        <v>51.11</v>
      </c>
      <c r="H705" s="194">
        <f t="shared" si="94"/>
        <v>28.89</v>
      </c>
      <c r="I705" s="194">
        <f t="shared" si="95"/>
        <v>100</v>
      </c>
    </row>
    <row r="706">
      <c r="A706" s="193" t="s">
        <v>1477</v>
      </c>
      <c r="B706" s="194">
        <f>COUNTIFS(P$11:P$569,"users",Z$11:Z$569,"*[3]*")</f>
        <v>13</v>
      </c>
      <c r="C706" s="194">
        <f>COUNTIFS(P$11:P$569,"projects",Z$11:Z$569,"*[3]*")</f>
        <v>6</v>
      </c>
      <c r="D706" s="194">
        <f>COUNTIFS(P$11:P$569,"*,*",Z$11:Z$569,"*[3]*")</f>
        <v>15</v>
      </c>
      <c r="E706" s="194" t="str">
        <f>IF(SUM(B$706:D$706)=B$646,"OK","NO")</f>
        <v>OK</v>
      </c>
      <c r="F706" s="194">
        <f t="shared" ref="F706:H706" si="96">ROUND((B706/$B646)*100,2)</f>
        <v>38.24</v>
      </c>
      <c r="G706" s="194">
        <f t="shared" si="96"/>
        <v>17.65</v>
      </c>
      <c r="H706" s="194">
        <f t="shared" si="96"/>
        <v>44.12</v>
      </c>
      <c r="I706" s="194">
        <f t="shared" si="95"/>
        <v>100.01</v>
      </c>
    </row>
    <row r="707">
      <c r="A707" s="193" t="s">
        <v>1478</v>
      </c>
      <c r="B707" s="194">
        <f>COUNTIFS(P$11:P$569,"users",Z$11:Z$569,"*[4]*")</f>
        <v>12</v>
      </c>
      <c r="C707" s="194">
        <f>COUNTIFS(P$11:P$569,"projects",Z$11:Z$569,"*[4*")</f>
        <v>6</v>
      </c>
      <c r="D707" s="194">
        <f>COUNTIFS(P$11:P$569,"*,*",Z$11:Z$569,"*[4]*")</f>
        <v>5</v>
      </c>
      <c r="E707" s="194" t="str">
        <f>IF(SUM(B$707:D$707)=B$647,"OK","NO")</f>
        <v>OK</v>
      </c>
      <c r="F707" s="194">
        <f t="shared" ref="F707:H707" si="97">ROUND((B707/$B647)*100,2)</f>
        <v>52.17</v>
      </c>
      <c r="G707" s="194">
        <f t="shared" si="97"/>
        <v>26.09</v>
      </c>
      <c r="H707" s="194">
        <f t="shared" si="97"/>
        <v>21.74</v>
      </c>
      <c r="I707" s="194">
        <f t="shared" si="95"/>
        <v>100</v>
      </c>
    </row>
    <row r="709">
      <c r="A709" s="195" t="s">
        <v>1439</v>
      </c>
      <c r="B709" s="196" t="s">
        <v>1447</v>
      </c>
      <c r="C709" s="197" t="s">
        <v>1448</v>
      </c>
      <c r="D709" s="197" t="s">
        <v>1449</v>
      </c>
      <c r="E709" s="197" t="s">
        <v>1450</v>
      </c>
      <c r="F709" s="197" t="s">
        <v>1451</v>
      </c>
      <c r="G709" s="195" t="s">
        <v>18</v>
      </c>
      <c r="H709" s="195" t="s">
        <v>1432</v>
      </c>
    </row>
    <row r="710">
      <c r="A710" s="195" t="s">
        <v>1475</v>
      </c>
      <c r="B710" s="198">
        <f>COUNTIFS(P$11:P$569, "projects", Q$11:Q$569, "L100", Z$11:Z$569,"*[1]*")</f>
        <v>4</v>
      </c>
      <c r="C710" s="198">
        <f>COUNTIFS(P$11:P$569, "projects", Q$11:Q$569, "100-1K", Z$11:Z$569,"*[1]*")</f>
        <v>4</v>
      </c>
      <c r="D710" s="198">
        <f>COUNTIFS(P$11:P$569, "projects", Q$11:Q$569, "1K-100K", Z$11:Z$569,"*[1]*")</f>
        <v>8</v>
      </c>
      <c r="E710" s="198">
        <f>COUNTIFS(P$11:P$569, "projects", Q$11:Q$569, "100K-1M", Z$11:Z$569,"*[1]*")</f>
        <v>0</v>
      </c>
      <c r="F710" s="198">
        <f>COUNTIFS(P$11:P$569, "projects", Q$11:Q$569, "G1M", Z$11:Z$569,"*[1]*")</f>
        <v>2</v>
      </c>
      <c r="G710" s="198">
        <f t="shared" ref="G710:G713" si="98">SUM(B710:F710)</f>
        <v>18</v>
      </c>
      <c r="H710" s="198">
        <f t="shared" ref="H710:H714" si="99">ROUND((G710/$G$714)*100,2)</f>
        <v>33.96</v>
      </c>
    </row>
    <row r="711">
      <c r="A711" s="195" t="s">
        <v>1476</v>
      </c>
      <c r="B711" s="198">
        <f>COUNTIFS(P$11:P$569, "projects", Q$11:Q$569, "L100", Z$11:Z$569,"*[2]*")</f>
        <v>10</v>
      </c>
      <c r="C711" s="198">
        <f>COUNTIFS(P$11:P$569, "projects", Q$11:Q$569, "100-1K", Z$11:Z$569,"*[2]*")</f>
        <v>4</v>
      </c>
      <c r="D711" s="198">
        <f>COUNTIFS(P$11:P$569, "projects", Q$11:Q$569, "1K-100K", Z$11:Z$569,"*[2]*")</f>
        <v>6</v>
      </c>
      <c r="E711" s="198">
        <f>COUNTIFS(P$11:P$569, "projects", Q$11:Q$569, "100K-1M", Z$11:Z$569,"*[2]*")</f>
        <v>1</v>
      </c>
      <c r="F711" s="198">
        <f>COUNTIFS(P$11:P$569, "projects", Q$11:Q$569, "G1M", Z$11:Z$569,"*[2]*")</f>
        <v>2</v>
      </c>
      <c r="G711" s="198">
        <f t="shared" si="98"/>
        <v>23</v>
      </c>
      <c r="H711" s="198">
        <f t="shared" si="99"/>
        <v>43.4</v>
      </c>
    </row>
    <row r="712">
      <c r="A712" s="195" t="s">
        <v>1477</v>
      </c>
      <c r="B712" s="198">
        <f>COUNTIFS(P$11:P$569, "projects", Q$11:Q$569, "L100", Z$11:Z$569,"*[3]*")</f>
        <v>2</v>
      </c>
      <c r="C712" s="198">
        <f>COUNTIFS(P$11:P$569, "projects", Q$11:Q$569, "100-1K", Z$11:Z$569,"*[3]*")</f>
        <v>1</v>
      </c>
      <c r="D712" s="198">
        <f>COUNTIFS(P$11:P$569, "projects", Q$11:Q$569, "1K-100K", Z$11:Z$569,"*[3]*")</f>
        <v>3</v>
      </c>
      <c r="E712" s="198">
        <f>COUNTIFS(P$11:P$569, "projects", Q$11:Q$569, "100K-1M", Z$11:Z$569,"*[3]*")</f>
        <v>0</v>
      </c>
      <c r="F712" s="198">
        <f>COUNTIFS(P$11:P$569, "projects", Q$11:Q$569, "G1M", Z$11:Z$569,"*[3]*")</f>
        <v>0</v>
      </c>
      <c r="G712" s="198">
        <f t="shared" si="98"/>
        <v>6</v>
      </c>
      <c r="H712" s="198">
        <f t="shared" si="99"/>
        <v>11.32</v>
      </c>
    </row>
    <row r="713">
      <c r="A713" s="195" t="s">
        <v>1478</v>
      </c>
      <c r="B713" s="198">
        <f>COUNTIFS(P$11:P$569, "projects", Q$11:Q$569, "L100", Z$11:Z$569,"*[4]*")</f>
        <v>1</v>
      </c>
      <c r="C713" s="198">
        <f>COUNTIFS(P$11:P$569, "projects", Q$11:Q$569, "100-1K", Z$11:Z$569,"*[4]*")</f>
        <v>2</v>
      </c>
      <c r="D713" s="198">
        <f>COUNTIFS(P$11:P$569, "projects", Q$11:Q$569, "1K-100K", Z$11:Z$569,"*[4]*")</f>
        <v>3</v>
      </c>
      <c r="E713" s="198">
        <f>COUNTIFS(P$11:P$569, "projects", Q$11:Q$569, "100K-1M", Z$11:Z$569,"*[4]*")</f>
        <v>0</v>
      </c>
      <c r="F713" s="198">
        <f>COUNTIFS(P$11:P$569, "projects", Q$11:Q$569, "G1M", Z$11:Z$569,"*[4]*")</f>
        <v>0</v>
      </c>
      <c r="G713" s="198">
        <f t="shared" si="98"/>
        <v>6</v>
      </c>
      <c r="H713" s="198">
        <f t="shared" si="99"/>
        <v>11.32</v>
      </c>
    </row>
    <row r="714">
      <c r="A714" s="195" t="s">
        <v>18</v>
      </c>
      <c r="B714" s="198">
        <f t="shared" ref="B714:F714" si="100">SUM(B710:B713)</f>
        <v>17</v>
      </c>
      <c r="C714" s="198">
        <f t="shared" si="100"/>
        <v>11</v>
      </c>
      <c r="D714" s="198">
        <f t="shared" si="100"/>
        <v>20</v>
      </c>
      <c r="E714" s="198">
        <f t="shared" si="100"/>
        <v>1</v>
      </c>
      <c r="F714" s="198">
        <f t="shared" si="100"/>
        <v>4</v>
      </c>
      <c r="G714" s="198">
        <f>IF(SUM(G710:G713)=SUM(B714:F714),SUM(B714:F714),"NO")</f>
        <v>53</v>
      </c>
      <c r="H714" s="198">
        <f t="shared" si="99"/>
        <v>100</v>
      </c>
    </row>
    <row r="715">
      <c r="A715" s="195" t="s">
        <v>1432</v>
      </c>
      <c r="B715" s="198">
        <f t="shared" ref="B715:F715" si="101">ROUND((B714/$G$714)*100,2)</f>
        <v>32.08</v>
      </c>
      <c r="C715" s="198">
        <f t="shared" si="101"/>
        <v>20.75</v>
      </c>
      <c r="D715" s="198">
        <f t="shared" si="101"/>
        <v>37.74</v>
      </c>
      <c r="E715" s="198">
        <f t="shared" si="101"/>
        <v>1.89</v>
      </c>
      <c r="F715" s="198">
        <f t="shared" si="101"/>
        <v>7.55</v>
      </c>
      <c r="G715" s="195" t="s">
        <v>1445</v>
      </c>
      <c r="H715" s="198" t="str">
        <f>IF(SUM(G710:G713)=SUM(B714:F714),"OK","NO")</f>
        <v>OK</v>
      </c>
    </row>
    <row r="717">
      <c r="A717" s="199" t="s">
        <v>1438</v>
      </c>
      <c r="B717" s="200" t="s">
        <v>1455</v>
      </c>
      <c r="C717" s="201" t="s">
        <v>1456</v>
      </c>
      <c r="D717" s="201" t="s">
        <v>1458</v>
      </c>
      <c r="E717" s="201" t="s">
        <v>1459</v>
      </c>
      <c r="F717" s="201" t="s">
        <v>1460</v>
      </c>
      <c r="G717" s="199" t="s">
        <v>18</v>
      </c>
      <c r="H717" s="199" t="s">
        <v>1432</v>
      </c>
    </row>
    <row r="718">
      <c r="A718" s="199" t="s">
        <v>1475</v>
      </c>
      <c r="B718" s="202">
        <f>COUNTIFS(P$11:P$569, "users", Q$11:Q$569, "L100", Z$11:Z$569,"*[1]*")</f>
        <v>4</v>
      </c>
      <c r="C718" s="202">
        <f>COUNTIFS(P$11:P$569, "users", Q$11:Q$569, "100-1K", Z$11:Z$569,"*[1]*")</f>
        <v>2</v>
      </c>
      <c r="D718" s="202">
        <f>COUNTIFS(P$11:P$569, "users", Q$11:Q$569, "1K-100K", Z$11:Z$569,"*[1]*")</f>
        <v>0</v>
      </c>
      <c r="E718" s="202">
        <f>COUNTIFS(P$11:P$569, "users", Q$11:Q$569, "100K-1M", Z$11:Z$569,"*[1]*")</f>
        <v>0</v>
      </c>
      <c r="F718" s="202">
        <f>COUNTIFS(P$11:P$569, "users", Q$11:Q$569, "G1M", Z$11:Z$569,"*[1]*")</f>
        <v>1</v>
      </c>
      <c r="G718" s="202">
        <f t="shared" ref="G718:G721" si="102">SUM(B718:F718)</f>
        <v>7</v>
      </c>
      <c r="H718" s="202">
        <f t="shared" ref="H718:H722" si="103">ROUND((G718/$G$722)*100,2)</f>
        <v>17.07</v>
      </c>
    </row>
    <row r="719">
      <c r="A719" s="199" t="s">
        <v>1476</v>
      </c>
      <c r="B719" s="202">
        <f>COUNTIFS(P$11:P$569, "users", Q$11:Q$569, "L100", Z$11:Z$569,"*[2]*")</f>
        <v>3</v>
      </c>
      <c r="C719" s="202">
        <f>COUNTIFS(P$11:P$569, "users", Q$11:Q$569, "100-1K", Z$11:Z$569,"*[2]*")</f>
        <v>2</v>
      </c>
      <c r="D719" s="202">
        <f>COUNTIFS(P$11:P$569, "users", Q$11:Q$569, "1K-100K", Z$11:Z$569,"*[2]*")</f>
        <v>1</v>
      </c>
      <c r="E719" s="202">
        <f>COUNTIFS(P$11:P$569, "users", Q$11:Q$569, "100K-1M", Z$11:Z$569,"*[2]*")</f>
        <v>1</v>
      </c>
      <c r="F719" s="202">
        <f>COUNTIFS(P$11:P$569, "users", Q$11:Q$569, "G1M", Z$11:Z$569,"*[2]*")</f>
        <v>2</v>
      </c>
      <c r="G719" s="202">
        <f t="shared" si="102"/>
        <v>9</v>
      </c>
      <c r="H719" s="202">
        <f t="shared" si="103"/>
        <v>21.95</v>
      </c>
    </row>
    <row r="720">
      <c r="A720" s="199" t="s">
        <v>1477</v>
      </c>
      <c r="B720" s="202">
        <f>COUNTIFS(P$11:P$569, "users", Q$11:Q$569, "L100", Z$11:Z$569,"*[3]*")</f>
        <v>5</v>
      </c>
      <c r="C720" s="202">
        <f>COUNTIFS(P$11:P$569, "users", Q$11:Q$569, "100-1K", Z$11:Z$569,"*[3]*")</f>
        <v>1</v>
      </c>
      <c r="D720" s="202">
        <f>COUNTIFS(P$11:P$569, "users", Q$11:Q$569, "1K-100K", Z$11:Z$569,"*[3]*")</f>
        <v>3</v>
      </c>
      <c r="E720" s="202">
        <f>COUNTIFS(P$11:P$569, "users", Q$11:Q$569, "100K-1M", Z$11:Z$569,"*[3]*")</f>
        <v>2</v>
      </c>
      <c r="F720" s="202">
        <f>COUNTIFS(P$11:P$569, "users", Q$11:Q$569, "G1M", Z$11:Z$569,"*[3]*")</f>
        <v>2</v>
      </c>
      <c r="G720" s="202">
        <f t="shared" si="102"/>
        <v>13</v>
      </c>
      <c r="H720" s="202">
        <f t="shared" si="103"/>
        <v>31.71</v>
      </c>
    </row>
    <row r="721">
      <c r="A721" s="199" t="s">
        <v>1478</v>
      </c>
      <c r="B721" s="202">
        <f>COUNTIFS(P$11:P$569, "users", Q$11:Q$569, "L100", Z$11:Z$569,"*[4]*")</f>
        <v>4</v>
      </c>
      <c r="C721" s="202">
        <f>COUNTIFS(P$11:P$569, "users", Q$11:Q$569, "100-1K", Z$11:Z$569,"*[4]*")</f>
        <v>2</v>
      </c>
      <c r="D721" s="202">
        <f>COUNTIFS(P$11:P$569, "users", Q$11:Q$569, "1K-100K", Z$11:Z$569,"*[4]*")</f>
        <v>3</v>
      </c>
      <c r="E721" s="202">
        <f>COUNTIFS(P$11:P$569, "users", Q$11:Q$569, "100K-1M", Z$11:Z$569,"*[4]*")</f>
        <v>1</v>
      </c>
      <c r="F721" s="202">
        <f>COUNTIFS(P$11:P$569, "users", Q$11:Q$569, "G1M", Z$11:Z$569,"*[4]*")</f>
        <v>2</v>
      </c>
      <c r="G721" s="202">
        <f t="shared" si="102"/>
        <v>12</v>
      </c>
      <c r="H721" s="202">
        <f t="shared" si="103"/>
        <v>29.27</v>
      </c>
    </row>
    <row r="722">
      <c r="A722" s="199" t="s">
        <v>18</v>
      </c>
      <c r="B722" s="202">
        <f t="shared" ref="B722:F722" si="104">SUM(B718:B721)</f>
        <v>16</v>
      </c>
      <c r="C722" s="202">
        <f t="shared" si="104"/>
        <v>7</v>
      </c>
      <c r="D722" s="202">
        <f t="shared" si="104"/>
        <v>7</v>
      </c>
      <c r="E722" s="202">
        <f t="shared" si="104"/>
        <v>4</v>
      </c>
      <c r="F722" s="202">
        <f t="shared" si="104"/>
        <v>7</v>
      </c>
      <c r="G722" s="202">
        <f>IF(SUM(G718:G721)=SUM(B722:F722),SUM(B722:F722),"NO")</f>
        <v>41</v>
      </c>
      <c r="H722" s="202">
        <f t="shared" si="103"/>
        <v>100</v>
      </c>
      <c r="I722" s="107"/>
      <c r="J722" s="107"/>
      <c r="K722" s="107"/>
      <c r="L722" s="107"/>
      <c r="M722" s="107"/>
      <c r="N722" s="107"/>
      <c r="O722" s="107"/>
    </row>
    <row r="723">
      <c r="A723" s="199" t="s">
        <v>1432</v>
      </c>
      <c r="B723" s="202">
        <f t="shared" ref="B723:F723" si="105">ROUND((B722/$G$722)*100,2)</f>
        <v>39.02</v>
      </c>
      <c r="C723" s="202">
        <f t="shared" si="105"/>
        <v>17.07</v>
      </c>
      <c r="D723" s="202">
        <f t="shared" si="105"/>
        <v>17.07</v>
      </c>
      <c r="E723" s="202">
        <f t="shared" si="105"/>
        <v>9.76</v>
      </c>
      <c r="F723" s="202">
        <f t="shared" si="105"/>
        <v>17.07</v>
      </c>
      <c r="G723" s="199" t="s">
        <v>1445</v>
      </c>
      <c r="H723" s="202" t="str">
        <f>IF(SUM(G718:G721)=SUM(B722:F722),"OK","NO")</f>
        <v>OK</v>
      </c>
      <c r="I723" s="40"/>
      <c r="J723" s="40"/>
      <c r="K723" s="40"/>
      <c r="L723" s="40"/>
      <c r="M723" s="40"/>
      <c r="N723" s="40"/>
      <c r="O723" s="40"/>
    </row>
    <row r="724">
      <c r="I724" s="40"/>
      <c r="J724" s="40"/>
      <c r="K724" s="40"/>
      <c r="L724" s="40"/>
      <c r="M724" s="40"/>
      <c r="N724" s="40"/>
      <c r="O724" s="40"/>
    </row>
    <row r="725">
      <c r="A725" s="203" t="s">
        <v>1475</v>
      </c>
      <c r="B725" s="40"/>
      <c r="C725" s="40"/>
      <c r="D725" s="40"/>
      <c r="E725" s="40"/>
      <c r="F725" s="40"/>
      <c r="G725" s="40"/>
      <c r="I725" s="40"/>
      <c r="J725" s="40"/>
      <c r="K725" s="40"/>
      <c r="L725" s="40"/>
      <c r="M725" s="40"/>
      <c r="N725" s="40"/>
      <c r="O725" s="40"/>
    </row>
    <row r="726">
      <c r="A726" s="204" t="s">
        <v>1535</v>
      </c>
      <c r="B726" s="203" t="s">
        <v>1447</v>
      </c>
      <c r="C726" s="203" t="s">
        <v>1448</v>
      </c>
      <c r="D726" s="203" t="s">
        <v>1449</v>
      </c>
      <c r="E726" s="203" t="s">
        <v>1450</v>
      </c>
      <c r="F726" s="203" t="s">
        <v>1451</v>
      </c>
      <c r="G726" s="203" t="s">
        <v>18</v>
      </c>
      <c r="H726" s="203" t="s">
        <v>1432</v>
      </c>
      <c r="I726" s="40"/>
      <c r="J726" s="40"/>
      <c r="K726" s="40"/>
      <c r="L726" s="40"/>
      <c r="M726" s="40"/>
      <c r="N726" s="40"/>
      <c r="O726" s="40"/>
    </row>
    <row r="727">
      <c r="A727" s="205" t="s">
        <v>1455</v>
      </c>
      <c r="B727" s="206">
        <f>COUNTIFS(P$11:P$569, "*,*", Q$11:Q$569, "L100,L100", Z$11:Z$569,"*[1]*")</f>
        <v>1</v>
      </c>
      <c r="C727" s="206">
        <f>COUNTIFS(P$11:P$569, "*,*", Q$11:Q$569, "L100,100-1K", Z$11:Z$569,"*[1]*")</f>
        <v>1</v>
      </c>
      <c r="D727" s="206">
        <f>COUNTIFS(P$11:P$569, "*,*", Q$11:Q$569, "L100,1K-100K", Z$11:Z$569,"*[1]*")</f>
        <v>0</v>
      </c>
      <c r="E727" s="206">
        <f>COUNTIFS(P$11:P$569, "*,*", Q$11:Q$569, "L100,100K-1M", Z$11:Z$569,"*[1]*")</f>
        <v>0</v>
      </c>
      <c r="F727" s="206">
        <f>COUNTIFS(P$11:P$569, "*,*", Q$11:Q$569, "L100,G1M", Z$11:Z$569,"*[1]*")</f>
        <v>0</v>
      </c>
      <c r="G727" s="206">
        <f t="shared" ref="G727:G731" si="106">SUM(B727:F727)</f>
        <v>2</v>
      </c>
      <c r="H727" s="206">
        <f>ROUND((G$727/G$732)*100,2)</f>
        <v>22.22</v>
      </c>
      <c r="I727" s="40"/>
      <c r="J727" s="40"/>
      <c r="K727" s="40"/>
      <c r="L727" s="40"/>
      <c r="M727" s="40"/>
      <c r="N727" s="40"/>
      <c r="O727" s="40"/>
    </row>
    <row r="728">
      <c r="A728" s="207" t="s">
        <v>1456</v>
      </c>
      <c r="B728" s="206">
        <f>COUNTIFS(P$11:P$569, "*,*", Q$11:Q$569, "100-1K,L100", Z$11:Z$569,"*[1]*")</f>
        <v>0</v>
      </c>
      <c r="C728" s="206">
        <f>COUNTIFS(P$11:P$569, "*,*", Q$11:Q$569, "100-1K,100-1K", Z$11:Z$569,"*[1]*")</f>
        <v>0</v>
      </c>
      <c r="D728" s="206">
        <f>COUNTIFS(P$11:P$569, "*,*", Q$11:Q$569, "100-1K,1K-100K", Z$11:Z$569,"*[1]*")</f>
        <v>1</v>
      </c>
      <c r="E728" s="206">
        <f>COUNTIFS(P$11:P$569, "*,*", Q$11:Q$569, "100-1K,100K-1M", Z$11:Z$569,"*[1]*")</f>
        <v>0</v>
      </c>
      <c r="F728" s="206">
        <f>COUNTIFS(P$11:P$569, "*,*", Q$11:Q$569, "100-1K,G1M", Z$11:Z$569,"*[1]*")</f>
        <v>0</v>
      </c>
      <c r="G728" s="206">
        <f t="shared" si="106"/>
        <v>1</v>
      </c>
      <c r="H728" s="206">
        <f>ROUND((G$728/G$732)*100,2)</f>
        <v>11.11</v>
      </c>
      <c r="I728" s="40"/>
      <c r="J728" s="40"/>
      <c r="K728" s="40"/>
      <c r="L728" s="40"/>
      <c r="M728" s="40"/>
      <c r="N728" s="40"/>
      <c r="O728" s="40"/>
    </row>
    <row r="729">
      <c r="A729" s="207" t="s">
        <v>1458</v>
      </c>
      <c r="B729" s="206">
        <f>COUNTIFS(P$11:P$569, "*,*", Q$11:Q$569, "1K-100K,L100", Z$11:Z$569,"*[1]*")</f>
        <v>0</v>
      </c>
      <c r="C729" s="206">
        <f>COUNTIFS(P$11:P$569, "*,*", Q$11:Q$569, "1K-100K,100-1K", Z$11:Z$569,"*[1]*")</f>
        <v>0</v>
      </c>
      <c r="D729" s="206">
        <f>COUNTIFS(P$11:P$569, "*,*", Q$11:Q$569, "1K-100K,1K-100K", Z$11:Z$569,"*[1]*")</f>
        <v>2</v>
      </c>
      <c r="E729" s="206">
        <f>COUNTIFS(P$11:P$569, "*,*", Q$11:Q$569, "1K-100K,100K-1M", Z$11:Z$569,"*[1]*")</f>
        <v>1</v>
      </c>
      <c r="F729" s="206">
        <f>COUNTIFS(P$11:P$569, "*,*", Q$11:Q$569, "1K-100K,G1M", Z$11:Z$569,"*[1]*")</f>
        <v>0</v>
      </c>
      <c r="G729" s="206">
        <f t="shared" si="106"/>
        <v>3</v>
      </c>
      <c r="H729" s="206">
        <f>ROUND((G$729/G$732)*100,2)</f>
        <v>33.33</v>
      </c>
      <c r="I729" s="40"/>
      <c r="J729" s="40"/>
      <c r="K729" s="40"/>
      <c r="L729" s="40"/>
      <c r="M729" s="40"/>
      <c r="N729" s="40"/>
      <c r="O729" s="40"/>
    </row>
    <row r="730">
      <c r="A730" s="207" t="s">
        <v>1459</v>
      </c>
      <c r="B730" s="206">
        <f>COUNTIFS(P$11:P$569, "*,*", Q$11:Q$569, "100K-1M,L100", Z$11:Z$569,"*[1]*")</f>
        <v>0</v>
      </c>
      <c r="C730" s="206">
        <f>COUNTIFS(P$11:P$569, "*,*", Q$11:Q$569, "100K-1M,100-1K", Z$11:Z$569,"*[1]*")</f>
        <v>0</v>
      </c>
      <c r="D730" s="206">
        <f>COUNTIFS(P$11:P$569, "*,*", Q$11:Q$569, "100K-1M,1K-100K", Z$11:Z$569,"*[1]*")</f>
        <v>0</v>
      </c>
      <c r="E730" s="206">
        <f>COUNTIFS(P$11:P$569, "*,*", Q$11:Q$569, "100K-1M,100K-1M", Z$11:Z$569,"*[1]*")</f>
        <v>0</v>
      </c>
      <c r="F730" s="206">
        <f>COUNTIFS(P$11:P$569, "*,*", Q$11:Q$569, "100K-1M,G1M", Z$11:Z$569,"*[1]*")</f>
        <v>2</v>
      </c>
      <c r="G730" s="206">
        <f t="shared" si="106"/>
        <v>2</v>
      </c>
      <c r="H730" s="206">
        <f>ROUND((G$730/G$732)*100,2)</f>
        <v>22.22</v>
      </c>
    </row>
    <row r="731">
      <c r="A731" s="207" t="s">
        <v>1460</v>
      </c>
      <c r="B731" s="206">
        <f>COUNTIFS(P$11:P$569, "*,*", Q$11:Q$569, "G1M,L100", Z$11:Z$569,"*[1]*")</f>
        <v>0</v>
      </c>
      <c r="C731" s="206">
        <f>COUNTIFS(P$11:P$569, "*,*", Q$11:Q$569, "G1M,100-1K", Z$11:Z$569,"*[1]*")</f>
        <v>0</v>
      </c>
      <c r="D731" s="206">
        <f>COUNTIFS(P$11:P$569, "*,*", Q$11:Q$569, "G1M,1K-100K", Z$11:Z$569,"*[1]*")</f>
        <v>0</v>
      </c>
      <c r="E731" s="206">
        <f>COUNTIFS(P$11:P$569, "*,*", Q$11:Q$569, "G1M,100K-1M", Z$11:Z$569,"*[1]*")</f>
        <v>0</v>
      </c>
      <c r="F731" s="206">
        <f>COUNTIFS(P$11:P$569, "*,*", Q$11:Q$569, "G1M,G1M", Z$11:Z$569,"*[1]*")</f>
        <v>1</v>
      </c>
      <c r="G731" s="206">
        <f t="shared" si="106"/>
        <v>1</v>
      </c>
      <c r="H731" s="206">
        <f>ROUND((G$731/G$732)*100,2)</f>
        <v>11.11</v>
      </c>
    </row>
    <row r="732">
      <c r="A732" s="212" t="s">
        <v>18</v>
      </c>
      <c r="B732" s="213">
        <f t="shared" ref="B732:F732" si="107">SUM(B727:B731)</f>
        <v>1</v>
      </c>
      <c r="C732" s="213">
        <f t="shared" si="107"/>
        <v>1</v>
      </c>
      <c r="D732" s="213">
        <f t="shared" si="107"/>
        <v>3</v>
      </c>
      <c r="E732" s="213">
        <f t="shared" si="107"/>
        <v>1</v>
      </c>
      <c r="F732" s="213">
        <f t="shared" si="107"/>
        <v>3</v>
      </c>
      <c r="G732" s="206">
        <f>IF(AND(SUM(B732:F732)=D704,SUM(G727:G731)=D704), D704, "NO")</f>
        <v>9</v>
      </c>
      <c r="H732" s="206">
        <f>SUM(H727:H731)</f>
        <v>99.99</v>
      </c>
      <c r="I732" s="107"/>
      <c r="J732" s="107"/>
      <c r="K732" s="107"/>
      <c r="L732" s="107"/>
      <c r="M732" s="107"/>
      <c r="N732" s="107"/>
      <c r="O732" s="107"/>
    </row>
    <row r="733">
      <c r="A733" s="203" t="s">
        <v>1432</v>
      </c>
      <c r="B733" s="206">
        <f>ROUND((B$732/G$732)*100,2)</f>
        <v>11.11</v>
      </c>
      <c r="C733" s="206">
        <f>ROUND((C$732/G$732)*100,2)</f>
        <v>11.11</v>
      </c>
      <c r="D733" s="206">
        <f>ROUND((D$732/G$732)*100,2)</f>
        <v>33.33</v>
      </c>
      <c r="E733" s="206">
        <f>ROUND((E$732/G$732)*100,2)</f>
        <v>11.11</v>
      </c>
      <c r="F733" s="206">
        <f>ROUND((F$732/G$732)*100,2)</f>
        <v>33.33</v>
      </c>
      <c r="G733" s="203" t="s">
        <v>1445</v>
      </c>
      <c r="H733" s="206" t="str">
        <f>IF(SUM(B732:F732)=SUM(G727:G731),"OK","NO")</f>
        <v>OK</v>
      </c>
      <c r="I733" s="40"/>
      <c r="J733" s="40"/>
      <c r="K733" s="40"/>
      <c r="L733" s="40"/>
      <c r="M733" s="40"/>
      <c r="N733" s="40"/>
      <c r="O733" s="40"/>
    </row>
    <row r="734">
      <c r="I734" s="40"/>
      <c r="J734" s="40"/>
      <c r="K734" s="40"/>
      <c r="L734" s="40"/>
      <c r="M734" s="40"/>
      <c r="N734" s="40"/>
      <c r="O734" s="40"/>
    </row>
    <row r="735">
      <c r="A735" s="178" t="s">
        <v>1476</v>
      </c>
      <c r="B735" s="40"/>
      <c r="C735" s="40"/>
      <c r="D735" s="40"/>
      <c r="E735" s="40"/>
      <c r="F735" s="40"/>
      <c r="G735" s="40"/>
      <c r="I735" s="40"/>
      <c r="J735" s="40"/>
      <c r="K735" s="40"/>
      <c r="L735" s="40"/>
      <c r="M735" s="40"/>
      <c r="N735" s="40"/>
      <c r="O735" s="40"/>
    </row>
    <row r="736">
      <c r="A736" s="214" t="s">
        <v>1535</v>
      </c>
      <c r="B736" s="178" t="s">
        <v>1447</v>
      </c>
      <c r="C736" s="178" t="s">
        <v>1448</v>
      </c>
      <c r="D736" s="178" t="s">
        <v>1449</v>
      </c>
      <c r="E736" s="178" t="s">
        <v>1450</v>
      </c>
      <c r="F736" s="178" t="s">
        <v>1451</v>
      </c>
      <c r="G736" s="178" t="s">
        <v>18</v>
      </c>
      <c r="H736" s="178" t="s">
        <v>1432</v>
      </c>
      <c r="I736" s="40"/>
      <c r="J736" s="40"/>
      <c r="K736" s="40"/>
      <c r="L736" s="40"/>
      <c r="M736" s="40"/>
      <c r="N736" s="40"/>
      <c r="O736" s="40"/>
    </row>
    <row r="737">
      <c r="A737" s="29" t="s">
        <v>1455</v>
      </c>
      <c r="B737" s="177">
        <f>COUNTIFS(P$11:P$569, "*,*", Q$11:Q$569, "L100,L100", Z$11:Z$569,"*[2]*")</f>
        <v>1</v>
      </c>
      <c r="C737" s="177">
        <f>COUNTIFS(P$11:P$569, "*,*", Q$11:Q$569, "L100,100-1K", Z$11:Z$569,"*[2]*")</f>
        <v>0</v>
      </c>
      <c r="D737" s="177">
        <f>COUNTIFS(P$11:P$569, "*,*", Q$11:Q$569, "L100,1K-100K", Z$11:Z$569,"*[2]*")</f>
        <v>0</v>
      </c>
      <c r="E737" s="177">
        <f>COUNTIFS(P$11:P$569, "*,*", Q$11:Q$569, "L100,100K-1M", Z$11:Z$569,"*[2]*")</f>
        <v>0</v>
      </c>
      <c r="F737" s="177">
        <f>COUNTIFS(P$11:P$569, "*,*", Q$11:Q$569, "L100,G1M", Z$11:Z$569,"*[2]*")</f>
        <v>0</v>
      </c>
      <c r="G737" s="177">
        <f t="shared" ref="G737:G741" si="108">SUM(B737:F737)</f>
        <v>1</v>
      </c>
      <c r="H737" s="177">
        <f>ROUND((G$737/G$742)*100,2)</f>
        <v>7.69</v>
      </c>
      <c r="I737" s="40"/>
      <c r="J737" s="40"/>
      <c r="K737" s="40"/>
      <c r="L737" s="40"/>
      <c r="M737" s="40"/>
      <c r="N737" s="40"/>
      <c r="O737" s="40"/>
    </row>
    <row r="738">
      <c r="A738" s="215" t="s">
        <v>1456</v>
      </c>
      <c r="B738" s="177">
        <f>COUNTIFS(P$11:P$569, "*,*", Q$11:Q$569, "100-1K,L100", Z$11:Z$569,"*[2]*")</f>
        <v>0</v>
      </c>
      <c r="C738" s="177">
        <f>COUNTIFS(P$11:P$569, "*,*", Q$11:Q$569, "100-1K,100-1K", Z$11:Z$569,"*[2]*")</f>
        <v>0</v>
      </c>
      <c r="D738" s="177">
        <f>COUNTIFS(P$11:P$569, "*,*", Q$11:Q$569, "100-1K,1K-100K", Z$11:Z$569,"*[2]*")</f>
        <v>0</v>
      </c>
      <c r="E738" s="177">
        <f>COUNTIFS(P$11:P$569, "*,*", Q$11:Q$569, "100-1K,100K-1M", Z$11:Z$569,"*[2]*")</f>
        <v>0</v>
      </c>
      <c r="F738" s="177">
        <f>COUNTIFS(P$11:P$569, "*,*", Q$11:Q$569, "100-1K,G1M", Z$11:Z$569,"*[2]*")</f>
        <v>0</v>
      </c>
      <c r="G738" s="177">
        <f t="shared" si="108"/>
        <v>0</v>
      </c>
      <c r="H738" s="177">
        <f>ROUND((G$738/G$742)*100,2)</f>
        <v>0</v>
      </c>
      <c r="I738" s="40"/>
      <c r="J738" s="40"/>
      <c r="K738" s="40"/>
      <c r="L738" s="40"/>
      <c r="M738" s="40"/>
      <c r="N738" s="40"/>
      <c r="O738" s="40"/>
    </row>
    <row r="739">
      <c r="A739" s="215" t="s">
        <v>1458</v>
      </c>
      <c r="B739" s="177">
        <f>COUNTIFS(P$11:P$569, "*,*", Q$11:Q$569, "1K-100K,L100", Z$11:Z$569,"*[2]*")</f>
        <v>0</v>
      </c>
      <c r="C739" s="177">
        <f>COUNTIFS(P$11:P$569, "*,*", Q$11:Q$569, "1K-100K,100-1K", Z$11:Z$569,"*[2]*")</f>
        <v>0</v>
      </c>
      <c r="D739" s="177">
        <f>COUNTIFS(P$11:P$569, "*,*", Q$11:Q$569, "1K-100K,1K-100K", Z$11:Z$569,"*[2]*")</f>
        <v>2</v>
      </c>
      <c r="E739" s="177">
        <f>COUNTIFS(P$11:P$569, "*,*", Q$11:Q$569, "1K-100K,100K-1M", Z$11:Z$569,"*[2]*")</f>
        <v>0</v>
      </c>
      <c r="F739" s="177">
        <f>COUNTIFS(P$11:P$569, "*,*", Q$11:Q$569, "1K-100K,G1M", Z$11:Z$569,"*[2]*")</f>
        <v>0</v>
      </c>
      <c r="G739" s="177">
        <f t="shared" si="108"/>
        <v>2</v>
      </c>
      <c r="H739" s="177">
        <f>ROUND((G$739/G$742)*100,2)</f>
        <v>15.38</v>
      </c>
      <c r="I739" s="40"/>
      <c r="J739" s="40"/>
      <c r="K739" s="40"/>
      <c r="L739" s="40"/>
      <c r="M739" s="40"/>
      <c r="N739" s="40"/>
      <c r="O739" s="40"/>
    </row>
    <row r="740">
      <c r="A740" s="215" t="s">
        <v>1459</v>
      </c>
      <c r="B740" s="177">
        <f>COUNTIFS(P$11:P$569, "*,*", Q$11:Q$569, "100K-1M,L100", Z$11:Z$569,"*[2]*")</f>
        <v>0</v>
      </c>
      <c r="C740" s="177">
        <f>COUNTIFS(P$11:P$569, "*,*", Q$11:Q$569, "100K-1M,100-1K", Z$11:Z$569,"*[2]*")</f>
        <v>0</v>
      </c>
      <c r="D740" s="177">
        <f>COUNTIFS(P$11:P$569, "*,*", Q$11:Q$569, "100K-1M,1K-100K", Z$11:Z$569,"*[2]*")</f>
        <v>2</v>
      </c>
      <c r="E740" s="177">
        <f>COUNTIFS(P$11:P$569, "*,*", Q$11:Q$569, "100K-1M,100K-1M", Z$11:Z$569,"*[2]*")</f>
        <v>2</v>
      </c>
      <c r="F740" s="177">
        <f>COUNTIFS(P$11:P$569, "*,*", Q$11:Q$569, "100K-1M,G1M", Z$11:Z$569,"*[2]*")</f>
        <v>2</v>
      </c>
      <c r="G740" s="177">
        <f t="shared" si="108"/>
        <v>6</v>
      </c>
      <c r="H740" s="177">
        <f>ROUND((G$740/G$742)*100,2)</f>
        <v>46.15</v>
      </c>
    </row>
    <row r="741">
      <c r="A741" s="215" t="s">
        <v>1460</v>
      </c>
      <c r="B741" s="177">
        <f>COUNTIFS(P$11:P$569, "*,*", Q$11:Q$569, "G1M,L100", Z$11:Z$569,"*[2]*")</f>
        <v>0</v>
      </c>
      <c r="C741" s="177">
        <f>COUNTIFS(P$11:P$569, "*,*", Q$11:Q$569, "G1M,100-1K", Z$11:Z$569,"*[2]*")</f>
        <v>0</v>
      </c>
      <c r="D741" s="177">
        <f>COUNTIFS(P$11:P$569, "*,*", Q$11:Q$569, "G1M,1K-100K", Z$11:Z$569,"*[2]*")</f>
        <v>0</v>
      </c>
      <c r="E741" s="177">
        <f>COUNTIFS(P$11:P$569, "*,*", Q$11:Q$569, "G1M,100K-1M", Z$11:Z$569,"*[2]*")</f>
        <v>1</v>
      </c>
      <c r="F741" s="177">
        <f>COUNTIFS(P$11:P$569, "*,*", Q$11:Q$569, "G1M,G1M", Z$11:Z$569,"*[2]*")</f>
        <v>3</v>
      </c>
      <c r="G741" s="177">
        <f t="shared" si="108"/>
        <v>4</v>
      </c>
      <c r="H741" s="177">
        <f>ROUND((G$741/G$742)*100,2)</f>
        <v>30.77</v>
      </c>
    </row>
    <row r="742">
      <c r="A742" s="216" t="s">
        <v>18</v>
      </c>
      <c r="B742" s="217">
        <f t="shared" ref="B742:F742" si="109">SUM(B737:B741)</f>
        <v>1</v>
      </c>
      <c r="C742" s="217">
        <f t="shared" si="109"/>
        <v>0</v>
      </c>
      <c r="D742" s="217">
        <f t="shared" si="109"/>
        <v>4</v>
      </c>
      <c r="E742" s="217">
        <f t="shared" si="109"/>
        <v>3</v>
      </c>
      <c r="F742" s="217">
        <f t="shared" si="109"/>
        <v>5</v>
      </c>
      <c r="G742" s="177">
        <f>IF(AND(SUM(B742:F742)=D705,SUM(G737:G741)=D705), D705, "NO")</f>
        <v>13</v>
      </c>
      <c r="H742" s="177">
        <f>SUM(H737:H741)</f>
        <v>99.99</v>
      </c>
      <c r="I742" s="107"/>
      <c r="J742" s="107"/>
      <c r="K742" s="107"/>
      <c r="L742" s="107"/>
      <c r="M742" s="107"/>
      <c r="N742" s="107"/>
      <c r="O742" s="107"/>
    </row>
    <row r="743">
      <c r="A743" s="178" t="s">
        <v>1432</v>
      </c>
      <c r="B743" s="177">
        <f>ROUND((B$742/G$742)*100,2)</f>
        <v>7.69</v>
      </c>
      <c r="C743" s="177">
        <f>ROUND((C$732/G$732)*100,2)</f>
        <v>11.11</v>
      </c>
      <c r="D743" s="177">
        <f>ROUND((D$732/G$732)*100,2)</f>
        <v>33.33</v>
      </c>
      <c r="E743" s="177">
        <f>ROUND((E$732/G$732)*100,2)</f>
        <v>11.11</v>
      </c>
      <c r="F743" s="177">
        <f>ROUND((F$732/G$732)*100,2)</f>
        <v>33.33</v>
      </c>
      <c r="G743" s="178" t="s">
        <v>1445</v>
      </c>
      <c r="H743" s="177" t="str">
        <f>IF(SUM(B742:F742)=SUM(G737:G741),"OK","NO")</f>
        <v>OK</v>
      </c>
      <c r="I743" s="40"/>
      <c r="J743" s="40"/>
      <c r="K743" s="40"/>
      <c r="L743" s="40"/>
      <c r="M743" s="40"/>
      <c r="N743" s="40"/>
      <c r="O743" s="40"/>
    </row>
    <row r="744">
      <c r="I744" s="40"/>
      <c r="J744" s="40"/>
      <c r="K744" s="40"/>
      <c r="L744" s="40"/>
      <c r="M744" s="40"/>
      <c r="N744" s="40"/>
      <c r="O744" s="40"/>
    </row>
    <row r="745">
      <c r="A745" s="218" t="s">
        <v>1477</v>
      </c>
      <c r="B745" s="40"/>
      <c r="C745" s="40"/>
      <c r="D745" s="40"/>
      <c r="E745" s="40"/>
      <c r="F745" s="40"/>
      <c r="G745" s="40"/>
      <c r="I745" s="40"/>
      <c r="J745" s="40"/>
      <c r="K745" s="40"/>
      <c r="L745" s="40"/>
      <c r="M745" s="40"/>
      <c r="N745" s="40"/>
      <c r="O745" s="40"/>
    </row>
    <row r="746">
      <c r="A746" s="219" t="s">
        <v>1535</v>
      </c>
      <c r="B746" s="218" t="s">
        <v>1447</v>
      </c>
      <c r="C746" s="218" t="s">
        <v>1448</v>
      </c>
      <c r="D746" s="218" t="s">
        <v>1449</v>
      </c>
      <c r="E746" s="218" t="s">
        <v>1450</v>
      </c>
      <c r="F746" s="218" t="s">
        <v>1451</v>
      </c>
      <c r="G746" s="218" t="s">
        <v>18</v>
      </c>
      <c r="H746" s="218" t="s">
        <v>1432</v>
      </c>
      <c r="I746" s="40"/>
      <c r="J746" s="40"/>
      <c r="K746" s="40"/>
      <c r="L746" s="40"/>
      <c r="M746" s="40"/>
      <c r="N746" s="40"/>
      <c r="O746" s="40"/>
    </row>
    <row r="747">
      <c r="A747" s="220" t="s">
        <v>1455</v>
      </c>
      <c r="B747" s="222">
        <f>COUNTIFS(P$11:P$569, "*,*", Q$11:Q$569, "L100,L100", Z$11:Z$569,"*[3]*")</f>
        <v>1</v>
      </c>
      <c r="C747" s="222">
        <f>COUNTIFS(P$11:P$569, "*,*", Q$11:Q$569, "L100,100-1K", Z$11:Z$569,"*[3]*")</f>
        <v>0</v>
      </c>
      <c r="D747" s="222">
        <f>COUNTIFS(P$11:P$569, "*,*", Q$11:Q$569, "L100,1K-100K", Z$11:Z$569,"*[3]*")</f>
        <v>0</v>
      </c>
      <c r="E747" s="222">
        <f>COUNTIFS(P$11:P$569, "*,*", Q$11:Q$569, "L100,100K-1M", Z$11:Z$569,"*[3]*")</f>
        <v>0</v>
      </c>
      <c r="F747" s="222">
        <f>COUNTIFS(P$11:P$569, "*,*", Q$11:Q$569, "L100,G1M", Z$11:Z$569,"*[3]*")</f>
        <v>0</v>
      </c>
      <c r="G747" s="222">
        <f t="shared" ref="G747:G751" si="110">SUM(B747:F747)</f>
        <v>1</v>
      </c>
      <c r="H747" s="222">
        <f>ROUND((G$747/G$752)*100,2)</f>
        <v>6.67</v>
      </c>
      <c r="I747" s="40"/>
      <c r="J747" s="40"/>
      <c r="K747" s="40"/>
      <c r="L747" s="40"/>
      <c r="M747" s="40"/>
      <c r="N747" s="40"/>
      <c r="O747" s="40"/>
    </row>
    <row r="748">
      <c r="A748" s="223" t="s">
        <v>1456</v>
      </c>
      <c r="B748" s="222">
        <f>COUNTIFS(P$11:P$569, "*,*", Q$11:Q$569, "100-1K,L100", Z$11:Z$569,"*[3]*")</f>
        <v>0</v>
      </c>
      <c r="C748" s="222">
        <f>COUNTIFS(P$11:P$569, "*,*", Q$11:Q$569, "100-1K,100-1K", Z$11:Z$569,"*[3]*")</f>
        <v>0</v>
      </c>
      <c r="D748" s="222">
        <f>COUNTIFS(P$11:P$569, "*,*", Q$11:Q$569, "100-1K,1K-100K", Z$11:Z$569,"*[3]*")</f>
        <v>2</v>
      </c>
      <c r="E748" s="222">
        <f>COUNTIFS(P$11:P$569, "*,*", Q$11:Q$569, "100-1K,100K-1M", Z$11:Z$569,"*[3]*")</f>
        <v>0</v>
      </c>
      <c r="F748" s="222">
        <f>COUNTIFS(P$11:P$569, "*,*", Q$11:Q$569, "100-1K,G1M", Z$11:Z$569,"*[3]*")</f>
        <v>0</v>
      </c>
      <c r="G748" s="222">
        <f t="shared" si="110"/>
        <v>2</v>
      </c>
      <c r="H748" s="222">
        <f>ROUND((G$748/G$752)*100,2)</f>
        <v>13.33</v>
      </c>
      <c r="I748" s="40"/>
      <c r="J748" s="40"/>
      <c r="K748" s="40"/>
      <c r="L748" s="40"/>
      <c r="M748" s="40"/>
      <c r="N748" s="40"/>
      <c r="O748" s="40"/>
    </row>
    <row r="749">
      <c r="A749" s="223" t="s">
        <v>1458</v>
      </c>
      <c r="B749" s="222">
        <f>COUNTIFS(P$11:P$569, "*,*", Q$11:Q$569, "1K-100K,L100", Z$11:Z$569,"*[3]*")</f>
        <v>0</v>
      </c>
      <c r="C749" s="222">
        <f>COUNTIFS(P$11:P$569, "*,*", Q$11:Q$569, "1K-100K,100-1K", Z$11:Z$569,"*[3]*")</f>
        <v>1</v>
      </c>
      <c r="D749" s="222">
        <f>COUNTIFS(P$11:P$569, "*,*", Q$11:Q$569, "1K-100K,1K-100K", Z$11:Z$569,"*[3]*")</f>
        <v>2</v>
      </c>
      <c r="E749" s="222">
        <f>COUNTIFS(P$11:P$569, "*,*", Q$11:Q$569, "1K-100K,100K-1M", Z$11:Z$569,"*[3]*")</f>
        <v>0</v>
      </c>
      <c r="F749" s="222">
        <f>COUNTIFS(P$11:P$569, "*,*", Q$11:Q$569, "1K-100K,G1M", Z$11:Z$569,"*[3]*")</f>
        <v>0</v>
      </c>
      <c r="G749" s="222">
        <f t="shared" si="110"/>
        <v>3</v>
      </c>
      <c r="H749" s="222">
        <f>ROUND((G$749/G$752)*100,2)</f>
        <v>20</v>
      </c>
      <c r="I749" s="40"/>
      <c r="J749" s="40"/>
      <c r="K749" s="40"/>
      <c r="L749" s="40"/>
      <c r="M749" s="40"/>
      <c r="N749" s="40"/>
      <c r="O749" s="40"/>
    </row>
    <row r="750">
      <c r="A750" s="223" t="s">
        <v>1459</v>
      </c>
      <c r="B750" s="222">
        <f>COUNTIFS(P$11:P$569, "*,*", Q$11:Q$569, "100K-1M,L100", Z$11:Z$569,"*[3]*")</f>
        <v>0</v>
      </c>
      <c r="C750" s="222">
        <f>COUNTIFS(P$11:P$569, "*,*", Q$11:Q$569, "100K-1M,100-1K", Z$11:Z$569,"*[3]*")</f>
        <v>0</v>
      </c>
      <c r="D750" s="222">
        <f>COUNTIFS(P$11:P$569, "*,*", Q$11:Q$569, "100K-1M,1K-100K", Z$11:Z$569,"*[3]*")</f>
        <v>2</v>
      </c>
      <c r="E750" s="222">
        <f>COUNTIFS(P$11:P$569, "*,*", Q$11:Q$569, "100K-1M,100K-1M", Z$11:Z$569,"*[3]*")</f>
        <v>1</v>
      </c>
      <c r="F750" s="222">
        <f>COUNTIFS(P$11:P$569, "*,*", Q$11:Q$569, "100K-1M,G1M", Z$11:Z$569,"*[3]*")</f>
        <v>2</v>
      </c>
      <c r="G750" s="222">
        <f t="shared" si="110"/>
        <v>5</v>
      </c>
      <c r="H750" s="222">
        <f>ROUND((G$750/G$752)*100,2)</f>
        <v>33.33</v>
      </c>
    </row>
    <row r="751">
      <c r="A751" s="223" t="s">
        <v>1460</v>
      </c>
      <c r="B751" s="222">
        <f>COUNTIFS(P$11:P$569, "*,*", Q$11:Q$569, "G1M,L100", Z$11:Z$569,"*[3]*")</f>
        <v>0</v>
      </c>
      <c r="C751" s="222">
        <f>COUNTIFS(P$11:P$569, "*,*", Q$11:Q$569, "G1M,100-1K", Z$11:Z$569,"*[3]*")</f>
        <v>0</v>
      </c>
      <c r="D751" s="222">
        <f>COUNTIFS(P$11:P$569, "*,*", Q$11:Q$569, "G1M,1K-100K", Z$11:Z$569,"*[3]*")</f>
        <v>0</v>
      </c>
      <c r="E751" s="222">
        <f>COUNTIFS(P$11:P$569, "*,*", Q$11:Q$569, "G1M,100K-1M", Z$11:Z$569,"*[3]*")</f>
        <v>0</v>
      </c>
      <c r="F751" s="222">
        <f>COUNTIFS(P$11:P$569, "*,*", Q$11:Q$569, "G1M,G1M", Z$11:Z$569,"*[3]*")</f>
        <v>4</v>
      </c>
      <c r="G751" s="222">
        <f t="shared" si="110"/>
        <v>4</v>
      </c>
      <c r="H751" s="222">
        <f>ROUND((G$751/G$752)*100,2)</f>
        <v>26.67</v>
      </c>
    </row>
    <row r="752">
      <c r="A752" s="224" t="s">
        <v>18</v>
      </c>
      <c r="B752" s="225">
        <f t="shared" ref="B752:F752" si="111">SUM(B747:B751)</f>
        <v>1</v>
      </c>
      <c r="C752" s="225">
        <f t="shared" si="111"/>
        <v>1</v>
      </c>
      <c r="D752" s="225">
        <f t="shared" si="111"/>
        <v>6</v>
      </c>
      <c r="E752" s="225">
        <f t="shared" si="111"/>
        <v>1</v>
      </c>
      <c r="F752" s="225">
        <f t="shared" si="111"/>
        <v>6</v>
      </c>
      <c r="G752" s="222">
        <f>IF(AND(SUM(B752:F752)=D706,SUM(G747:G751)=D706), D706, "NO")</f>
        <v>15</v>
      </c>
      <c r="H752" s="222">
        <f>SUM(H747:H751)</f>
        <v>100</v>
      </c>
      <c r="I752" s="107"/>
      <c r="J752" s="107"/>
      <c r="K752" s="107"/>
      <c r="L752" s="107"/>
      <c r="M752" s="107"/>
      <c r="N752" s="107"/>
      <c r="O752" s="107"/>
    </row>
    <row r="753">
      <c r="A753" s="218" t="s">
        <v>1432</v>
      </c>
      <c r="B753" s="222">
        <f>ROUND((B$752/G$752)*100,2)</f>
        <v>6.67</v>
      </c>
      <c r="C753" s="222">
        <f>ROUND((C$752/G$752)*100,2)</f>
        <v>6.67</v>
      </c>
      <c r="D753" s="222">
        <f>ROUND((D$752/G$752)*100,2)</f>
        <v>40</v>
      </c>
      <c r="E753" s="222">
        <f>ROUND((E$752/G$752)*100,2)</f>
        <v>6.67</v>
      </c>
      <c r="F753" s="222">
        <f>ROUND((F$752/G$752)*100,2)</f>
        <v>40</v>
      </c>
      <c r="G753" s="218" t="s">
        <v>1445</v>
      </c>
      <c r="H753" s="222" t="str">
        <f>IF(SUM(B752:F752)=SUM(G747:G751),"OK","NO")</f>
        <v>OK</v>
      </c>
      <c r="I753" s="40"/>
      <c r="J753" s="40"/>
      <c r="K753" s="40"/>
      <c r="L753" s="40"/>
      <c r="M753" s="40"/>
      <c r="N753" s="40"/>
      <c r="O753" s="40"/>
    </row>
    <row r="754">
      <c r="I754" s="40"/>
      <c r="J754" s="40"/>
      <c r="K754" s="40"/>
      <c r="L754" s="40"/>
      <c r="M754" s="40"/>
      <c r="N754" s="40"/>
      <c r="O754" s="40"/>
    </row>
    <row r="755">
      <c r="A755" s="15" t="s">
        <v>1478</v>
      </c>
      <c r="B755" s="40"/>
      <c r="C755" s="40"/>
      <c r="D755" s="40"/>
      <c r="E755" s="40"/>
      <c r="F755" s="40"/>
      <c r="G755" s="40"/>
      <c r="I755" s="40"/>
      <c r="J755" s="40"/>
      <c r="K755" s="40"/>
      <c r="L755" s="40"/>
      <c r="M755" s="40"/>
      <c r="N755" s="40"/>
      <c r="O755" s="40"/>
    </row>
    <row r="756">
      <c r="A756" s="7" t="s">
        <v>1535</v>
      </c>
      <c r="B756" s="15" t="s">
        <v>1447</v>
      </c>
      <c r="C756" s="15" t="s">
        <v>1448</v>
      </c>
      <c r="D756" s="15" t="s">
        <v>1449</v>
      </c>
      <c r="E756" s="15" t="s">
        <v>1450</v>
      </c>
      <c r="F756" s="15" t="s">
        <v>1451</v>
      </c>
      <c r="G756" s="15" t="s">
        <v>18</v>
      </c>
      <c r="H756" s="15" t="s">
        <v>1432</v>
      </c>
      <c r="I756" s="40"/>
      <c r="J756" s="40"/>
      <c r="K756" s="40"/>
      <c r="L756" s="40"/>
      <c r="M756" s="40"/>
      <c r="N756" s="40"/>
      <c r="O756" s="40"/>
    </row>
    <row r="757">
      <c r="A757" s="9" t="s">
        <v>1455</v>
      </c>
      <c r="B757" s="226">
        <f>COUNTIFS(P$11:P$569, "*,*", Q$11:Q$569, "L100,L100", Z$11:Z$569,"*[4]*")</f>
        <v>0</v>
      </c>
      <c r="C757" s="226">
        <f>COUNTIFS(P$11:P$569, "*,*", Q$11:Q$569, "L100,100-1K", Z$11:Z$569,"*[4]*")</f>
        <v>0</v>
      </c>
      <c r="D757" s="226">
        <f>COUNTIFS(P$11:P$569, "*,*", Q$11:Q$569, "L100,1K-100K", Z$11:Z$569,"*[4]*")</f>
        <v>0</v>
      </c>
      <c r="E757" s="226">
        <f>COUNTIFS(P$11:P$569, "*,*", Q$11:Q$569, "L100,100K-1M", Z$11:Z$569,"*[4]*")</f>
        <v>0</v>
      </c>
      <c r="F757" s="226">
        <f>COUNTIFS(P$11:P$569, "*,*", Q$11:Q$569, "L100,G1M", Z$11:Z$569,"*[4]*")</f>
        <v>0</v>
      </c>
      <c r="G757" s="226">
        <f t="shared" ref="G757:G761" si="112">SUM(B757:F757)</f>
        <v>0</v>
      </c>
      <c r="H757" s="226">
        <f>ROUND((G$757/G$762)*100,2)</f>
        <v>0</v>
      </c>
      <c r="I757" s="40"/>
      <c r="J757" s="40"/>
      <c r="K757" s="40"/>
      <c r="L757" s="40"/>
      <c r="M757" s="40"/>
      <c r="N757" s="40"/>
      <c r="O757" s="40"/>
    </row>
    <row r="758">
      <c r="A758" s="227" t="s">
        <v>1456</v>
      </c>
      <c r="B758" s="226">
        <f>COUNTIFS(P$11:P$569, "*,*", Q$11:Q$569, "100-1K,L100", Z$11:Z$569,"*[4]*")</f>
        <v>0</v>
      </c>
      <c r="C758" s="226">
        <f>COUNTIFS(P$11:P$569, "*,*", Q$11:Q$569, "100-1K,100-1K", Z$11:Z$569,"*[4]*")</f>
        <v>0</v>
      </c>
      <c r="D758" s="226">
        <f>COUNTIFS(P$11:P$569, "*,*", Q$11:Q$569, "100-1K,1K-100K", Z$11:Z$569,"*[4]*")</f>
        <v>0</v>
      </c>
      <c r="E758" s="226">
        <f>COUNTIFS(P$11:P$569, "*,*", Q$11:Q$569, "100-1K,100K-1M", Z$11:Z$569,"*[4]*")</f>
        <v>0</v>
      </c>
      <c r="F758" s="226">
        <f>COUNTIFS(P$11:P$569, "*,*", Q$11:Q$569, "100-1K,G1M", Z$11:Z$569,"*[4]*")</f>
        <v>0</v>
      </c>
      <c r="G758" s="226">
        <f t="shared" si="112"/>
        <v>0</v>
      </c>
      <c r="H758" s="226">
        <f>ROUND((G$758/G$762)*100,2)</f>
        <v>0</v>
      </c>
      <c r="I758" s="40"/>
      <c r="J758" s="40"/>
      <c r="K758" s="40"/>
      <c r="L758" s="40"/>
      <c r="M758" s="40"/>
      <c r="N758" s="40"/>
      <c r="O758" s="40"/>
    </row>
    <row r="759">
      <c r="A759" s="227" t="s">
        <v>1458</v>
      </c>
      <c r="B759" s="226">
        <f>COUNTIFS(P$11:P$569, "*,*", Q$11:Q$569, "1K-100K,L100", Z$11:Z$569,"*[4]*")</f>
        <v>0</v>
      </c>
      <c r="C759" s="226">
        <f>COUNTIFS(P$11:P$569, "*,*", Q$11:Q$569, "1K-100K,100-1K", Z$11:Z$569,"*[4]*")</f>
        <v>0</v>
      </c>
      <c r="D759" s="226">
        <f>COUNTIFS(P$11:P$569, "*,*", Q$11:Q$569, "1K-100K,1K-100K", Z$11:Z$569,"*[4]*")</f>
        <v>1</v>
      </c>
      <c r="E759" s="226">
        <f>COUNTIFS(P$11:P$569, "*,*", Q$11:Q$569, "1K-100K,100K-1M", Z$11:Z$569,"*[4]*")</f>
        <v>0</v>
      </c>
      <c r="F759" s="226">
        <f>COUNTIFS(P$11:P$569, "*,*", Q$11:Q$569, "1K-100K,G1M", Z$11:Z$569,"*[4]*")</f>
        <v>0</v>
      </c>
      <c r="G759" s="226">
        <f t="shared" si="112"/>
        <v>1</v>
      </c>
      <c r="H759" s="226">
        <f>ROUND((G$759/G$762)*100,2)</f>
        <v>20</v>
      </c>
      <c r="I759" s="40"/>
      <c r="J759" s="40"/>
      <c r="K759" s="40"/>
      <c r="L759" s="40"/>
      <c r="M759" s="40"/>
      <c r="N759" s="40"/>
      <c r="O759" s="40"/>
    </row>
    <row r="760">
      <c r="A760" s="227" t="s">
        <v>1459</v>
      </c>
      <c r="B760" s="226">
        <f>COUNTIFS(P$11:P$569, "*,*", Q$11:Q$569, "100K-1M,L100", Z$11:Z$569,"*[4]*")</f>
        <v>0</v>
      </c>
      <c r="C760" s="226">
        <f>COUNTIFS(P$11:P$569, "*,*", Q$11:Q$569, "100K-1M,100-1K", Z$11:Z$569,"*[4]*")</f>
        <v>0</v>
      </c>
      <c r="D760" s="226">
        <f>COUNTIFS(P$11:P$569, "*,*", Q$11:Q$569, "100K-1M,1K-100K", Z$11:Z$569,"*[4]*")</f>
        <v>0</v>
      </c>
      <c r="E760" s="226">
        <f>COUNTIFS(P$11:P$569, "*,*", Q$11:Q$569, "100K-1M,100K-1M", Z$11:Z$569,"*[4]*")</f>
        <v>1</v>
      </c>
      <c r="F760" s="226">
        <f>COUNTIFS(P$11:P$569, "*,*", Q$11:Q$569, "100K-1M,G1M", Z$11:Z$569,"*[4]*")</f>
        <v>1</v>
      </c>
      <c r="G760" s="226">
        <f t="shared" si="112"/>
        <v>2</v>
      </c>
      <c r="H760" s="226">
        <f>ROUND((G$760/G$762)*100,2)</f>
        <v>40</v>
      </c>
    </row>
    <row r="761">
      <c r="A761" s="227" t="s">
        <v>1460</v>
      </c>
      <c r="B761" s="226">
        <f>COUNTIFS(P$11:P$569, "*,*", Q$11:Q$569, "G1M,L100", Z$11:Z$569,"*[4]*")</f>
        <v>0</v>
      </c>
      <c r="C761" s="226">
        <f>COUNTIFS(P$11:P$569, "*,*", Q$11:Q$569, "G1M,100-1K", Z$11:Z$569,"*[4]*")</f>
        <v>0</v>
      </c>
      <c r="D761" s="226">
        <f>COUNTIFS(P$11:P$569, "*,*", Q$11:Q$569, "G1M,1K-100K", Z$11:Z$569,"*[4]*")</f>
        <v>0</v>
      </c>
      <c r="E761" s="226">
        <f>COUNTIFS(P$11:P$569, "*,*", Q$11:Q$569, "G1M,100K-1M", Z$11:Z$569,"*[4]*")</f>
        <v>0</v>
      </c>
      <c r="F761" s="226">
        <f>COUNTIFS(P$11:P$569, "*,*", Q$11:Q$569, "G1M,G1M", Z$11:Z$569,"*[4]*")</f>
        <v>2</v>
      </c>
      <c r="G761" s="226">
        <f t="shared" si="112"/>
        <v>2</v>
      </c>
      <c r="H761" s="226">
        <f>ROUND((G$761/G$762)*100,2)</f>
        <v>40</v>
      </c>
    </row>
    <row r="762">
      <c r="A762" s="228" t="s">
        <v>18</v>
      </c>
      <c r="B762" s="229">
        <f t="shared" ref="B762:F762" si="113">SUM(B757:B761)</f>
        <v>0</v>
      </c>
      <c r="C762" s="229">
        <f t="shared" si="113"/>
        <v>0</v>
      </c>
      <c r="D762" s="229">
        <f t="shared" si="113"/>
        <v>1</v>
      </c>
      <c r="E762" s="229">
        <f t="shared" si="113"/>
        <v>1</v>
      </c>
      <c r="F762" s="229">
        <f t="shared" si="113"/>
        <v>3</v>
      </c>
      <c r="G762" s="226">
        <f>IF(AND(SUM(B762:F762)=D707,SUM(G757:G761)=D707), D707, "NO")</f>
        <v>5</v>
      </c>
      <c r="H762" s="226">
        <f>SUM(H757:H761)</f>
        <v>100</v>
      </c>
    </row>
    <row r="763">
      <c r="A763" s="15" t="s">
        <v>1432</v>
      </c>
      <c r="B763" s="226">
        <f>ROUND((B$762/G$762)*100,2)</f>
        <v>0</v>
      </c>
      <c r="C763" s="226">
        <f>ROUND((C$762/G$762)*100,2)</f>
        <v>0</v>
      </c>
      <c r="D763" s="226">
        <f>ROUND((D$762/G$762)*100,2)</f>
        <v>20</v>
      </c>
      <c r="E763" s="226">
        <f>ROUND((E$762/G$762)*100,2)</f>
        <v>20</v>
      </c>
      <c r="F763" s="226">
        <f>ROUND((F$762/G$762)*100,2)</f>
        <v>60</v>
      </c>
      <c r="G763" s="15" t="s">
        <v>1445</v>
      </c>
      <c r="H763" s="226" t="str">
        <f>IF(SUM(B762:F762)=SUM(G757:G761),"OK","NO")</f>
        <v>OK</v>
      </c>
    </row>
  </sheetData>
  <hyperlinks>
    <hyperlink r:id="rId2" ref="C11"/>
    <hyperlink r:id="rId3" ref="C12"/>
    <hyperlink r:id="rId4" ref="C13"/>
    <hyperlink r:id="rId5" ref="C14"/>
    <hyperlink r:id="rId6" ref="C15"/>
    <hyperlink r:id="rId7" ref="C16"/>
    <hyperlink r:id="rId8" ref="C17"/>
    <hyperlink r:id="rId9" ref="C18"/>
    <hyperlink r:id="rId10" ref="C19"/>
    <hyperlink r:id="rId11" ref="C20"/>
    <hyperlink r:id="rId12" ref="C21"/>
    <hyperlink r:id="rId13" ref="C22"/>
    <hyperlink r:id="rId14" ref="C23"/>
    <hyperlink r:id="rId15" ref="C24"/>
    <hyperlink r:id="rId16" ref="C25"/>
    <hyperlink r:id="rId17" ref="C26"/>
    <hyperlink r:id="rId18" ref="C27"/>
    <hyperlink r:id="rId19" ref="C28"/>
    <hyperlink r:id="rId20" ref="C29"/>
    <hyperlink r:id="rId21" ref="C30"/>
    <hyperlink r:id="rId22" ref="C31"/>
    <hyperlink r:id="rId23" ref="C32"/>
    <hyperlink r:id="rId24" ref="C33"/>
    <hyperlink r:id="rId25" ref="C34"/>
    <hyperlink r:id="rId26" ref="C35"/>
    <hyperlink r:id="rId27" ref="C36"/>
    <hyperlink r:id="rId28" ref="C37"/>
    <hyperlink r:id="rId29" ref="C38"/>
    <hyperlink r:id="rId30" ref="C39"/>
    <hyperlink r:id="rId31" ref="C40"/>
    <hyperlink r:id="rId32" ref="C41"/>
    <hyperlink r:id="rId33" ref="C42"/>
    <hyperlink r:id="rId34" ref="C43"/>
    <hyperlink r:id="rId35" ref="C44"/>
    <hyperlink r:id="rId36" ref="C45"/>
    <hyperlink r:id="rId37" ref="C46"/>
    <hyperlink r:id="rId38" ref="C47"/>
    <hyperlink r:id="rId39" ref="C48"/>
    <hyperlink r:id="rId40" ref="C49"/>
    <hyperlink r:id="rId41" ref="C50"/>
    <hyperlink r:id="rId42" ref="C51"/>
    <hyperlink r:id="rId43" ref="C52"/>
    <hyperlink r:id="rId44" ref="C53"/>
    <hyperlink r:id="rId45" ref="C54"/>
    <hyperlink r:id="rId46" ref="C55"/>
    <hyperlink r:id="rId47" ref="C56"/>
    <hyperlink r:id="rId48" ref="C57"/>
    <hyperlink r:id="rId49" ref="C58"/>
    <hyperlink r:id="rId50" ref="C59"/>
    <hyperlink r:id="rId51" ref="C60"/>
    <hyperlink r:id="rId52" ref="C61"/>
    <hyperlink r:id="rId53" ref="C62"/>
    <hyperlink r:id="rId54" ref="C63"/>
    <hyperlink r:id="rId55" ref="C64"/>
    <hyperlink r:id="rId56" ref="C65"/>
    <hyperlink r:id="rId57" ref="C66"/>
    <hyperlink r:id="rId58" ref="C67"/>
    <hyperlink r:id="rId59" ref="C68"/>
    <hyperlink r:id="rId60" ref="C69"/>
    <hyperlink r:id="rId61" ref="C70"/>
    <hyperlink r:id="rId62" ref="C71"/>
    <hyperlink r:id="rId63" ref="C72"/>
    <hyperlink r:id="rId64" ref="C73"/>
    <hyperlink r:id="rId65" ref="C74"/>
    <hyperlink r:id="rId66" ref="C75"/>
    <hyperlink r:id="rId67" ref="C76"/>
    <hyperlink r:id="rId68" ref="C77"/>
    <hyperlink r:id="rId69" ref="C78"/>
    <hyperlink r:id="rId70" ref="C79"/>
    <hyperlink r:id="rId71" ref="C80"/>
    <hyperlink r:id="rId72" ref="C81"/>
    <hyperlink r:id="rId73" ref="C82"/>
    <hyperlink r:id="rId74" ref="C83"/>
    <hyperlink r:id="rId75" ref="C84"/>
    <hyperlink r:id="rId76" ref="C85"/>
    <hyperlink r:id="rId77" ref="C86"/>
    <hyperlink r:id="rId78" ref="C87"/>
    <hyperlink r:id="rId79" ref="C88"/>
    <hyperlink r:id="rId80" ref="C89"/>
    <hyperlink r:id="rId81" ref="C90"/>
    <hyperlink r:id="rId82" ref="C91"/>
    <hyperlink r:id="rId83" ref="C92"/>
    <hyperlink r:id="rId84" ref="C93"/>
    <hyperlink r:id="rId85" ref="C94"/>
    <hyperlink r:id="rId86" ref="C95"/>
    <hyperlink r:id="rId87" ref="C96"/>
    <hyperlink r:id="rId88" ref="C97"/>
    <hyperlink r:id="rId89" ref="C98"/>
    <hyperlink r:id="rId90" ref="C99"/>
    <hyperlink r:id="rId91" ref="C100"/>
    <hyperlink r:id="rId92" ref="C101"/>
    <hyperlink r:id="rId93" ref="C102"/>
    <hyperlink r:id="rId94" ref="C103"/>
    <hyperlink r:id="rId95" ref="C104"/>
    <hyperlink r:id="rId96" ref="C105"/>
    <hyperlink r:id="rId97" ref="C106"/>
    <hyperlink r:id="rId98" ref="C107"/>
    <hyperlink r:id="rId99" ref="C108"/>
    <hyperlink r:id="rId100" ref="C109"/>
    <hyperlink r:id="rId101" ref="C110"/>
    <hyperlink r:id="rId102" ref="C111"/>
    <hyperlink r:id="rId103" ref="C112"/>
    <hyperlink r:id="rId104" ref="C113"/>
    <hyperlink r:id="rId105" ref="C114"/>
    <hyperlink r:id="rId106" ref="C115"/>
    <hyperlink r:id="rId107" ref="C116"/>
    <hyperlink r:id="rId108" ref="C117"/>
    <hyperlink r:id="rId109" ref="C118"/>
    <hyperlink r:id="rId110" ref="C119"/>
    <hyperlink r:id="rId111" ref="C120"/>
    <hyperlink r:id="rId112" ref="C121"/>
    <hyperlink r:id="rId113" ref="C122"/>
    <hyperlink r:id="rId114" ref="C123"/>
    <hyperlink r:id="rId115" ref="C124"/>
    <hyperlink r:id="rId116" ref="C125"/>
    <hyperlink r:id="rId117" ref="C126"/>
    <hyperlink r:id="rId118" ref="C127"/>
    <hyperlink r:id="rId119" ref="C128"/>
    <hyperlink r:id="rId120" ref="C129"/>
    <hyperlink r:id="rId121" ref="C130"/>
    <hyperlink r:id="rId122" ref="C131"/>
    <hyperlink r:id="rId123" ref="C132"/>
    <hyperlink r:id="rId124" ref="C133"/>
    <hyperlink r:id="rId125" ref="C134"/>
    <hyperlink r:id="rId126" ref="C135"/>
    <hyperlink r:id="rId127" ref="C136"/>
    <hyperlink r:id="rId128" ref="C137"/>
    <hyperlink r:id="rId129" ref="C138"/>
    <hyperlink r:id="rId130" ref="C139"/>
    <hyperlink r:id="rId131" ref="C140"/>
    <hyperlink r:id="rId132" ref="C141"/>
    <hyperlink r:id="rId133" ref="C142"/>
    <hyperlink r:id="rId134" ref="C143"/>
    <hyperlink r:id="rId135" ref="C144"/>
    <hyperlink r:id="rId136" ref="C145"/>
    <hyperlink r:id="rId137" ref="C146"/>
    <hyperlink r:id="rId138" ref="C147"/>
    <hyperlink r:id="rId139" ref="C148"/>
    <hyperlink r:id="rId140" ref="C149"/>
    <hyperlink r:id="rId141" ref="C150"/>
    <hyperlink r:id="rId142" ref="C151"/>
    <hyperlink r:id="rId143" ref="C152"/>
    <hyperlink r:id="rId144" ref="C153"/>
    <hyperlink r:id="rId145" ref="C154"/>
    <hyperlink r:id="rId146" ref="C155"/>
    <hyperlink r:id="rId147" ref="C156"/>
    <hyperlink r:id="rId148" ref="C157"/>
    <hyperlink r:id="rId149" ref="C158"/>
    <hyperlink r:id="rId150" ref="C159"/>
    <hyperlink r:id="rId151" ref="C160"/>
    <hyperlink r:id="rId152" ref="C161"/>
    <hyperlink r:id="rId153" ref="C162"/>
    <hyperlink r:id="rId154" ref="C163"/>
    <hyperlink r:id="rId155" ref="C164"/>
    <hyperlink r:id="rId156" ref="C165"/>
    <hyperlink r:id="rId157" ref="C166"/>
    <hyperlink r:id="rId158" ref="C167"/>
    <hyperlink r:id="rId159" ref="C168"/>
    <hyperlink r:id="rId160" ref="C169"/>
    <hyperlink r:id="rId161" ref="C170"/>
    <hyperlink r:id="rId162" ref="C171"/>
    <hyperlink r:id="rId163" ref="C172"/>
    <hyperlink r:id="rId164" ref="C173"/>
    <hyperlink r:id="rId165" ref="C174"/>
    <hyperlink r:id="rId166" ref="C175"/>
    <hyperlink r:id="rId167" ref="C176"/>
    <hyperlink r:id="rId168" ref="C177"/>
    <hyperlink r:id="rId169" ref="C178"/>
    <hyperlink r:id="rId170" ref="C179"/>
    <hyperlink r:id="rId171" ref="C180"/>
    <hyperlink r:id="rId172" ref="C181"/>
    <hyperlink r:id="rId173" ref="C182"/>
    <hyperlink r:id="rId174" ref="C183"/>
    <hyperlink r:id="rId175" ref="C184"/>
    <hyperlink r:id="rId176" ref="C185"/>
    <hyperlink r:id="rId177" ref="C186"/>
    <hyperlink r:id="rId178" ref="C187"/>
    <hyperlink r:id="rId179" ref="C188"/>
    <hyperlink r:id="rId180" ref="C189"/>
    <hyperlink r:id="rId181" ref="C190"/>
    <hyperlink r:id="rId182" ref="C191"/>
    <hyperlink r:id="rId183" ref="C192"/>
    <hyperlink r:id="rId184" ref="C193"/>
    <hyperlink r:id="rId185" ref="C194"/>
    <hyperlink r:id="rId186" ref="C195"/>
    <hyperlink r:id="rId187" ref="C196"/>
    <hyperlink r:id="rId188" location="v=onepage&amp;q=Introducing%20GitHub%20-%20A%20Non-Technical%20Guide&amp;f=false" ref="C197"/>
    <hyperlink r:id="rId189" ref="C198"/>
    <hyperlink r:id="rId190" ref="C199"/>
    <hyperlink r:id="rId191" ref="C200"/>
    <hyperlink r:id="rId192" ref="C201"/>
    <hyperlink r:id="rId193" ref="C202"/>
    <hyperlink r:id="rId194" ref="C203"/>
    <hyperlink r:id="rId195" ref="C204"/>
    <hyperlink r:id="rId196" ref="C205"/>
    <hyperlink r:id="rId197" ref="C206"/>
    <hyperlink r:id="rId198" ref="C207"/>
    <hyperlink r:id="rId199" ref="C208"/>
    <hyperlink r:id="rId200" ref="C209"/>
    <hyperlink r:id="rId201" ref="C210"/>
    <hyperlink r:id="rId202" ref="C211"/>
    <hyperlink r:id="rId203" ref="C212"/>
    <hyperlink r:id="rId204" ref="C213"/>
    <hyperlink r:id="rId205" ref="C214"/>
    <hyperlink r:id="rId206" ref="C215"/>
    <hyperlink r:id="rId207" ref="C216"/>
    <hyperlink r:id="rId208" ref="C217"/>
    <hyperlink r:id="rId209" ref="C218"/>
    <hyperlink r:id="rId210" ref="C219"/>
    <hyperlink r:id="rId211" ref="C220"/>
    <hyperlink r:id="rId212" ref="C221"/>
    <hyperlink r:id="rId213" ref="C222"/>
    <hyperlink r:id="rId214" ref="C223"/>
    <hyperlink r:id="rId215" ref="C224"/>
    <hyperlink r:id="rId216" ref="C225"/>
    <hyperlink r:id="rId217" ref="C226"/>
    <hyperlink r:id="rId218" ref="C227"/>
    <hyperlink r:id="rId219" ref="C228"/>
    <hyperlink r:id="rId220" ref="C229"/>
    <hyperlink r:id="rId221" ref="C230"/>
    <hyperlink r:id="rId222" ref="C231"/>
    <hyperlink r:id="rId223" ref="C232"/>
    <hyperlink r:id="rId224" location="page-1" ref="C233"/>
    <hyperlink r:id="rId225" ref="C234"/>
    <hyperlink r:id="rId226" ref="C235"/>
    <hyperlink r:id="rId227" ref="C236"/>
    <hyperlink r:id="rId228" ref="C237"/>
    <hyperlink r:id="rId229" ref="C238"/>
    <hyperlink r:id="rId230" ref="C239"/>
    <hyperlink r:id="rId231" location="page-1" ref="C240"/>
    <hyperlink r:id="rId232" ref="C241"/>
    <hyperlink r:id="rId233" ref="C242"/>
    <hyperlink r:id="rId234" ref="C243"/>
    <hyperlink r:id="rId235" ref="C244"/>
    <hyperlink r:id="rId236" ref="C245"/>
    <hyperlink r:id="rId237" location="v=onepage&amp;q&amp;f=false" ref="C246"/>
    <hyperlink r:id="rId238" ref="C247"/>
    <hyperlink r:id="rId239" ref="C248"/>
    <hyperlink r:id="rId240" ref="C249"/>
    <hyperlink r:id="rId241" ref="C250"/>
    <hyperlink r:id="rId242" ref="C251"/>
    <hyperlink r:id="rId243" ref="C252"/>
    <hyperlink r:id="rId244" ref="C253"/>
    <hyperlink r:id="rId245" ref="C254"/>
    <hyperlink r:id="rId246" ref="C255"/>
    <hyperlink r:id="rId247" ref="C256"/>
    <hyperlink r:id="rId248" ref="C257"/>
    <hyperlink r:id="rId249" ref="C258"/>
    <hyperlink r:id="rId250" ref="C259"/>
    <hyperlink r:id="rId251" ref="C260"/>
    <hyperlink r:id="rId252" ref="C261"/>
    <hyperlink r:id="rId253" ref="C262"/>
    <hyperlink r:id="rId254" ref="C263"/>
    <hyperlink r:id="rId255" ref="C264"/>
    <hyperlink r:id="rId256" ref="C265"/>
    <hyperlink r:id="rId257" ref="C266"/>
    <hyperlink r:id="rId258" ref="C267"/>
    <hyperlink r:id="rId259" ref="C268"/>
    <hyperlink r:id="rId260" ref="C269"/>
    <hyperlink r:id="rId261" ref="C270"/>
    <hyperlink r:id="rId262" ref="C271"/>
    <hyperlink r:id="rId263" ref="C272"/>
    <hyperlink r:id="rId264" ref="C273"/>
    <hyperlink r:id="rId265" ref="C274"/>
    <hyperlink r:id="rId266" ref="C275"/>
    <hyperlink r:id="rId267" ref="C276"/>
    <hyperlink r:id="rId268" ref="C277"/>
    <hyperlink r:id="rId269" ref="C278"/>
    <hyperlink r:id="rId270" ref="C279"/>
    <hyperlink r:id="rId271" ref="C280"/>
    <hyperlink r:id="rId272" ref="C281"/>
    <hyperlink r:id="rId273" ref="C282"/>
    <hyperlink r:id="rId274" ref="C283"/>
    <hyperlink r:id="rId275" ref="C284"/>
    <hyperlink r:id="rId276" ref="C285"/>
    <hyperlink r:id="rId277" ref="C286"/>
    <hyperlink r:id="rId278" ref="C287"/>
    <hyperlink r:id="rId279" ref="C288"/>
    <hyperlink r:id="rId280" ref="C289"/>
    <hyperlink r:id="rId281" ref="C290"/>
    <hyperlink r:id="rId282" ref="C291"/>
    <hyperlink r:id="rId283" ref="C292"/>
    <hyperlink r:id="rId284" ref="C293"/>
    <hyperlink r:id="rId285" ref="C294"/>
    <hyperlink r:id="rId286" ref="C295"/>
    <hyperlink r:id="rId287" ref="C296"/>
    <hyperlink r:id="rId288" ref="C297"/>
    <hyperlink r:id="rId289" ref="C298"/>
    <hyperlink r:id="rId290" ref="C299"/>
    <hyperlink r:id="rId291" ref="C300"/>
    <hyperlink r:id="rId292" ref="C301"/>
    <hyperlink r:id="rId293" ref="C302"/>
    <hyperlink r:id="rId294" ref="C303"/>
    <hyperlink r:id="rId295" ref="C304"/>
    <hyperlink r:id="rId296" ref="C305"/>
    <hyperlink r:id="rId297" ref="C306"/>
    <hyperlink r:id="rId298" ref="C307"/>
    <hyperlink r:id="rId299" ref="C308"/>
    <hyperlink r:id="rId300" ref="C309"/>
    <hyperlink r:id="rId301" ref="C310"/>
    <hyperlink r:id="rId302" ref="C311"/>
    <hyperlink r:id="rId303" ref="C312"/>
    <hyperlink r:id="rId304" ref="C313"/>
    <hyperlink r:id="rId305" ref="C314"/>
    <hyperlink r:id="rId306" ref="C315"/>
    <hyperlink r:id="rId307" ref="C316"/>
    <hyperlink r:id="rId308" ref="C317"/>
    <hyperlink r:id="rId309" ref="C318"/>
    <hyperlink r:id="rId310" ref="C319"/>
    <hyperlink r:id="rId311" ref="C320"/>
    <hyperlink r:id="rId312" ref="C321"/>
    <hyperlink r:id="rId313" ref="C322"/>
    <hyperlink r:id="rId314" ref="C323"/>
    <hyperlink r:id="rId315" ref="C324"/>
    <hyperlink r:id="rId316" ref="C325"/>
    <hyperlink r:id="rId317" ref="C326"/>
    <hyperlink r:id="rId318" ref="C327"/>
    <hyperlink r:id="rId319" ref="C328"/>
    <hyperlink r:id="rId320" ref="C329"/>
    <hyperlink r:id="rId321" ref="C330"/>
    <hyperlink r:id="rId322" ref="C331"/>
    <hyperlink r:id="rId323" ref="C332"/>
    <hyperlink r:id="rId324" ref="C333"/>
    <hyperlink r:id="rId325" ref="C334"/>
    <hyperlink r:id="rId326" ref="C335"/>
    <hyperlink r:id="rId327" ref="C336"/>
    <hyperlink r:id="rId328" ref="C337"/>
    <hyperlink r:id="rId329" ref="C338"/>
    <hyperlink r:id="rId330" ref="C339"/>
    <hyperlink r:id="rId331" location="page-1" ref="C340"/>
    <hyperlink r:id="rId332" ref="C341"/>
    <hyperlink r:id="rId333" ref="C342"/>
    <hyperlink r:id="rId334" ref="C343"/>
    <hyperlink r:id="rId335" ref="C344"/>
    <hyperlink r:id="rId336" ref="C345"/>
    <hyperlink r:id="rId337" ref="C346"/>
    <hyperlink r:id="rId338" ref="C347"/>
    <hyperlink r:id="rId339" location="page=50" ref="C348"/>
    <hyperlink r:id="rId340" ref="C349"/>
    <hyperlink r:id="rId341" ref="C350"/>
    <hyperlink r:id="rId342" ref="C351"/>
    <hyperlink r:id="rId343" ref="C352"/>
    <hyperlink r:id="rId344" ref="C353"/>
    <hyperlink r:id="rId345" ref="C354"/>
    <hyperlink r:id="rId346" ref="C355"/>
    <hyperlink r:id="rId347" ref="C356"/>
    <hyperlink r:id="rId348" ref="C357"/>
    <hyperlink r:id="rId349" ref="C358"/>
    <hyperlink r:id="rId350" ref="C359"/>
    <hyperlink r:id="rId351" location="page=38" ref="C360"/>
    <hyperlink r:id="rId352" ref="C361"/>
    <hyperlink r:id="rId353" ref="C362"/>
    <hyperlink r:id="rId354" ref="C363"/>
    <hyperlink r:id="rId355" ref="C364"/>
    <hyperlink r:id="rId356" ref="C365"/>
    <hyperlink r:id="rId357" ref="C366"/>
    <hyperlink r:id="rId358" ref="C367"/>
    <hyperlink r:id="rId359" ref="C368"/>
    <hyperlink r:id="rId360" ref="C369"/>
    <hyperlink r:id="rId361" ref="C370"/>
    <hyperlink r:id="rId362" ref="C371"/>
    <hyperlink r:id="rId363" ref="C372"/>
    <hyperlink r:id="rId364" ref="C373"/>
    <hyperlink r:id="rId365" ref="C374"/>
    <hyperlink r:id="rId366" ref="C375"/>
    <hyperlink r:id="rId367" ref="C376"/>
    <hyperlink r:id="rId368" ref="C377"/>
    <hyperlink r:id="rId369" ref="C378"/>
    <hyperlink r:id="rId370" ref="C379"/>
    <hyperlink r:id="rId371" ref="C380"/>
    <hyperlink r:id="rId372" ref="C381"/>
    <hyperlink r:id="rId373" ref="C382"/>
    <hyperlink r:id="rId374" ref="C383"/>
    <hyperlink r:id="rId375" ref="C384"/>
    <hyperlink r:id="rId376" ref="C385"/>
    <hyperlink r:id="rId377" ref="C386"/>
    <hyperlink r:id="rId378" ref="C387"/>
    <hyperlink r:id="rId379" ref="C388"/>
    <hyperlink r:id="rId380" ref="C389"/>
    <hyperlink r:id="rId381" ref="C390"/>
    <hyperlink r:id="rId382" ref="C391"/>
    <hyperlink r:id="rId383" ref="C392"/>
    <hyperlink r:id="rId384" ref="C393"/>
    <hyperlink r:id="rId385" ref="C394"/>
    <hyperlink r:id="rId386" ref="C395"/>
    <hyperlink r:id="rId387" ref="C396"/>
    <hyperlink r:id="rId388" ref="C397"/>
    <hyperlink r:id="rId389" ref="C398"/>
    <hyperlink r:id="rId390" ref="C399"/>
    <hyperlink r:id="rId391" ref="C400"/>
    <hyperlink r:id="rId392" ref="C401"/>
    <hyperlink r:id="rId393" ref="C402"/>
    <hyperlink r:id="rId394" ref="C403"/>
    <hyperlink r:id="rId395" ref="C404"/>
    <hyperlink r:id="rId396" ref="C405"/>
    <hyperlink r:id="rId397" ref="C406"/>
    <hyperlink r:id="rId398" ref="C407"/>
    <hyperlink r:id="rId399" ref="C408"/>
    <hyperlink r:id="rId400" ref="C409"/>
    <hyperlink r:id="rId401" ref="C410"/>
    <hyperlink r:id="rId402" ref="C411"/>
    <hyperlink r:id="rId403" ref="C412"/>
    <hyperlink r:id="rId404" ref="C413"/>
    <hyperlink r:id="rId405" ref="C414"/>
    <hyperlink r:id="rId406" ref="C415"/>
    <hyperlink r:id="rId407" ref="C416"/>
    <hyperlink r:id="rId408" ref="C417"/>
    <hyperlink r:id="rId409" ref="C418"/>
    <hyperlink r:id="rId410" ref="C419"/>
    <hyperlink r:id="rId411" ref="C420"/>
    <hyperlink r:id="rId412" ref="C421"/>
    <hyperlink r:id="rId413" ref="C422"/>
    <hyperlink r:id="rId414" ref="C423"/>
    <hyperlink r:id="rId415" ref="C424"/>
    <hyperlink r:id="rId416" ref="C425"/>
    <hyperlink r:id="rId417" ref="C426"/>
    <hyperlink r:id="rId418" ref="C427"/>
    <hyperlink r:id="rId419" ref="C428"/>
    <hyperlink r:id="rId420" ref="C429"/>
    <hyperlink r:id="rId421" ref="C430"/>
    <hyperlink r:id="rId422" ref="C431"/>
    <hyperlink r:id="rId423" ref="C432"/>
    <hyperlink r:id="rId424" ref="C433"/>
    <hyperlink r:id="rId425" ref="C434"/>
    <hyperlink r:id="rId426" ref="C435"/>
    <hyperlink r:id="rId427" ref="C436"/>
    <hyperlink r:id="rId428" ref="C437"/>
    <hyperlink r:id="rId429" ref="C438"/>
    <hyperlink r:id="rId430" ref="C439"/>
    <hyperlink r:id="rId431" ref="C440"/>
    <hyperlink r:id="rId432" ref="C441"/>
    <hyperlink r:id="rId433" ref="C442"/>
    <hyperlink r:id="rId434" ref="C443"/>
    <hyperlink r:id="rId435" ref="C444"/>
    <hyperlink r:id="rId436" ref="C445"/>
    <hyperlink r:id="rId437" ref="C446"/>
    <hyperlink r:id="rId438" ref="C447"/>
    <hyperlink r:id="rId439" ref="C448"/>
    <hyperlink r:id="rId440" ref="C449"/>
    <hyperlink r:id="rId441" ref="C450"/>
    <hyperlink r:id="rId442" ref="C451"/>
    <hyperlink r:id="rId443" ref="C452"/>
    <hyperlink r:id="rId444" ref="C453"/>
    <hyperlink r:id="rId445" ref="C454"/>
    <hyperlink r:id="rId446" ref="C455"/>
    <hyperlink r:id="rId447" ref="C456"/>
    <hyperlink r:id="rId448" location="v=onepage&amp;q=Introducing%20GitHub%3A%20A%20Non-technical%20Guide&amp;f=false" ref="C457"/>
    <hyperlink r:id="rId449" ref="C458"/>
    <hyperlink r:id="rId450" ref="C459"/>
    <hyperlink r:id="rId451" ref="C460"/>
    <hyperlink r:id="rId452" location="page=72" ref="C461"/>
    <hyperlink r:id="rId453" ref="C462"/>
    <hyperlink r:id="rId454" ref="C463"/>
    <hyperlink r:id="rId455" ref="C464"/>
    <hyperlink r:id="rId456" ref="C465"/>
    <hyperlink r:id="rId457" ref="C466"/>
    <hyperlink r:id="rId458" location="page-1" ref="C467"/>
    <hyperlink r:id="rId459" location=".V4yqf-uLTmE" ref="C468"/>
    <hyperlink r:id="rId460" ref="C469"/>
    <hyperlink r:id="rId461" ref="C470"/>
    <hyperlink r:id="rId462" ref="C471"/>
    <hyperlink r:id="rId463" ref="C472"/>
    <hyperlink r:id="rId464" ref="C473"/>
    <hyperlink r:id="rId465" ref="C474"/>
    <hyperlink r:id="rId466" ref="C475"/>
    <hyperlink r:id="rId467" ref="C476"/>
    <hyperlink r:id="rId468" ref="C477"/>
    <hyperlink r:id="rId469" ref="C478"/>
    <hyperlink r:id="rId470" ref="C479"/>
    <hyperlink r:id="rId471" ref="C480"/>
    <hyperlink r:id="rId472" ref="C481"/>
    <hyperlink r:id="rId473" ref="C482"/>
    <hyperlink r:id="rId474" ref="C483"/>
    <hyperlink r:id="rId475" ref="C484"/>
    <hyperlink r:id="rId476" ref="C485"/>
    <hyperlink r:id="rId477" ref="C486"/>
    <hyperlink r:id="rId478" ref="C487"/>
    <hyperlink r:id="rId479" ref="C488"/>
    <hyperlink r:id="rId480" ref="C489"/>
    <hyperlink r:id="rId481" location="page=51" ref="C490"/>
    <hyperlink r:id="rId482" location="v=onepage&amp;q=Building%20Tools%20with%20GitHub%3A%20Customize%20Your%20Workflow&amp;f=false" ref="C491"/>
    <hyperlink r:id="rId483" ref="C492"/>
    <hyperlink r:id="rId484" ref="C493"/>
    <hyperlink r:id="rId485" ref="C494"/>
    <hyperlink r:id="rId486" ref="C495"/>
    <hyperlink r:id="rId487" ref="C496"/>
    <hyperlink r:id="rId488" ref="C497"/>
    <hyperlink r:id="rId489" ref="C498"/>
    <hyperlink r:id="rId490" ref="C499"/>
    <hyperlink r:id="rId491" ref="C500"/>
    <hyperlink r:id="rId492" location="page-1" ref="C501"/>
    <hyperlink r:id="rId493" ref="C502"/>
    <hyperlink r:id="rId494" ref="C503"/>
    <hyperlink r:id="rId495" ref="C504"/>
    <hyperlink r:id="rId496" location="page=61" ref="C505"/>
    <hyperlink r:id="rId497" ref="C506"/>
    <hyperlink r:id="rId498" ref="C507"/>
    <hyperlink r:id="rId499" ref="C508"/>
    <hyperlink r:id="rId500" ref="C509"/>
    <hyperlink r:id="rId501" ref="C510"/>
    <hyperlink r:id="rId502" ref="C511"/>
    <hyperlink r:id="rId503" ref="C512"/>
    <hyperlink r:id="rId504" ref="C513"/>
    <hyperlink r:id="rId505" ref="C514"/>
    <hyperlink r:id="rId506" location="page-1" ref="C515"/>
    <hyperlink r:id="rId507" ref="C516"/>
    <hyperlink r:id="rId508" ref="C517"/>
    <hyperlink r:id="rId509" ref="C518"/>
    <hyperlink r:id="rId510" ref="C519"/>
    <hyperlink r:id="rId511" ref="C520"/>
    <hyperlink r:id="rId512" ref="C521"/>
    <hyperlink r:id="rId513" ref="C522"/>
    <hyperlink r:id="rId514" ref="C523"/>
    <hyperlink r:id="rId515" ref="C524"/>
    <hyperlink r:id="rId516" ref="C525"/>
    <hyperlink r:id="rId517" ref="C526"/>
    <hyperlink r:id="rId518" ref="C527"/>
    <hyperlink r:id="rId519" ref="C528"/>
    <hyperlink r:id="rId520" ref="C529"/>
    <hyperlink r:id="rId521" ref="C530"/>
    <hyperlink r:id="rId522" ref="C531"/>
    <hyperlink r:id="rId523" ref="C532"/>
    <hyperlink r:id="rId524" ref="C533"/>
    <hyperlink r:id="rId525" location="page-1" ref="C534"/>
    <hyperlink r:id="rId526" ref="C535"/>
    <hyperlink r:id="rId527" ref="C536"/>
    <hyperlink r:id="rId528" ref="C537"/>
    <hyperlink r:id="rId529" ref="C538"/>
    <hyperlink r:id="rId530" ref="C539"/>
    <hyperlink r:id="rId531" ref="C540"/>
    <hyperlink r:id="rId532" ref="C541"/>
    <hyperlink r:id="rId533" ref="C542"/>
    <hyperlink r:id="rId534" ref="C543"/>
    <hyperlink r:id="rId535" ref="C544"/>
    <hyperlink r:id="rId536" ref="C545"/>
    <hyperlink r:id="rId537" ref="C546"/>
    <hyperlink r:id="rId538" ref="C547"/>
    <hyperlink r:id="rId539" ref="C548"/>
    <hyperlink r:id="rId540" ref="C549"/>
    <hyperlink r:id="rId541" ref="C550"/>
    <hyperlink r:id="rId542" ref="C551"/>
    <hyperlink r:id="rId543" ref="C552"/>
    <hyperlink r:id="rId544" ref="C553"/>
    <hyperlink r:id="rId545" ref="C554"/>
    <hyperlink r:id="rId546" ref="C555"/>
    <hyperlink r:id="rId547" ref="C556"/>
    <hyperlink r:id="rId548" ref="C557"/>
    <hyperlink r:id="rId549" ref="C558"/>
    <hyperlink r:id="rId550" ref="C559"/>
    <hyperlink r:id="rId551" ref="C560"/>
    <hyperlink r:id="rId552" ref="C561"/>
    <hyperlink r:id="rId553" ref="C562"/>
    <hyperlink r:id="rId554" ref="C563"/>
    <hyperlink r:id="rId555" ref="C564"/>
    <hyperlink r:id="rId556" ref="C565"/>
    <hyperlink r:id="rId557" ref="C566"/>
    <hyperlink r:id="rId558" ref="C567"/>
    <hyperlink r:id="rId559" ref="C568"/>
    <hyperlink r:id="rId560" ref="C569"/>
  </hyperlinks>
  <drawing r:id="rId561"/>
  <legacyDrawing r:id="rId56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3.14"/>
    <col customWidth="1" min="2" max="2" width="8.14"/>
    <col customWidth="1" min="3" max="3" width="54.14"/>
    <col customWidth="1" min="4" max="4" width="10.29"/>
    <col customWidth="1" min="5" max="5" width="13.43"/>
    <col customWidth="1" min="6" max="7" width="10.57"/>
    <col customWidth="1" min="8" max="8" width="10.14"/>
    <col customWidth="1" min="9" max="9" width="11.71"/>
    <col customWidth="1" min="10" max="10" width="15.43"/>
    <col customWidth="1" min="11" max="11" width="27.29"/>
    <col customWidth="1" min="12" max="12" width="11.86"/>
    <col customWidth="1" min="13" max="13" width="11.14"/>
    <col customWidth="1" min="14" max="14" width="12.71"/>
    <col customWidth="1" min="15" max="15" width="18.71"/>
    <col customWidth="1" min="16" max="16" width="16.14"/>
    <col customWidth="1" min="17" max="17" width="12.71"/>
    <col customWidth="1" min="18" max="18" width="19.29"/>
    <col customWidth="1" min="19" max="19" width="17.43"/>
    <col customWidth="1" min="20" max="21" width="12.71"/>
    <col customWidth="1" min="22" max="22" width="8.57"/>
    <col customWidth="1" min="23" max="23" width="4.57"/>
    <col customWidth="1" min="25" max="25" width="14.86"/>
    <col customWidth="1" min="26" max="26" width="10.57"/>
    <col customWidth="1" min="28" max="28" width="15.43"/>
    <col customWidth="1" min="29" max="29" width="10.0"/>
    <col customWidth="1" min="30" max="30" width="10.29"/>
  </cols>
  <sheetData>
    <row r="1">
      <c r="D1" s="2" t="s">
        <v>2</v>
      </c>
      <c r="G1" s="2" t="s">
        <v>3</v>
      </c>
      <c r="J1" s="4" t="s">
        <v>4</v>
      </c>
      <c r="K1" s="6" t="s">
        <v>5</v>
      </c>
      <c r="N1" s="4" t="s">
        <v>7</v>
      </c>
      <c r="O1" s="8" t="s">
        <v>8</v>
      </c>
      <c r="R1" s="4" t="s">
        <v>8</v>
      </c>
      <c r="S1" s="10" t="s">
        <v>10</v>
      </c>
      <c r="V1" s="12" t="s">
        <v>17</v>
      </c>
      <c r="W1" s="14"/>
      <c r="X1" s="16" t="s">
        <v>23</v>
      </c>
    </row>
    <row r="2">
      <c r="A2" s="5"/>
      <c r="B2" s="5"/>
      <c r="C2" s="17"/>
      <c r="D2" s="18" t="s">
        <v>26</v>
      </c>
      <c r="H2" s="18">
        <v>140.0</v>
      </c>
      <c r="I2" s="21">
        <f>COUNTIF(I5:I563, "YES")</f>
        <v>136</v>
      </c>
      <c r="J2" s="4" t="s">
        <v>27</v>
      </c>
      <c r="K2" s="23" t="s">
        <v>28</v>
      </c>
      <c r="L2" s="23">
        <f>COUNTIF(L5:L563, "&lt;&gt;")</f>
        <v>86</v>
      </c>
      <c r="M2" s="24">
        <f>COUNTIF(M5:M563, "YES")</f>
        <v>80</v>
      </c>
      <c r="N2" s="25" t="s">
        <v>27</v>
      </c>
      <c r="O2" s="27" t="s">
        <v>38</v>
      </c>
      <c r="P2" s="29">
        <f>COUNTIF(P5:P563, "&lt;&gt;")</f>
        <v>40</v>
      </c>
      <c r="Q2" s="27">
        <f>COUNTIF(Q5:Q563, "YES")</f>
        <v>39</v>
      </c>
      <c r="R2" s="25" t="s">
        <v>58</v>
      </c>
      <c r="S2" s="31" t="s">
        <v>59</v>
      </c>
      <c r="T2" s="33">
        <f>COUNTIF(T5:T563, "&lt;&gt;")</f>
        <v>22</v>
      </c>
      <c r="U2" s="31">
        <f>COUNTIF(U5:U563, "YES")</f>
        <v>22</v>
      </c>
      <c r="V2" s="12">
        <f>COUNTIF(V5:V563, "OK")</f>
        <v>21</v>
      </c>
      <c r="W2" s="14"/>
      <c r="X2" s="36" t="s">
        <v>73</v>
      </c>
    </row>
    <row r="3">
      <c r="A3" s="5"/>
      <c r="B3" s="5"/>
      <c r="C3" s="17"/>
      <c r="D3" s="18" t="s">
        <v>82</v>
      </c>
      <c r="I3" s="39">
        <f>ROUND(COUNTIF(I5:I563, "YES") / H2, 4)</f>
        <v>0.9714</v>
      </c>
      <c r="J3" s="4">
        <f>COUNTIF(J5:J563, "YES")</f>
        <v>342</v>
      </c>
      <c r="K3" s="23" t="s">
        <v>82</v>
      </c>
      <c r="M3" s="41">
        <f>ROUND(COUNTIF(M5:M563, "YES") / L2, 4)</f>
        <v>0.9302</v>
      </c>
      <c r="N3" s="25">
        <f>COUNTIF(N5:N563, "YES")</f>
        <v>157</v>
      </c>
      <c r="O3" s="43" t="s">
        <v>99</v>
      </c>
      <c r="Q3" s="45">
        <f>ROUND(COUNTIF(Q5:Q563, "YES")/P2, 4)</f>
        <v>0.975</v>
      </c>
      <c r="R3" s="25">
        <f>COUNTIF(R5:R563, "YES")</f>
        <v>86</v>
      </c>
      <c r="S3" s="47" t="s">
        <v>99</v>
      </c>
      <c r="U3" s="50">
        <f>ROUND(COUNTIF(U5:U563, "YES")/T2, 4)</f>
        <v>1</v>
      </c>
      <c r="V3" s="12">
        <f>COUNTIF(V5:V563, "~")</f>
        <v>1</v>
      </c>
      <c r="W3" s="14"/>
      <c r="Z3" s="52" t="s">
        <v>116</v>
      </c>
      <c r="AB3" s="54" t="s">
        <v>121</v>
      </c>
      <c r="AC3" s="13">
        <f>H2</f>
        <v>140</v>
      </c>
    </row>
    <row r="4">
      <c r="A4" s="56" t="s">
        <v>48</v>
      </c>
      <c r="B4" s="56" t="s">
        <v>49</v>
      </c>
      <c r="C4" s="58" t="s">
        <v>50</v>
      </c>
      <c r="D4" s="2" t="s">
        <v>127</v>
      </c>
      <c r="E4" s="2" t="s">
        <v>116</v>
      </c>
      <c r="F4" s="60" t="s">
        <v>128</v>
      </c>
      <c r="G4" s="2" t="s">
        <v>127</v>
      </c>
      <c r="H4" s="2" t="s">
        <v>116</v>
      </c>
      <c r="I4" s="60" t="s">
        <v>128</v>
      </c>
      <c r="J4" s="4"/>
      <c r="K4" s="6" t="s">
        <v>127</v>
      </c>
      <c r="L4" s="6" t="s">
        <v>116</v>
      </c>
      <c r="M4" s="62" t="s">
        <v>128</v>
      </c>
      <c r="N4" s="63"/>
      <c r="O4" s="43" t="s">
        <v>127</v>
      </c>
      <c r="P4" s="43" t="s">
        <v>116</v>
      </c>
      <c r="Q4" s="43" t="s">
        <v>128</v>
      </c>
      <c r="R4" s="63"/>
      <c r="S4" s="47" t="s">
        <v>127</v>
      </c>
      <c r="T4" s="47" t="s">
        <v>116</v>
      </c>
      <c r="U4" s="47" t="s">
        <v>128</v>
      </c>
      <c r="V4" s="12">
        <f>COUNTIF(V5:V563, "NO")</f>
        <v>0</v>
      </c>
      <c r="W4" s="14"/>
      <c r="X4" s="65"/>
      <c r="Y4" s="65"/>
      <c r="Z4" s="52" t="s">
        <v>142</v>
      </c>
      <c r="AA4" s="52" t="s">
        <v>158</v>
      </c>
      <c r="AB4" s="54" t="s">
        <v>160</v>
      </c>
      <c r="AC4" s="13">
        <f>ROUND((Z5+AA6)/AC3,4)</f>
        <v>0.9143</v>
      </c>
    </row>
    <row r="5">
      <c r="A5" s="37" t="s">
        <v>80</v>
      </c>
      <c r="B5" s="37">
        <v>2013.0</v>
      </c>
      <c r="C5" s="69" t="s">
        <v>84</v>
      </c>
      <c r="D5" s="71"/>
      <c r="E5" s="73"/>
      <c r="F5" s="74" t="str">
        <f t="shared" ref="F5:F557" si="1">IF(E5 = "", "", IF(AND((D5 = ""), (E5 = "-")), "YES", IF(AND((D5 = "X"), (E5 = "X")), "YES", "NO")))</f>
        <v/>
      </c>
      <c r="G5" s="71"/>
      <c r="H5" s="73"/>
      <c r="I5" s="74" t="str">
        <f t="shared" ref="I5:I557" si="2">IF(H5 = "", "", IF(AND((G5 = ""), (H5 = "-"), (F5 = "YES")), "YES", IF(AND((G5 = "X"), (H5 = "X"), (F5 = "YES")), "YES", IF(AND((G5 = "X"), (H5 = "-"), (F5 = "NO")), "YES", IF(AND((G5 = ""), (H5 = "X"), (D5 = "X")), "YES", "NO")))))</f>
        <v/>
      </c>
      <c r="J5" s="75" t="str">
        <f t="shared" ref="J5:J563" si="3">IF(AND(D5 = "", G5 = ""), "YES", "NO")</f>
        <v>YES</v>
      </c>
      <c r="K5" s="37" t="s">
        <v>86</v>
      </c>
      <c r="L5" s="13"/>
      <c r="M5" s="75"/>
      <c r="N5" s="75" t="str">
        <f t="shared" ref="N5:N563" si="4">IF(COUNTIF(K5, "*TARGET*") = 1, "YES", "NO")</f>
        <v>NO</v>
      </c>
      <c r="O5" s="76"/>
      <c r="P5" s="75"/>
      <c r="Q5" s="75" t="str">
        <f t="shared" ref="Q5:Q557" si="5">IF(P5 = "", "", IF(O5 = P5, "YES", "NO"))</f>
        <v/>
      </c>
      <c r="R5" s="75" t="str">
        <f t="shared" ref="R5:R563" si="6">IF(O5 = "Y", "YES", "NO")</f>
        <v>NO</v>
      </c>
      <c r="S5" s="75"/>
      <c r="T5" s="75"/>
      <c r="U5" s="75" t="str">
        <f t="shared" ref="U5:U207" si="7">IF(T5 = "", "", IF(S5 = T5, "YES", "NO"))</f>
        <v/>
      </c>
      <c r="V5" s="76"/>
      <c r="W5" s="14"/>
      <c r="X5" s="77" t="s">
        <v>127</v>
      </c>
      <c r="Y5" s="77" t="s">
        <v>142</v>
      </c>
      <c r="Z5" s="76">
        <f>COUNTIFS(D$5:D$563, "", E$5:E$563, "-")</f>
        <v>90</v>
      </c>
      <c r="AA5" s="76">
        <f>COUNTIFS(D$5:D$563, "", E$5:E$563, "X")</f>
        <v>6</v>
      </c>
      <c r="AB5" s="54" t="s">
        <v>202</v>
      </c>
      <c r="AC5" s="13">
        <f>ROUND((((Z5+AA5)/AC3)*((Z5+Z6)/AC3))+(((Z6+AA6)/AC3)*((AA5+AA6)/AC3)), 4)</f>
        <v>0.569</v>
      </c>
    </row>
    <row r="6">
      <c r="A6" s="37" t="s">
        <v>89</v>
      </c>
      <c r="B6" s="37">
        <v>2014.0</v>
      </c>
      <c r="C6" s="69" t="s">
        <v>90</v>
      </c>
      <c r="D6" s="71"/>
      <c r="E6" s="13"/>
      <c r="F6" s="74" t="str">
        <f t="shared" si="1"/>
        <v/>
      </c>
      <c r="G6" s="71"/>
      <c r="H6" s="13"/>
      <c r="I6" s="74" t="str">
        <f t="shared" si="2"/>
        <v/>
      </c>
      <c r="J6" s="75" t="str">
        <f t="shared" si="3"/>
        <v>YES</v>
      </c>
      <c r="K6" s="37" t="s">
        <v>91</v>
      </c>
      <c r="L6" s="13" t="s">
        <v>32</v>
      </c>
      <c r="M6" s="75" t="s">
        <v>142</v>
      </c>
      <c r="N6" s="75" t="str">
        <f t="shared" si="4"/>
        <v>NO</v>
      </c>
      <c r="O6" s="76"/>
      <c r="P6" s="75"/>
      <c r="Q6" s="75" t="str">
        <f t="shared" si="5"/>
        <v/>
      </c>
      <c r="R6" s="75" t="str">
        <f t="shared" si="6"/>
        <v>NO</v>
      </c>
      <c r="S6" s="75"/>
      <c r="T6" s="75"/>
      <c r="U6" s="75" t="str">
        <f t="shared" si="7"/>
        <v/>
      </c>
      <c r="V6" s="76"/>
      <c r="W6" s="14"/>
      <c r="Y6" s="77" t="s">
        <v>158</v>
      </c>
      <c r="Z6" s="76">
        <f>COUNTIFS(D$5:D$563, "X", E$5:E$563, "-")</f>
        <v>6</v>
      </c>
      <c r="AA6" s="76">
        <f>COUNTIFS(D$5:D$563, "X", E$5:E$563, "X")</f>
        <v>38</v>
      </c>
      <c r="AB6" s="54" t="s">
        <v>215</v>
      </c>
      <c r="AC6" s="5">
        <f>ROUND((AC4-AC5)/(1-AC5), 4)</f>
        <v>0.8012</v>
      </c>
    </row>
    <row r="7">
      <c r="A7" s="37" t="s">
        <v>93</v>
      </c>
      <c r="B7" s="37">
        <v>2016.0</v>
      </c>
      <c r="C7" s="69" t="s">
        <v>94</v>
      </c>
      <c r="D7" s="78"/>
      <c r="F7" s="74" t="str">
        <f t="shared" si="1"/>
        <v/>
      </c>
      <c r="G7" s="71" t="s">
        <v>95</v>
      </c>
      <c r="I7" s="74" t="str">
        <f t="shared" si="2"/>
        <v/>
      </c>
      <c r="J7" s="75" t="str">
        <f t="shared" si="3"/>
        <v>NO</v>
      </c>
      <c r="K7" s="37"/>
      <c r="M7" s="76"/>
      <c r="N7" s="75" t="str">
        <f t="shared" si="4"/>
        <v>NO</v>
      </c>
      <c r="O7" s="76"/>
      <c r="P7" s="76"/>
      <c r="Q7" s="75" t="str">
        <f t="shared" si="5"/>
        <v/>
      </c>
      <c r="R7" s="75" t="str">
        <f t="shared" si="6"/>
        <v>NO</v>
      </c>
      <c r="S7" s="75"/>
      <c r="T7" s="75"/>
      <c r="U7" s="75" t="str">
        <f t="shared" si="7"/>
        <v/>
      </c>
      <c r="V7" s="76"/>
      <c r="W7" s="14"/>
      <c r="X7" s="36" t="s">
        <v>225</v>
      </c>
    </row>
    <row r="8">
      <c r="A8" s="42" t="s">
        <v>97</v>
      </c>
      <c r="B8" s="37">
        <v>2015.0</v>
      </c>
      <c r="C8" s="69" t="s">
        <v>100</v>
      </c>
      <c r="D8" s="71" t="s">
        <v>95</v>
      </c>
      <c r="E8" s="13"/>
      <c r="F8" s="74" t="str">
        <f t="shared" si="1"/>
        <v/>
      </c>
      <c r="G8" s="78"/>
      <c r="H8" s="13"/>
      <c r="I8" s="74" t="str">
        <f t="shared" si="2"/>
        <v/>
      </c>
      <c r="J8" s="75" t="str">
        <f t="shared" si="3"/>
        <v>NO</v>
      </c>
      <c r="K8" s="20"/>
      <c r="M8" s="76"/>
      <c r="N8" s="75" t="str">
        <f t="shared" si="4"/>
        <v>NO</v>
      </c>
      <c r="O8" s="76"/>
      <c r="P8" s="76"/>
      <c r="Q8" s="75" t="str">
        <f t="shared" si="5"/>
        <v/>
      </c>
      <c r="R8" s="75" t="str">
        <f t="shared" si="6"/>
        <v>NO</v>
      </c>
      <c r="S8" s="75"/>
      <c r="T8" s="75"/>
      <c r="U8" s="75" t="str">
        <f t="shared" si="7"/>
        <v/>
      </c>
      <c r="V8" s="76"/>
      <c r="W8" s="14"/>
      <c r="Z8" s="52" t="s">
        <v>116</v>
      </c>
      <c r="AC8" s="13"/>
    </row>
    <row r="9">
      <c r="A9" s="42" t="s">
        <v>102</v>
      </c>
      <c r="B9" s="37">
        <v>2015.0</v>
      </c>
      <c r="C9" s="69" t="s">
        <v>103</v>
      </c>
      <c r="D9" s="71" t="s">
        <v>95</v>
      </c>
      <c r="E9" s="13"/>
      <c r="F9" s="74" t="str">
        <f t="shared" si="1"/>
        <v/>
      </c>
      <c r="G9" s="78"/>
      <c r="H9" s="13"/>
      <c r="I9" s="74" t="str">
        <f t="shared" si="2"/>
        <v/>
      </c>
      <c r="J9" s="75" t="str">
        <f t="shared" si="3"/>
        <v>NO</v>
      </c>
      <c r="K9" s="20"/>
      <c r="M9" s="76"/>
      <c r="N9" s="75" t="str">
        <f t="shared" si="4"/>
        <v>NO</v>
      </c>
      <c r="O9" s="76"/>
      <c r="P9" s="76"/>
      <c r="Q9" s="75" t="str">
        <f t="shared" si="5"/>
        <v/>
      </c>
      <c r="R9" s="75" t="str">
        <f t="shared" si="6"/>
        <v>NO</v>
      </c>
      <c r="S9" s="75"/>
      <c r="T9" s="75"/>
      <c r="U9" s="75" t="str">
        <f t="shared" si="7"/>
        <v/>
      </c>
      <c r="V9" s="76"/>
      <c r="W9" s="14"/>
      <c r="X9" s="65"/>
      <c r="Y9" s="65"/>
      <c r="Z9" s="52" t="s">
        <v>32</v>
      </c>
      <c r="AA9" s="52" t="s">
        <v>7</v>
      </c>
      <c r="AB9" s="83" t="s">
        <v>37</v>
      </c>
      <c r="AC9" s="13"/>
    </row>
    <row r="10">
      <c r="A10" s="42" t="s">
        <v>119</v>
      </c>
      <c r="B10" s="37">
        <v>2016.0</v>
      </c>
      <c r="C10" s="69" t="s">
        <v>124</v>
      </c>
      <c r="D10" s="71"/>
      <c r="E10" s="13"/>
      <c r="F10" s="74" t="str">
        <f t="shared" si="1"/>
        <v/>
      </c>
      <c r="G10" s="78"/>
      <c r="H10" s="13"/>
      <c r="I10" s="74" t="str">
        <f t="shared" si="2"/>
        <v/>
      </c>
      <c r="J10" s="75" t="str">
        <f t="shared" si="3"/>
        <v>YES</v>
      </c>
      <c r="K10" s="37" t="s">
        <v>130</v>
      </c>
      <c r="L10" s="13"/>
      <c r="M10" s="75"/>
      <c r="N10" s="75" t="str">
        <f t="shared" si="4"/>
        <v>YES</v>
      </c>
      <c r="O10" s="75" t="s">
        <v>131</v>
      </c>
      <c r="P10" s="75"/>
      <c r="Q10" s="75" t="str">
        <f t="shared" si="5"/>
        <v/>
      </c>
      <c r="R10" s="75" t="str">
        <f t="shared" si="6"/>
        <v>YES</v>
      </c>
      <c r="S10" s="75"/>
      <c r="T10" s="75"/>
      <c r="U10" s="75" t="str">
        <f t="shared" si="7"/>
        <v/>
      </c>
      <c r="V10" s="76"/>
      <c r="W10" s="14"/>
      <c r="X10" s="77" t="s">
        <v>127</v>
      </c>
      <c r="Y10" s="77" t="s">
        <v>32</v>
      </c>
      <c r="Z10" s="76">
        <f>COUNTIFS($K$5:$K$563, "*SOURCE*", $L$5:$L$563, "SOURCE")</f>
        <v>39</v>
      </c>
      <c r="AA10" s="76">
        <f>COUNTIFS($K$5:$K$563, "*SOURCE*", $L$5:$L$563, "TARGET")</f>
        <v>1</v>
      </c>
      <c r="AB10" s="76">
        <f>COUNTIFS($K$5:$K$563, "*SOURCE*", $L$5:$L$563, "DESCRIPTION")</f>
        <v>2</v>
      </c>
      <c r="AC10" s="54" t="s">
        <v>121</v>
      </c>
      <c r="AD10" s="13">
        <f>L2</f>
        <v>86</v>
      </c>
      <c r="AE10" s="13"/>
    </row>
    <row r="11">
      <c r="A11" s="42" t="s">
        <v>146</v>
      </c>
      <c r="B11" s="37">
        <v>2016.0</v>
      </c>
      <c r="C11" s="69" t="s">
        <v>148</v>
      </c>
      <c r="D11" s="71"/>
      <c r="E11" s="13" t="s">
        <v>247</v>
      </c>
      <c r="F11" s="74" t="str">
        <f t="shared" si="1"/>
        <v>YES</v>
      </c>
      <c r="G11" s="78"/>
      <c r="H11" s="13" t="s">
        <v>247</v>
      </c>
      <c r="I11" s="74" t="str">
        <f t="shared" si="2"/>
        <v>YES</v>
      </c>
      <c r="J11" s="75" t="str">
        <f t="shared" si="3"/>
        <v>YES</v>
      </c>
      <c r="K11" s="37" t="s">
        <v>130</v>
      </c>
      <c r="L11" s="13"/>
      <c r="M11" s="75"/>
      <c r="N11" s="75" t="str">
        <f t="shared" si="4"/>
        <v>YES</v>
      </c>
      <c r="O11" s="75" t="s">
        <v>149</v>
      </c>
      <c r="P11" s="75" t="s">
        <v>149</v>
      </c>
      <c r="Q11" s="75" t="str">
        <f t="shared" si="5"/>
        <v>YES</v>
      </c>
      <c r="R11" s="75" t="str">
        <f t="shared" si="6"/>
        <v>NO</v>
      </c>
      <c r="S11" s="75"/>
      <c r="T11" s="75"/>
      <c r="U11" s="75" t="str">
        <f t="shared" si="7"/>
        <v/>
      </c>
      <c r="V11" s="76"/>
      <c r="W11" s="14"/>
      <c r="Y11" s="77" t="s">
        <v>7</v>
      </c>
      <c r="Z11" s="76">
        <f>COUNTIFS($K$5:$K$563, "*TARGET*", $L$5:$L$563, "SOURCE")</f>
        <v>3</v>
      </c>
      <c r="AA11" s="76">
        <f>COUNTIFS($K$5:$K$563, "*TARGET*", $L$5:$L$563, "TARGET")</f>
        <v>36</v>
      </c>
      <c r="AB11" s="76">
        <f>COUNTIFS($K$5:$K$563, "*TARGET*", $L$5:$L$563, "DESCRIPTION")</f>
        <v>1</v>
      </c>
      <c r="AC11" s="54" t="s">
        <v>160</v>
      </c>
      <c r="AD11" s="13">
        <f>ROUND((Z10+AA11+AB12)/AD10,4)</f>
        <v>0.9302</v>
      </c>
    </row>
    <row r="12">
      <c r="A12" s="42" t="s">
        <v>150</v>
      </c>
      <c r="B12" s="37">
        <v>2014.0</v>
      </c>
      <c r="C12" s="69" t="s">
        <v>151</v>
      </c>
      <c r="D12" s="78"/>
      <c r="E12" s="13" t="s">
        <v>247</v>
      </c>
      <c r="F12" s="74" t="str">
        <f t="shared" si="1"/>
        <v>YES</v>
      </c>
      <c r="G12" s="78"/>
      <c r="H12" s="13" t="s">
        <v>247</v>
      </c>
      <c r="I12" s="74" t="str">
        <f t="shared" si="2"/>
        <v>YES</v>
      </c>
      <c r="J12" s="75" t="str">
        <f t="shared" si="3"/>
        <v>YES</v>
      </c>
      <c r="K12" s="37" t="s">
        <v>130</v>
      </c>
      <c r="L12" s="13"/>
      <c r="M12" s="75"/>
      <c r="N12" s="75" t="str">
        <f t="shared" si="4"/>
        <v>YES</v>
      </c>
      <c r="O12" s="75" t="s">
        <v>149</v>
      </c>
      <c r="P12" s="75"/>
      <c r="Q12" s="75" t="str">
        <f t="shared" si="5"/>
        <v/>
      </c>
      <c r="R12" s="75" t="str">
        <f t="shared" si="6"/>
        <v>NO</v>
      </c>
      <c r="S12" s="75"/>
      <c r="T12" s="75"/>
      <c r="U12" s="75" t="str">
        <f t="shared" si="7"/>
        <v/>
      </c>
      <c r="V12" s="76"/>
      <c r="W12" s="14"/>
      <c r="Y12" s="89" t="s">
        <v>37</v>
      </c>
      <c r="Z12" s="76">
        <f>COUNTIFS($K$5:$K$563, "*DESCRIPTION*", $L$5:$L$563, "SOURCE")</f>
        <v>0</v>
      </c>
      <c r="AA12" s="76">
        <f>COUNTIFS($K$5:$K$563, "*DESCRIPTION*", $L$5:$L$563, "TARGET")</f>
        <v>0</v>
      </c>
      <c r="AB12" s="76">
        <f>COUNTIFS($K$5:$K$557, "*DESCRIPTION*", $L$5:$L$557, "DESCRIPTION")</f>
        <v>5</v>
      </c>
      <c r="AC12" s="54" t="s">
        <v>202</v>
      </c>
      <c r="AD12" s="13">
        <f>ROUND((((Z10+AA10+AB10)/AD10)*((Z10+Z11+Z12)/AD10))+(((Z11+AA11+AB11)/AD10)*((AA10+AA11+AA12)/AD10))+(((Z12+AA12+AB12)/AD10)*((AB10+AB11+AB12)/AD10)), 4)</f>
        <v>0.444</v>
      </c>
    </row>
    <row r="13">
      <c r="A13" s="42" t="s">
        <v>153</v>
      </c>
      <c r="B13" s="37">
        <v>2013.0</v>
      </c>
      <c r="C13" s="69" t="s">
        <v>154</v>
      </c>
      <c r="D13" s="71" t="s">
        <v>95</v>
      </c>
      <c r="E13" s="13" t="s">
        <v>95</v>
      </c>
      <c r="F13" s="74" t="str">
        <f t="shared" si="1"/>
        <v>YES</v>
      </c>
      <c r="G13" s="78"/>
      <c r="H13" s="13" t="s">
        <v>247</v>
      </c>
      <c r="I13" s="74" t="str">
        <f t="shared" si="2"/>
        <v>YES</v>
      </c>
      <c r="J13" s="75" t="str">
        <f t="shared" si="3"/>
        <v>NO</v>
      </c>
      <c r="K13" s="20"/>
      <c r="M13" s="76"/>
      <c r="N13" s="75" t="str">
        <f t="shared" si="4"/>
        <v>NO</v>
      </c>
      <c r="O13" s="76"/>
      <c r="P13" s="76"/>
      <c r="Q13" s="75" t="str">
        <f t="shared" si="5"/>
        <v/>
      </c>
      <c r="R13" s="75" t="str">
        <f t="shared" si="6"/>
        <v>NO</v>
      </c>
      <c r="S13" s="75"/>
      <c r="T13" s="75"/>
      <c r="U13" s="75" t="str">
        <f t="shared" si="7"/>
        <v/>
      </c>
      <c r="V13" s="76"/>
      <c r="W13" s="14"/>
      <c r="AC13" s="54" t="s">
        <v>215</v>
      </c>
      <c r="AD13" s="5">
        <f>ROUND((AD11-AD12)/(1-AD12), 4)</f>
        <v>0.8745</v>
      </c>
    </row>
    <row r="14">
      <c r="A14" s="42" t="s">
        <v>155</v>
      </c>
      <c r="B14" s="37">
        <v>2013.0</v>
      </c>
      <c r="C14" s="69" t="s">
        <v>156</v>
      </c>
      <c r="D14" s="78"/>
      <c r="F14" s="74" t="str">
        <f t="shared" si="1"/>
        <v/>
      </c>
      <c r="G14" s="78"/>
      <c r="I14" s="74" t="str">
        <f t="shared" si="2"/>
        <v/>
      </c>
      <c r="J14" s="75" t="str">
        <f t="shared" si="3"/>
        <v>YES</v>
      </c>
      <c r="K14" s="37" t="s">
        <v>130</v>
      </c>
      <c r="L14" s="13"/>
      <c r="M14" s="75"/>
      <c r="N14" s="75" t="str">
        <f t="shared" si="4"/>
        <v>YES</v>
      </c>
      <c r="O14" s="75" t="s">
        <v>131</v>
      </c>
      <c r="P14" s="75"/>
      <c r="Q14" s="75" t="str">
        <f t="shared" si="5"/>
        <v/>
      </c>
      <c r="R14" s="75" t="str">
        <f t="shared" si="6"/>
        <v>YES</v>
      </c>
      <c r="S14" s="75" t="s">
        <v>131</v>
      </c>
      <c r="T14" s="75" t="s">
        <v>131</v>
      </c>
      <c r="U14" s="75" t="str">
        <f t="shared" si="7"/>
        <v>YES</v>
      </c>
      <c r="V14" s="75" t="s">
        <v>285</v>
      </c>
      <c r="W14" s="14"/>
      <c r="X14" s="36" t="s">
        <v>286</v>
      </c>
    </row>
    <row r="15">
      <c r="A15" s="42" t="s">
        <v>169</v>
      </c>
      <c r="B15" s="37">
        <v>2015.0</v>
      </c>
      <c r="C15" s="69" t="s">
        <v>170</v>
      </c>
      <c r="D15" s="78"/>
      <c r="F15" s="74" t="str">
        <f t="shared" si="1"/>
        <v/>
      </c>
      <c r="G15" s="78"/>
      <c r="I15" s="74" t="str">
        <f t="shared" si="2"/>
        <v/>
      </c>
      <c r="J15" s="75" t="str">
        <f t="shared" si="3"/>
        <v>YES</v>
      </c>
      <c r="K15" s="37" t="s">
        <v>86</v>
      </c>
      <c r="L15" s="13"/>
      <c r="M15" s="75"/>
      <c r="N15" s="75" t="str">
        <f t="shared" si="4"/>
        <v>NO</v>
      </c>
      <c r="O15" s="76"/>
      <c r="P15" s="75"/>
      <c r="Q15" s="75" t="str">
        <f t="shared" si="5"/>
        <v/>
      </c>
      <c r="R15" s="75" t="str">
        <f t="shared" si="6"/>
        <v>NO</v>
      </c>
      <c r="S15" s="75"/>
      <c r="T15" s="75"/>
      <c r="U15" s="75" t="str">
        <f t="shared" si="7"/>
        <v/>
      </c>
      <c r="V15" s="76"/>
      <c r="W15" s="14"/>
      <c r="Z15" s="52" t="s">
        <v>116</v>
      </c>
      <c r="AB15" s="54" t="s">
        <v>121</v>
      </c>
      <c r="AC15" s="13">
        <f>P2</f>
        <v>40</v>
      </c>
    </row>
    <row r="16">
      <c r="A16" s="42" t="s">
        <v>171</v>
      </c>
      <c r="B16" s="37">
        <v>2013.0</v>
      </c>
      <c r="C16" s="69" t="s">
        <v>172</v>
      </c>
      <c r="D16" s="78"/>
      <c r="F16" s="74" t="str">
        <f t="shared" si="1"/>
        <v/>
      </c>
      <c r="G16" s="78"/>
      <c r="I16" s="74" t="str">
        <f t="shared" si="2"/>
        <v/>
      </c>
      <c r="J16" s="75" t="str">
        <f t="shared" si="3"/>
        <v>YES</v>
      </c>
      <c r="K16" s="37" t="s">
        <v>130</v>
      </c>
      <c r="L16" s="13"/>
      <c r="M16" s="75"/>
      <c r="N16" s="75" t="str">
        <f t="shared" si="4"/>
        <v>YES</v>
      </c>
      <c r="O16" s="75" t="s">
        <v>149</v>
      </c>
      <c r="P16" s="75" t="s">
        <v>149</v>
      </c>
      <c r="Q16" s="75" t="str">
        <f t="shared" si="5"/>
        <v>YES</v>
      </c>
      <c r="R16" s="75" t="str">
        <f t="shared" si="6"/>
        <v>NO</v>
      </c>
      <c r="S16" s="75"/>
      <c r="T16" s="75"/>
      <c r="U16" s="75" t="str">
        <f t="shared" si="7"/>
        <v/>
      </c>
      <c r="V16" s="76"/>
      <c r="W16" s="14"/>
      <c r="X16" s="65"/>
      <c r="Y16" s="65"/>
      <c r="Z16" s="52" t="s">
        <v>142</v>
      </c>
      <c r="AA16" s="52" t="s">
        <v>158</v>
      </c>
      <c r="AB16" s="54" t="s">
        <v>160</v>
      </c>
      <c r="AC16" s="13">
        <f>ROUND((Z17+AA18)/AC15,4)</f>
        <v>0.975</v>
      </c>
    </row>
    <row r="17">
      <c r="A17" s="42" t="s">
        <v>173</v>
      </c>
      <c r="B17" s="37">
        <v>2016.0</v>
      </c>
      <c r="C17" s="69" t="s">
        <v>174</v>
      </c>
      <c r="D17" s="71" t="s">
        <v>95</v>
      </c>
      <c r="E17" s="13"/>
      <c r="F17" s="74" t="str">
        <f t="shared" si="1"/>
        <v/>
      </c>
      <c r="G17" s="78"/>
      <c r="H17" s="13"/>
      <c r="I17" s="74" t="str">
        <f t="shared" si="2"/>
        <v/>
      </c>
      <c r="J17" s="75" t="str">
        <f t="shared" si="3"/>
        <v>NO</v>
      </c>
      <c r="K17" s="20"/>
      <c r="M17" s="76"/>
      <c r="N17" s="75" t="str">
        <f t="shared" si="4"/>
        <v>NO</v>
      </c>
      <c r="O17" s="76"/>
      <c r="P17" s="76"/>
      <c r="Q17" s="75" t="str">
        <f t="shared" si="5"/>
        <v/>
      </c>
      <c r="R17" s="75" t="str">
        <f t="shared" si="6"/>
        <v>NO</v>
      </c>
      <c r="S17" s="75"/>
      <c r="T17" s="75"/>
      <c r="U17" s="75" t="str">
        <f t="shared" si="7"/>
        <v/>
      </c>
      <c r="V17" s="76"/>
      <c r="W17" s="14"/>
      <c r="X17" s="77" t="s">
        <v>127</v>
      </c>
      <c r="Y17" s="77" t="s">
        <v>142</v>
      </c>
      <c r="Z17" s="76">
        <f>COUNTIFS($O$5:$O$563, "Y", $P$5:$P$563, "Y")</f>
        <v>21</v>
      </c>
      <c r="AA17" s="76">
        <f>COUNTIFS($O$5:$O$563, "Y", $P$5:$P$563, "N")</f>
        <v>0</v>
      </c>
      <c r="AB17" s="54" t="s">
        <v>202</v>
      </c>
      <c r="AC17" s="13">
        <f>ROUND((((Z17+AA17)/AC15)*((Z17+Z18)/AC15))+(((Z18+AA18)/AC15)*((AA17+AA18)/AC15)), 4)</f>
        <v>0.5025</v>
      </c>
    </row>
    <row r="18">
      <c r="A18" s="42" t="s">
        <v>175</v>
      </c>
      <c r="B18" s="37">
        <v>2015.0</v>
      </c>
      <c r="C18" s="69" t="s">
        <v>176</v>
      </c>
      <c r="D18" s="78"/>
      <c r="F18" s="74" t="str">
        <f t="shared" si="1"/>
        <v/>
      </c>
      <c r="G18" s="78"/>
      <c r="I18" s="74" t="str">
        <f t="shared" si="2"/>
        <v/>
      </c>
      <c r="J18" s="75" t="str">
        <f t="shared" si="3"/>
        <v>YES</v>
      </c>
      <c r="K18" s="37" t="s">
        <v>130</v>
      </c>
      <c r="L18" s="13"/>
      <c r="M18" s="75"/>
      <c r="N18" s="75" t="str">
        <f t="shared" si="4"/>
        <v>YES</v>
      </c>
      <c r="O18" s="75" t="s">
        <v>131</v>
      </c>
      <c r="P18" s="75"/>
      <c r="Q18" s="75" t="str">
        <f t="shared" si="5"/>
        <v/>
      </c>
      <c r="R18" s="75" t="str">
        <f t="shared" si="6"/>
        <v>YES</v>
      </c>
      <c r="S18" s="75"/>
      <c r="T18" s="75"/>
      <c r="U18" s="75" t="str">
        <f t="shared" si="7"/>
        <v/>
      </c>
      <c r="V18" s="76"/>
      <c r="W18" s="14"/>
      <c r="Y18" s="77" t="s">
        <v>158</v>
      </c>
      <c r="Z18" s="76">
        <f>COUNTIFS($O$5:$O$563, "N", $P$5:$P$563, "Y")</f>
        <v>1</v>
      </c>
      <c r="AA18" s="76">
        <f>COUNTIFS($O$5:$O$563, "N", $P$5:$P$563, "N")</f>
        <v>18</v>
      </c>
      <c r="AB18" s="54" t="s">
        <v>215</v>
      </c>
      <c r="AC18" s="5">
        <f>ROUND((AC16-AC17)/(1-AC17), 4)</f>
        <v>0.9497</v>
      </c>
    </row>
    <row r="19">
      <c r="A19" s="42" t="s">
        <v>181</v>
      </c>
      <c r="B19" s="37">
        <v>2013.0</v>
      </c>
      <c r="C19" s="69" t="s">
        <v>182</v>
      </c>
      <c r="D19" s="71" t="s">
        <v>95</v>
      </c>
      <c r="E19" s="13"/>
      <c r="F19" s="74" t="str">
        <f t="shared" si="1"/>
        <v/>
      </c>
      <c r="G19" s="78"/>
      <c r="H19" s="13"/>
      <c r="I19" s="74" t="str">
        <f t="shared" si="2"/>
        <v/>
      </c>
      <c r="J19" s="75" t="str">
        <f t="shared" si="3"/>
        <v>NO</v>
      </c>
      <c r="K19" s="20"/>
      <c r="M19" s="76"/>
      <c r="N19" s="75" t="str">
        <f t="shared" si="4"/>
        <v>NO</v>
      </c>
      <c r="O19" s="76"/>
      <c r="P19" s="76"/>
      <c r="Q19" s="75" t="str">
        <f t="shared" si="5"/>
        <v/>
      </c>
      <c r="R19" s="75" t="str">
        <f t="shared" si="6"/>
        <v>NO</v>
      </c>
      <c r="S19" s="75"/>
      <c r="T19" s="75"/>
      <c r="U19" s="75" t="str">
        <f t="shared" si="7"/>
        <v/>
      </c>
      <c r="V19" s="76"/>
      <c r="W19" s="14"/>
      <c r="X19" s="36" t="s">
        <v>332</v>
      </c>
    </row>
    <row r="20">
      <c r="A20" s="42" t="s">
        <v>183</v>
      </c>
      <c r="B20" s="37">
        <v>2013.0</v>
      </c>
      <c r="C20" s="69" t="s">
        <v>184</v>
      </c>
      <c r="D20" s="71" t="s">
        <v>95</v>
      </c>
      <c r="E20" s="13"/>
      <c r="F20" s="74" t="str">
        <f t="shared" si="1"/>
        <v/>
      </c>
      <c r="G20" s="78"/>
      <c r="H20" s="13"/>
      <c r="I20" s="74" t="str">
        <f t="shared" si="2"/>
        <v/>
      </c>
      <c r="J20" s="75" t="str">
        <f t="shared" si="3"/>
        <v>NO</v>
      </c>
      <c r="K20" s="20"/>
      <c r="M20" s="76"/>
      <c r="N20" s="75" t="str">
        <f t="shared" si="4"/>
        <v>NO</v>
      </c>
      <c r="O20" s="76"/>
      <c r="P20" s="76"/>
      <c r="Q20" s="75" t="str">
        <f t="shared" si="5"/>
        <v/>
      </c>
      <c r="R20" s="75" t="str">
        <f t="shared" si="6"/>
        <v>NO</v>
      </c>
      <c r="S20" s="75"/>
      <c r="T20" s="75"/>
      <c r="U20" s="75" t="str">
        <f t="shared" si="7"/>
        <v/>
      </c>
      <c r="V20" s="76"/>
      <c r="W20" s="14"/>
      <c r="Z20" s="52" t="s">
        <v>116</v>
      </c>
      <c r="AB20" s="54" t="s">
        <v>121</v>
      </c>
      <c r="AC20" s="13">
        <f>T2</f>
        <v>22</v>
      </c>
    </row>
    <row r="21">
      <c r="A21" s="42" t="s">
        <v>185</v>
      </c>
      <c r="B21" s="37">
        <v>2014.0</v>
      </c>
      <c r="C21" s="69" t="s">
        <v>186</v>
      </c>
      <c r="D21" s="78"/>
      <c r="F21" s="74" t="str">
        <f t="shared" si="1"/>
        <v/>
      </c>
      <c r="G21" s="78"/>
      <c r="I21" s="74" t="str">
        <f t="shared" si="2"/>
        <v/>
      </c>
      <c r="J21" s="75" t="str">
        <f t="shared" si="3"/>
        <v>YES</v>
      </c>
      <c r="K21" s="37" t="s">
        <v>187</v>
      </c>
      <c r="L21" s="13"/>
      <c r="M21" s="75"/>
      <c r="N21" s="75" t="str">
        <f t="shared" si="4"/>
        <v>NO</v>
      </c>
      <c r="O21" s="75"/>
      <c r="P21" s="75"/>
      <c r="Q21" s="75" t="str">
        <f t="shared" si="5"/>
        <v/>
      </c>
      <c r="R21" s="75" t="str">
        <f t="shared" si="6"/>
        <v>NO</v>
      </c>
      <c r="S21" s="75"/>
      <c r="T21" s="75"/>
      <c r="U21" s="75" t="str">
        <f t="shared" si="7"/>
        <v/>
      </c>
      <c r="V21" s="76"/>
      <c r="W21" s="14"/>
      <c r="X21" s="65"/>
      <c r="Y21" s="65"/>
      <c r="Z21" s="52" t="s">
        <v>142</v>
      </c>
      <c r="AA21" s="52" t="s">
        <v>158</v>
      </c>
      <c r="AB21" s="54" t="s">
        <v>160</v>
      </c>
      <c r="AC21" s="13">
        <f>ROUND((Z22+AA23)/AC20,4)</f>
        <v>1</v>
      </c>
    </row>
    <row r="22">
      <c r="A22" s="42" t="s">
        <v>188</v>
      </c>
      <c r="B22" s="37">
        <v>2014.0</v>
      </c>
      <c r="C22" s="69" t="s">
        <v>189</v>
      </c>
      <c r="D22" s="78"/>
      <c r="E22" s="13" t="s">
        <v>247</v>
      </c>
      <c r="F22" s="74" t="str">
        <f t="shared" si="1"/>
        <v>YES</v>
      </c>
      <c r="G22" s="78"/>
      <c r="H22" s="13" t="s">
        <v>247</v>
      </c>
      <c r="I22" s="74" t="str">
        <f t="shared" si="2"/>
        <v>YES</v>
      </c>
      <c r="J22" s="75" t="str">
        <f t="shared" si="3"/>
        <v>YES</v>
      </c>
      <c r="K22" s="37" t="s">
        <v>130</v>
      </c>
      <c r="L22" s="13"/>
      <c r="M22" s="75"/>
      <c r="N22" s="75" t="str">
        <f t="shared" si="4"/>
        <v>YES</v>
      </c>
      <c r="O22" s="75" t="s">
        <v>131</v>
      </c>
      <c r="P22" s="75"/>
      <c r="Q22" s="75" t="str">
        <f t="shared" si="5"/>
        <v/>
      </c>
      <c r="R22" s="75" t="str">
        <f t="shared" si="6"/>
        <v>YES</v>
      </c>
      <c r="S22" s="75"/>
      <c r="T22" s="75"/>
      <c r="U22" s="75" t="str">
        <f t="shared" si="7"/>
        <v/>
      </c>
      <c r="V22" s="76"/>
      <c r="W22" s="14"/>
      <c r="X22" s="77" t="s">
        <v>127</v>
      </c>
      <c r="Y22" s="77" t="s">
        <v>142</v>
      </c>
      <c r="Z22" s="76">
        <f>COUNTIFS($S$5:$S$563, "Y", $T$5:$T$563, "Y")</f>
        <v>22</v>
      </c>
      <c r="AA22" s="76">
        <f>COUNTIFS($S$5:$S$563, "Y", $T$5:$T$563, "N")</f>
        <v>0</v>
      </c>
      <c r="AB22" s="54" t="s">
        <v>202</v>
      </c>
      <c r="AC22" s="13">
        <f>ROUND((((Z22+AA22)/AC20)*((Z22+Z23)/AC20))+(((Z23+AA23)/AC20)*((AA22+AA23)/AC20)), 4)</f>
        <v>1</v>
      </c>
    </row>
    <row r="23">
      <c r="A23" s="42" t="s">
        <v>193</v>
      </c>
      <c r="B23" s="37">
        <v>2015.0</v>
      </c>
      <c r="C23" s="69" t="s">
        <v>194</v>
      </c>
      <c r="D23" s="78"/>
      <c r="E23" s="13"/>
      <c r="F23" s="74" t="str">
        <f t="shared" si="1"/>
        <v/>
      </c>
      <c r="G23" s="71" t="s">
        <v>95</v>
      </c>
      <c r="H23" s="13"/>
      <c r="I23" s="74" t="str">
        <f t="shared" si="2"/>
        <v/>
      </c>
      <c r="J23" s="75" t="str">
        <f t="shared" si="3"/>
        <v>NO</v>
      </c>
      <c r="K23" s="20"/>
      <c r="M23" s="76"/>
      <c r="N23" s="75" t="str">
        <f t="shared" si="4"/>
        <v>NO</v>
      </c>
      <c r="O23" s="76"/>
      <c r="P23" s="76"/>
      <c r="Q23" s="75" t="str">
        <f t="shared" si="5"/>
        <v/>
      </c>
      <c r="R23" s="75" t="str">
        <f t="shared" si="6"/>
        <v>NO</v>
      </c>
      <c r="S23" s="75"/>
      <c r="T23" s="75"/>
      <c r="U23" s="75" t="str">
        <f t="shared" si="7"/>
        <v/>
      </c>
      <c r="V23" s="76"/>
      <c r="W23" s="14"/>
      <c r="Y23" s="77" t="s">
        <v>158</v>
      </c>
      <c r="Z23" s="76">
        <f>COUNTIFS($S$5:$S$563, "N", $T$5:$T$563, "Y")</f>
        <v>0</v>
      </c>
      <c r="AA23" s="76">
        <f>COUNTIFS($S$5:$S$563, "N", $T$5:$T$563, "N")</f>
        <v>0</v>
      </c>
      <c r="AB23" s="54" t="s">
        <v>215</v>
      </c>
      <c r="AC23" s="5" t="str">
        <f>ROUND((AC21-AC22)/(1-AC22), 4)</f>
        <v>#DIV/0!</v>
      </c>
    </row>
    <row r="24">
      <c r="A24" s="42" t="s">
        <v>195</v>
      </c>
      <c r="B24" s="37">
        <v>2014.0</v>
      </c>
      <c r="C24" s="69" t="s">
        <v>196</v>
      </c>
      <c r="D24" s="78"/>
      <c r="E24" s="13" t="s">
        <v>247</v>
      </c>
      <c r="F24" s="74" t="str">
        <f t="shared" si="1"/>
        <v>YES</v>
      </c>
      <c r="G24" s="78"/>
      <c r="H24" s="13" t="s">
        <v>247</v>
      </c>
      <c r="I24" s="74" t="str">
        <f t="shared" si="2"/>
        <v>YES</v>
      </c>
      <c r="J24" s="75" t="str">
        <f t="shared" si="3"/>
        <v>YES</v>
      </c>
      <c r="K24" s="37" t="s">
        <v>86</v>
      </c>
      <c r="L24" s="13"/>
      <c r="M24" s="75"/>
      <c r="N24" s="75" t="str">
        <f t="shared" si="4"/>
        <v>NO</v>
      </c>
      <c r="O24" s="76"/>
      <c r="P24" s="75"/>
      <c r="Q24" s="75" t="str">
        <f t="shared" si="5"/>
        <v/>
      </c>
      <c r="R24" s="75" t="str">
        <f t="shared" si="6"/>
        <v>NO</v>
      </c>
      <c r="S24" s="75"/>
      <c r="T24" s="75"/>
      <c r="U24" s="75" t="str">
        <f t="shared" si="7"/>
        <v/>
      </c>
      <c r="V24" s="76"/>
      <c r="W24" s="14"/>
    </row>
    <row r="25">
      <c r="A25" s="42" t="s">
        <v>197</v>
      </c>
      <c r="B25" s="37">
        <v>2014.0</v>
      </c>
      <c r="C25" s="69" t="s">
        <v>198</v>
      </c>
      <c r="D25" s="78"/>
      <c r="E25" s="13" t="s">
        <v>247</v>
      </c>
      <c r="F25" s="74" t="str">
        <f t="shared" si="1"/>
        <v>YES</v>
      </c>
      <c r="G25" s="78"/>
      <c r="H25" s="13" t="s">
        <v>247</v>
      </c>
      <c r="I25" s="74" t="str">
        <f t="shared" si="2"/>
        <v>YES</v>
      </c>
      <c r="J25" s="75" t="str">
        <f t="shared" si="3"/>
        <v>YES</v>
      </c>
      <c r="K25" s="37" t="s">
        <v>199</v>
      </c>
      <c r="L25" s="13"/>
      <c r="M25" s="75"/>
      <c r="N25" s="75" t="str">
        <f t="shared" si="4"/>
        <v>YES</v>
      </c>
      <c r="O25" s="75" t="s">
        <v>149</v>
      </c>
      <c r="P25" s="75" t="s">
        <v>149</v>
      </c>
      <c r="Q25" s="75" t="str">
        <f t="shared" si="5"/>
        <v>YES</v>
      </c>
      <c r="R25" s="75" t="str">
        <f t="shared" si="6"/>
        <v>NO</v>
      </c>
      <c r="S25" s="75"/>
      <c r="T25" s="75"/>
      <c r="U25" s="75" t="str">
        <f t="shared" si="7"/>
        <v/>
      </c>
      <c r="V25" s="76"/>
      <c r="W25" s="14"/>
    </row>
    <row r="26">
      <c r="A26" s="42" t="s">
        <v>200</v>
      </c>
      <c r="B26" s="37">
        <v>2015.0</v>
      </c>
      <c r="C26" s="69" t="s">
        <v>201</v>
      </c>
      <c r="D26" s="78"/>
      <c r="F26" s="74" t="str">
        <f t="shared" si="1"/>
        <v/>
      </c>
      <c r="G26" s="78"/>
      <c r="I26" s="74" t="str">
        <f t="shared" si="2"/>
        <v/>
      </c>
      <c r="J26" s="75" t="str">
        <f t="shared" si="3"/>
        <v>YES</v>
      </c>
      <c r="K26" s="37" t="s">
        <v>86</v>
      </c>
      <c r="L26" s="13" t="s">
        <v>32</v>
      </c>
      <c r="M26" s="75" t="s">
        <v>142</v>
      </c>
      <c r="N26" s="75" t="str">
        <f t="shared" si="4"/>
        <v>NO</v>
      </c>
      <c r="O26" s="76"/>
      <c r="P26" s="75"/>
      <c r="Q26" s="75" t="str">
        <f t="shared" si="5"/>
        <v/>
      </c>
      <c r="R26" s="75" t="str">
        <f t="shared" si="6"/>
        <v>NO</v>
      </c>
      <c r="S26" s="75"/>
      <c r="T26" s="75"/>
      <c r="U26" s="75" t="str">
        <f t="shared" si="7"/>
        <v/>
      </c>
      <c r="V26" s="76"/>
      <c r="W26" s="14"/>
    </row>
    <row r="27">
      <c r="A27" s="42" t="s">
        <v>203</v>
      </c>
      <c r="B27" s="37">
        <v>2013.0</v>
      </c>
      <c r="C27" s="69" t="s">
        <v>204</v>
      </c>
      <c r="D27" s="78"/>
      <c r="F27" s="74" t="str">
        <f t="shared" si="1"/>
        <v/>
      </c>
      <c r="G27" s="78"/>
      <c r="I27" s="74" t="str">
        <f t="shared" si="2"/>
        <v/>
      </c>
      <c r="J27" s="75" t="str">
        <f t="shared" si="3"/>
        <v>YES</v>
      </c>
      <c r="K27" s="37" t="s">
        <v>91</v>
      </c>
      <c r="L27" s="13"/>
      <c r="M27" s="75"/>
      <c r="N27" s="75" t="str">
        <f t="shared" si="4"/>
        <v>NO</v>
      </c>
      <c r="O27" s="76"/>
      <c r="P27" s="75"/>
      <c r="Q27" s="75" t="str">
        <f t="shared" si="5"/>
        <v/>
      </c>
      <c r="R27" s="75" t="str">
        <f t="shared" si="6"/>
        <v>NO</v>
      </c>
      <c r="S27" s="75"/>
      <c r="T27" s="75"/>
      <c r="U27" s="75" t="str">
        <f t="shared" si="7"/>
        <v/>
      </c>
      <c r="V27" s="76"/>
      <c r="W27" s="14"/>
    </row>
    <row r="28">
      <c r="A28" s="42" t="s">
        <v>205</v>
      </c>
      <c r="B28" s="37">
        <v>2016.0</v>
      </c>
      <c r="C28" s="69" t="s">
        <v>206</v>
      </c>
      <c r="D28" s="78"/>
      <c r="E28" s="13" t="s">
        <v>247</v>
      </c>
      <c r="F28" s="74" t="str">
        <f t="shared" si="1"/>
        <v>YES</v>
      </c>
      <c r="G28" s="78"/>
      <c r="H28" s="13" t="s">
        <v>247</v>
      </c>
      <c r="I28" s="74" t="str">
        <f t="shared" si="2"/>
        <v>YES</v>
      </c>
      <c r="J28" s="75" t="str">
        <f t="shared" si="3"/>
        <v>YES</v>
      </c>
      <c r="K28" s="37" t="s">
        <v>91</v>
      </c>
      <c r="L28" s="13"/>
      <c r="M28" s="75"/>
      <c r="N28" s="75" t="str">
        <f t="shared" si="4"/>
        <v>NO</v>
      </c>
      <c r="O28" s="76"/>
      <c r="P28" s="75"/>
      <c r="Q28" s="75" t="str">
        <f t="shared" si="5"/>
        <v/>
      </c>
      <c r="R28" s="75" t="str">
        <f t="shared" si="6"/>
        <v>NO</v>
      </c>
      <c r="S28" s="75"/>
      <c r="T28" s="75"/>
      <c r="U28" s="75" t="str">
        <f t="shared" si="7"/>
        <v/>
      </c>
      <c r="V28" s="76"/>
      <c r="W28" s="14"/>
    </row>
    <row r="29">
      <c r="A29" s="42" t="s">
        <v>207</v>
      </c>
      <c r="B29" s="37">
        <v>2016.0</v>
      </c>
      <c r="C29" s="69" t="s">
        <v>208</v>
      </c>
      <c r="D29" s="71" t="s">
        <v>95</v>
      </c>
      <c r="E29" s="13"/>
      <c r="F29" s="74" t="str">
        <f t="shared" si="1"/>
        <v/>
      </c>
      <c r="G29" s="78"/>
      <c r="H29" s="13"/>
      <c r="I29" s="74" t="str">
        <f t="shared" si="2"/>
        <v/>
      </c>
      <c r="J29" s="75" t="str">
        <f t="shared" si="3"/>
        <v>NO</v>
      </c>
      <c r="K29" s="20"/>
      <c r="M29" s="76"/>
      <c r="N29" s="75" t="str">
        <f t="shared" si="4"/>
        <v>NO</v>
      </c>
      <c r="O29" s="76"/>
      <c r="P29" s="76"/>
      <c r="Q29" s="75" t="str">
        <f t="shared" si="5"/>
        <v/>
      </c>
      <c r="R29" s="75" t="str">
        <f t="shared" si="6"/>
        <v>NO</v>
      </c>
      <c r="S29" s="75"/>
      <c r="T29" s="75"/>
      <c r="U29" s="75" t="str">
        <f t="shared" si="7"/>
        <v/>
      </c>
      <c r="V29" s="76"/>
      <c r="W29" s="14"/>
    </row>
    <row r="30">
      <c r="A30" s="42" t="s">
        <v>209</v>
      </c>
      <c r="B30" s="37">
        <v>2013.0</v>
      </c>
      <c r="C30" s="69" t="s">
        <v>210</v>
      </c>
      <c r="D30" s="71" t="s">
        <v>95</v>
      </c>
      <c r="E30" s="13"/>
      <c r="F30" s="74" t="str">
        <f t="shared" si="1"/>
        <v/>
      </c>
      <c r="G30" s="78"/>
      <c r="H30" s="13"/>
      <c r="I30" s="74" t="str">
        <f t="shared" si="2"/>
        <v/>
      </c>
      <c r="J30" s="75" t="str">
        <f t="shared" si="3"/>
        <v>NO</v>
      </c>
      <c r="K30" s="20"/>
      <c r="M30" s="76"/>
      <c r="N30" s="75" t="str">
        <f t="shared" si="4"/>
        <v>NO</v>
      </c>
      <c r="O30" s="76"/>
      <c r="P30" s="76"/>
      <c r="Q30" s="75" t="str">
        <f t="shared" si="5"/>
        <v/>
      </c>
      <c r="R30" s="75" t="str">
        <f t="shared" si="6"/>
        <v>NO</v>
      </c>
      <c r="S30" s="75"/>
      <c r="T30" s="75"/>
      <c r="U30" s="75" t="str">
        <f t="shared" si="7"/>
        <v/>
      </c>
      <c r="V30" s="76"/>
      <c r="W30" s="14"/>
    </row>
    <row r="31">
      <c r="A31" s="42" t="s">
        <v>211</v>
      </c>
      <c r="B31" s="37">
        <v>2015.0</v>
      </c>
      <c r="C31" s="69" t="s">
        <v>212</v>
      </c>
      <c r="D31" s="78"/>
      <c r="F31" s="74" t="str">
        <f t="shared" si="1"/>
        <v/>
      </c>
      <c r="G31" s="78"/>
      <c r="I31" s="74" t="str">
        <f t="shared" si="2"/>
        <v/>
      </c>
      <c r="J31" s="75" t="str">
        <f t="shared" si="3"/>
        <v>YES</v>
      </c>
      <c r="K31" s="37" t="s">
        <v>91</v>
      </c>
      <c r="L31" s="13"/>
      <c r="M31" s="76"/>
      <c r="N31" s="75" t="str">
        <f t="shared" si="4"/>
        <v>NO</v>
      </c>
      <c r="O31" s="76"/>
      <c r="P31" s="76"/>
      <c r="Q31" s="75" t="str">
        <f t="shared" si="5"/>
        <v/>
      </c>
      <c r="R31" s="75" t="str">
        <f t="shared" si="6"/>
        <v>NO</v>
      </c>
      <c r="S31" s="75"/>
      <c r="T31" s="75"/>
      <c r="U31" s="75" t="str">
        <f t="shared" si="7"/>
        <v/>
      </c>
      <c r="V31" s="76"/>
      <c r="W31" s="14"/>
    </row>
    <row r="32">
      <c r="A32" s="42" t="s">
        <v>213</v>
      </c>
      <c r="B32" s="37">
        <v>2015.0</v>
      </c>
      <c r="C32" s="69" t="s">
        <v>214</v>
      </c>
      <c r="D32" s="71" t="s">
        <v>95</v>
      </c>
      <c r="E32" s="13"/>
      <c r="F32" s="74" t="str">
        <f t="shared" si="1"/>
        <v/>
      </c>
      <c r="G32" s="78"/>
      <c r="H32" s="13"/>
      <c r="I32" s="74" t="str">
        <f t="shared" si="2"/>
        <v/>
      </c>
      <c r="J32" s="75" t="str">
        <f t="shared" si="3"/>
        <v>NO</v>
      </c>
      <c r="K32" s="20"/>
      <c r="M32" s="76"/>
      <c r="N32" s="75" t="str">
        <f t="shared" si="4"/>
        <v>NO</v>
      </c>
      <c r="O32" s="76"/>
      <c r="P32" s="76"/>
      <c r="Q32" s="75" t="str">
        <f t="shared" si="5"/>
        <v/>
      </c>
      <c r="R32" s="75" t="str">
        <f t="shared" si="6"/>
        <v>NO</v>
      </c>
      <c r="S32" s="75"/>
      <c r="T32" s="75"/>
      <c r="U32" s="75" t="str">
        <f t="shared" si="7"/>
        <v/>
      </c>
      <c r="V32" s="76"/>
      <c r="W32" s="14"/>
    </row>
    <row r="33">
      <c r="A33" s="42" t="s">
        <v>216</v>
      </c>
      <c r="B33" s="37">
        <v>2014.0</v>
      </c>
      <c r="C33" s="69" t="s">
        <v>217</v>
      </c>
      <c r="D33" s="71" t="s">
        <v>95</v>
      </c>
      <c r="E33" s="13" t="s">
        <v>95</v>
      </c>
      <c r="F33" s="74" t="str">
        <f t="shared" si="1"/>
        <v>YES</v>
      </c>
      <c r="G33" s="78"/>
      <c r="H33" s="13" t="s">
        <v>247</v>
      </c>
      <c r="I33" s="74" t="str">
        <f t="shared" si="2"/>
        <v>YES</v>
      </c>
      <c r="J33" s="75" t="str">
        <f t="shared" si="3"/>
        <v>NO</v>
      </c>
      <c r="K33" s="20"/>
      <c r="M33" s="76"/>
      <c r="N33" s="75" t="str">
        <f t="shared" si="4"/>
        <v>NO</v>
      </c>
      <c r="O33" s="76"/>
      <c r="P33" s="76"/>
      <c r="Q33" s="75" t="str">
        <f t="shared" si="5"/>
        <v/>
      </c>
      <c r="R33" s="75" t="str">
        <f t="shared" si="6"/>
        <v>NO</v>
      </c>
      <c r="S33" s="75"/>
      <c r="T33" s="75"/>
      <c r="U33" s="75" t="str">
        <f t="shared" si="7"/>
        <v/>
      </c>
      <c r="V33" s="76"/>
      <c r="W33" s="14"/>
    </row>
    <row r="34">
      <c r="A34" s="42" t="s">
        <v>218</v>
      </c>
      <c r="B34" s="37">
        <v>2014.0</v>
      </c>
      <c r="C34" s="69" t="s">
        <v>219</v>
      </c>
      <c r="D34" s="71" t="s">
        <v>95</v>
      </c>
      <c r="E34" s="13"/>
      <c r="F34" s="74" t="str">
        <f t="shared" si="1"/>
        <v/>
      </c>
      <c r="G34" s="78"/>
      <c r="H34" s="13"/>
      <c r="I34" s="74" t="str">
        <f t="shared" si="2"/>
        <v/>
      </c>
      <c r="J34" s="75" t="str">
        <f t="shared" si="3"/>
        <v>NO</v>
      </c>
      <c r="K34" s="20"/>
      <c r="M34" s="76"/>
      <c r="N34" s="75" t="str">
        <f t="shared" si="4"/>
        <v>NO</v>
      </c>
      <c r="O34" s="76"/>
      <c r="P34" s="76"/>
      <c r="Q34" s="75" t="str">
        <f t="shared" si="5"/>
        <v/>
      </c>
      <c r="R34" s="75" t="str">
        <f t="shared" si="6"/>
        <v>NO</v>
      </c>
      <c r="S34" s="75"/>
      <c r="T34" s="75"/>
      <c r="U34" s="75" t="str">
        <f t="shared" si="7"/>
        <v/>
      </c>
      <c r="V34" s="76"/>
      <c r="W34" s="14"/>
    </row>
    <row r="35">
      <c r="A35" s="42" t="s">
        <v>220</v>
      </c>
      <c r="B35" s="37">
        <v>2015.0</v>
      </c>
      <c r="C35" s="69" t="s">
        <v>221</v>
      </c>
      <c r="D35" s="78"/>
      <c r="F35" s="74" t="str">
        <f t="shared" si="1"/>
        <v/>
      </c>
      <c r="G35" s="78"/>
      <c r="I35" s="74" t="str">
        <f t="shared" si="2"/>
        <v/>
      </c>
      <c r="J35" s="75" t="str">
        <f t="shared" si="3"/>
        <v>YES</v>
      </c>
      <c r="K35" s="37" t="s">
        <v>199</v>
      </c>
      <c r="L35" s="13"/>
      <c r="M35" s="76"/>
      <c r="N35" s="75" t="str">
        <f t="shared" si="4"/>
        <v>YES</v>
      </c>
      <c r="O35" s="75" t="s">
        <v>149</v>
      </c>
      <c r="P35" s="76"/>
      <c r="Q35" s="75" t="str">
        <f t="shared" si="5"/>
        <v/>
      </c>
      <c r="R35" s="75" t="str">
        <f t="shared" si="6"/>
        <v>NO</v>
      </c>
      <c r="S35" s="75"/>
      <c r="T35" s="75"/>
      <c r="U35" s="75" t="str">
        <f t="shared" si="7"/>
        <v/>
      </c>
      <c r="V35" s="76"/>
      <c r="W35" s="14"/>
    </row>
    <row r="36">
      <c r="A36" s="42" t="s">
        <v>222</v>
      </c>
      <c r="B36" s="37">
        <v>2012.0</v>
      </c>
      <c r="C36" s="69" t="s">
        <v>223</v>
      </c>
      <c r="D36" s="78"/>
      <c r="F36" s="74" t="str">
        <f t="shared" si="1"/>
        <v/>
      </c>
      <c r="G36" s="78"/>
      <c r="I36" s="74" t="str">
        <f t="shared" si="2"/>
        <v/>
      </c>
      <c r="J36" s="75" t="str">
        <f t="shared" si="3"/>
        <v>YES</v>
      </c>
      <c r="K36" s="37" t="s">
        <v>199</v>
      </c>
      <c r="L36" s="13"/>
      <c r="M36" s="76"/>
      <c r="N36" s="75" t="str">
        <f t="shared" si="4"/>
        <v>YES</v>
      </c>
      <c r="O36" s="75" t="s">
        <v>131</v>
      </c>
      <c r="P36" s="76"/>
      <c r="Q36" s="75" t="str">
        <f t="shared" si="5"/>
        <v/>
      </c>
      <c r="R36" s="75" t="str">
        <f t="shared" si="6"/>
        <v>YES</v>
      </c>
      <c r="S36" s="75"/>
      <c r="T36" s="75"/>
      <c r="U36" s="75" t="str">
        <f t="shared" si="7"/>
        <v/>
      </c>
      <c r="V36" s="76"/>
      <c r="W36" s="14"/>
    </row>
    <row r="37">
      <c r="A37" s="42" t="s">
        <v>228</v>
      </c>
      <c r="B37" s="37">
        <v>2014.0</v>
      </c>
      <c r="C37" s="69" t="s">
        <v>229</v>
      </c>
      <c r="D37" s="78"/>
      <c r="F37" s="74" t="str">
        <f t="shared" si="1"/>
        <v/>
      </c>
      <c r="G37" s="78"/>
      <c r="I37" s="74" t="str">
        <f t="shared" si="2"/>
        <v/>
      </c>
      <c r="J37" s="75" t="str">
        <f t="shared" si="3"/>
        <v>YES</v>
      </c>
      <c r="K37" s="37" t="s">
        <v>130</v>
      </c>
      <c r="L37" s="13"/>
      <c r="M37" s="76"/>
      <c r="N37" s="75" t="str">
        <f t="shared" si="4"/>
        <v>YES</v>
      </c>
      <c r="O37" s="75" t="s">
        <v>131</v>
      </c>
      <c r="P37" s="76"/>
      <c r="Q37" s="75" t="str">
        <f t="shared" si="5"/>
        <v/>
      </c>
      <c r="R37" s="75" t="str">
        <f t="shared" si="6"/>
        <v>YES</v>
      </c>
      <c r="S37" s="75"/>
      <c r="T37" s="75"/>
      <c r="U37" s="75" t="str">
        <f t="shared" si="7"/>
        <v/>
      </c>
      <c r="V37" s="76"/>
      <c r="W37" s="14"/>
    </row>
    <row r="38">
      <c r="A38" s="42" t="s">
        <v>231</v>
      </c>
      <c r="B38" s="37">
        <v>2015.0</v>
      </c>
      <c r="C38" s="69" t="s">
        <v>232</v>
      </c>
      <c r="D38" s="78"/>
      <c r="F38" s="74" t="str">
        <f t="shared" si="1"/>
        <v/>
      </c>
      <c r="G38" s="78"/>
      <c r="I38" s="74" t="str">
        <f t="shared" si="2"/>
        <v/>
      </c>
      <c r="J38" s="75" t="str">
        <f t="shared" si="3"/>
        <v>YES</v>
      </c>
      <c r="K38" s="37" t="s">
        <v>130</v>
      </c>
      <c r="L38" s="13"/>
      <c r="M38" s="76"/>
      <c r="N38" s="75" t="str">
        <f t="shared" si="4"/>
        <v>YES</v>
      </c>
      <c r="O38" s="75" t="s">
        <v>131</v>
      </c>
      <c r="P38" s="76"/>
      <c r="Q38" s="75" t="str">
        <f t="shared" si="5"/>
        <v/>
      </c>
      <c r="R38" s="75" t="str">
        <f t="shared" si="6"/>
        <v>YES</v>
      </c>
      <c r="S38" s="75"/>
      <c r="T38" s="75"/>
      <c r="U38" s="75" t="str">
        <f t="shared" si="7"/>
        <v/>
      </c>
      <c r="V38" s="76"/>
      <c r="W38" s="14"/>
    </row>
    <row r="39">
      <c r="A39" s="42" t="s">
        <v>234</v>
      </c>
      <c r="B39" s="37">
        <v>2015.0</v>
      </c>
      <c r="C39" s="69" t="s">
        <v>235</v>
      </c>
      <c r="D39" s="78"/>
      <c r="F39" s="74" t="str">
        <f t="shared" si="1"/>
        <v/>
      </c>
      <c r="G39" s="71" t="s">
        <v>95</v>
      </c>
      <c r="I39" s="74" t="str">
        <f t="shared" si="2"/>
        <v/>
      </c>
      <c r="J39" s="75" t="str">
        <f t="shared" si="3"/>
        <v>NO</v>
      </c>
      <c r="K39" s="20"/>
      <c r="M39" s="76"/>
      <c r="N39" s="75" t="str">
        <f t="shared" si="4"/>
        <v>NO</v>
      </c>
      <c r="O39" s="76"/>
      <c r="P39" s="76"/>
      <c r="Q39" s="75" t="str">
        <f t="shared" si="5"/>
        <v/>
      </c>
      <c r="R39" s="75" t="str">
        <f t="shared" si="6"/>
        <v>NO</v>
      </c>
      <c r="S39" s="75"/>
      <c r="T39" s="75"/>
      <c r="U39" s="75" t="str">
        <f t="shared" si="7"/>
        <v/>
      </c>
      <c r="V39" s="76"/>
      <c r="W39" s="14"/>
    </row>
    <row r="40">
      <c r="A40" s="42" t="s">
        <v>236</v>
      </c>
      <c r="B40" s="37">
        <v>2016.0</v>
      </c>
      <c r="C40" s="69" t="s">
        <v>237</v>
      </c>
      <c r="D40" s="78"/>
      <c r="F40" s="74" t="str">
        <f t="shared" si="1"/>
        <v/>
      </c>
      <c r="G40" s="78"/>
      <c r="I40" s="74" t="str">
        <f t="shared" si="2"/>
        <v/>
      </c>
      <c r="J40" s="75" t="str">
        <f t="shared" si="3"/>
        <v>YES</v>
      </c>
      <c r="K40" s="37" t="s">
        <v>86</v>
      </c>
      <c r="L40" s="13"/>
      <c r="M40" s="76"/>
      <c r="N40" s="75" t="str">
        <f t="shared" si="4"/>
        <v>NO</v>
      </c>
      <c r="O40" s="76"/>
      <c r="P40" s="76"/>
      <c r="Q40" s="75" t="str">
        <f t="shared" si="5"/>
        <v/>
      </c>
      <c r="R40" s="75" t="str">
        <f t="shared" si="6"/>
        <v>NO</v>
      </c>
      <c r="S40" s="75"/>
      <c r="T40" s="75"/>
      <c r="U40" s="75" t="str">
        <f t="shared" si="7"/>
        <v/>
      </c>
      <c r="V40" s="76"/>
      <c r="W40" s="14"/>
    </row>
    <row r="41">
      <c r="A41" s="42" t="s">
        <v>238</v>
      </c>
      <c r="B41" s="37">
        <v>2013.0</v>
      </c>
      <c r="C41" s="69" t="s">
        <v>239</v>
      </c>
      <c r="D41" s="71" t="s">
        <v>95</v>
      </c>
      <c r="E41" s="13"/>
      <c r="F41" s="74" t="str">
        <f t="shared" si="1"/>
        <v/>
      </c>
      <c r="G41" s="78"/>
      <c r="H41" s="13"/>
      <c r="I41" s="74" t="str">
        <f t="shared" si="2"/>
        <v/>
      </c>
      <c r="J41" s="75" t="str">
        <f t="shared" si="3"/>
        <v>NO</v>
      </c>
      <c r="K41" s="20"/>
      <c r="M41" s="76"/>
      <c r="N41" s="75" t="str">
        <f t="shared" si="4"/>
        <v>NO</v>
      </c>
      <c r="O41" s="76"/>
      <c r="P41" s="76"/>
      <c r="Q41" s="75" t="str">
        <f t="shared" si="5"/>
        <v/>
      </c>
      <c r="R41" s="75" t="str">
        <f t="shared" si="6"/>
        <v>NO</v>
      </c>
      <c r="S41" s="75"/>
      <c r="T41" s="75"/>
      <c r="U41" s="75" t="str">
        <f t="shared" si="7"/>
        <v/>
      </c>
      <c r="V41" s="76"/>
      <c r="W41" s="14"/>
    </row>
    <row r="42">
      <c r="A42" s="42" t="s">
        <v>240</v>
      </c>
      <c r="B42" s="37">
        <v>2013.0</v>
      </c>
      <c r="C42" s="69" t="s">
        <v>241</v>
      </c>
      <c r="D42" s="78"/>
      <c r="E42" s="13" t="s">
        <v>247</v>
      </c>
      <c r="F42" s="74" t="str">
        <f t="shared" si="1"/>
        <v>YES</v>
      </c>
      <c r="G42" s="71" t="s">
        <v>95</v>
      </c>
      <c r="H42" s="13" t="s">
        <v>95</v>
      </c>
      <c r="I42" s="74" t="str">
        <f t="shared" si="2"/>
        <v>YES</v>
      </c>
      <c r="J42" s="75" t="str">
        <f t="shared" si="3"/>
        <v>NO</v>
      </c>
      <c r="K42" s="20"/>
      <c r="M42" s="76"/>
      <c r="N42" s="75" t="str">
        <f t="shared" si="4"/>
        <v>NO</v>
      </c>
      <c r="O42" s="76"/>
      <c r="P42" s="76"/>
      <c r="Q42" s="75" t="str">
        <f t="shared" si="5"/>
        <v/>
      </c>
      <c r="R42" s="75" t="str">
        <f t="shared" si="6"/>
        <v>NO</v>
      </c>
      <c r="S42" s="75"/>
      <c r="T42" s="75"/>
      <c r="U42" s="75" t="str">
        <f t="shared" si="7"/>
        <v/>
      </c>
      <c r="V42" s="76"/>
      <c r="W42" s="14"/>
    </row>
    <row r="43">
      <c r="A43" s="42" t="s">
        <v>242</v>
      </c>
      <c r="B43" s="37">
        <v>2013.0</v>
      </c>
      <c r="C43" s="69" t="s">
        <v>243</v>
      </c>
      <c r="D43" s="78"/>
      <c r="F43" s="74" t="str">
        <f t="shared" si="1"/>
        <v/>
      </c>
      <c r="G43" s="78"/>
      <c r="I43" s="74" t="str">
        <f t="shared" si="2"/>
        <v/>
      </c>
      <c r="J43" s="75" t="str">
        <f t="shared" si="3"/>
        <v>YES</v>
      </c>
      <c r="K43" s="37" t="s">
        <v>244</v>
      </c>
      <c r="L43" s="13" t="s">
        <v>37</v>
      </c>
      <c r="M43" s="75" t="s">
        <v>142</v>
      </c>
      <c r="N43" s="75" t="str">
        <f t="shared" si="4"/>
        <v>YES</v>
      </c>
      <c r="O43" s="76"/>
      <c r="P43" s="75"/>
      <c r="Q43" s="75" t="str">
        <f t="shared" si="5"/>
        <v/>
      </c>
      <c r="R43" s="75" t="str">
        <f t="shared" si="6"/>
        <v>NO</v>
      </c>
      <c r="S43" s="75"/>
      <c r="T43" s="75"/>
      <c r="U43" s="75" t="str">
        <f t="shared" si="7"/>
        <v/>
      </c>
      <c r="V43" s="76"/>
      <c r="W43" s="14"/>
    </row>
    <row r="44">
      <c r="A44" s="42" t="s">
        <v>245</v>
      </c>
      <c r="B44" s="37">
        <v>2015.0</v>
      </c>
      <c r="C44" s="69" t="s">
        <v>246</v>
      </c>
      <c r="D44" s="71" t="s">
        <v>95</v>
      </c>
      <c r="E44" s="13"/>
      <c r="F44" s="74" t="str">
        <f t="shared" si="1"/>
        <v/>
      </c>
      <c r="G44" s="78"/>
      <c r="H44" s="13"/>
      <c r="I44" s="74" t="str">
        <f t="shared" si="2"/>
        <v/>
      </c>
      <c r="J44" s="75" t="str">
        <f t="shared" si="3"/>
        <v>NO</v>
      </c>
      <c r="K44" s="20"/>
      <c r="M44" s="76"/>
      <c r="N44" s="75" t="str">
        <f t="shared" si="4"/>
        <v>NO</v>
      </c>
      <c r="O44" s="76"/>
      <c r="P44" s="76"/>
      <c r="Q44" s="75" t="str">
        <f t="shared" si="5"/>
        <v/>
      </c>
      <c r="R44" s="75" t="str">
        <f t="shared" si="6"/>
        <v>NO</v>
      </c>
      <c r="S44" s="75"/>
      <c r="T44" s="75"/>
      <c r="U44" s="75" t="str">
        <f t="shared" si="7"/>
        <v/>
      </c>
      <c r="V44" s="76"/>
      <c r="W44" s="14"/>
    </row>
    <row r="45">
      <c r="A45" s="42" t="s">
        <v>248</v>
      </c>
      <c r="B45" s="37">
        <v>2013.0</v>
      </c>
      <c r="C45" s="69" t="s">
        <v>249</v>
      </c>
      <c r="D45" s="78"/>
      <c r="F45" s="74" t="str">
        <f t="shared" si="1"/>
        <v/>
      </c>
      <c r="G45" s="78"/>
      <c r="I45" s="74" t="str">
        <f t="shared" si="2"/>
        <v/>
      </c>
      <c r="J45" s="75" t="str">
        <f t="shared" si="3"/>
        <v>YES</v>
      </c>
      <c r="K45" s="37" t="s">
        <v>250</v>
      </c>
      <c r="L45" s="13" t="s">
        <v>7</v>
      </c>
      <c r="M45" s="75" t="s">
        <v>142</v>
      </c>
      <c r="N45" s="75" t="str">
        <f t="shared" si="4"/>
        <v>YES</v>
      </c>
      <c r="O45" s="75" t="s">
        <v>131</v>
      </c>
      <c r="P45" s="75"/>
      <c r="Q45" s="75" t="str">
        <f t="shared" si="5"/>
        <v/>
      </c>
      <c r="R45" s="75" t="str">
        <f t="shared" si="6"/>
        <v>YES</v>
      </c>
      <c r="S45" s="75"/>
      <c r="T45" s="75"/>
      <c r="U45" s="75" t="str">
        <f t="shared" si="7"/>
        <v/>
      </c>
      <c r="V45" s="76"/>
      <c r="W45" s="14"/>
    </row>
    <row r="46">
      <c r="A46" s="42" t="s">
        <v>254</v>
      </c>
      <c r="B46" s="37">
        <v>2013.0</v>
      </c>
      <c r="C46" s="69" t="s">
        <v>255</v>
      </c>
      <c r="D46" s="78"/>
      <c r="F46" s="74" t="str">
        <f t="shared" si="1"/>
        <v/>
      </c>
      <c r="G46" s="78"/>
      <c r="I46" s="74" t="str">
        <f t="shared" si="2"/>
        <v/>
      </c>
      <c r="J46" s="75" t="str">
        <f t="shared" si="3"/>
        <v>YES</v>
      </c>
      <c r="K46" s="37" t="s">
        <v>199</v>
      </c>
      <c r="L46" s="13"/>
      <c r="M46" s="76"/>
      <c r="N46" s="75" t="str">
        <f t="shared" si="4"/>
        <v>YES</v>
      </c>
      <c r="O46" s="75" t="s">
        <v>149</v>
      </c>
      <c r="P46" s="76"/>
      <c r="Q46" s="75" t="str">
        <f t="shared" si="5"/>
        <v/>
      </c>
      <c r="R46" s="75" t="str">
        <f t="shared" si="6"/>
        <v>NO</v>
      </c>
      <c r="S46" s="75"/>
      <c r="T46" s="75"/>
      <c r="U46" s="75" t="str">
        <f t="shared" si="7"/>
        <v/>
      </c>
      <c r="V46" s="76"/>
      <c r="W46" s="14"/>
    </row>
    <row r="47">
      <c r="A47" s="42" t="s">
        <v>256</v>
      </c>
      <c r="B47" s="37">
        <v>2014.0</v>
      </c>
      <c r="C47" s="69" t="s">
        <v>257</v>
      </c>
      <c r="D47" s="78"/>
      <c r="F47" s="74" t="str">
        <f t="shared" si="1"/>
        <v/>
      </c>
      <c r="G47" s="78"/>
      <c r="I47" s="74" t="str">
        <f t="shared" si="2"/>
        <v/>
      </c>
      <c r="J47" s="75" t="str">
        <f t="shared" si="3"/>
        <v>YES</v>
      </c>
      <c r="K47" s="37" t="s">
        <v>199</v>
      </c>
      <c r="L47" s="13"/>
      <c r="M47" s="76"/>
      <c r="N47" s="75" t="str">
        <f t="shared" si="4"/>
        <v>YES</v>
      </c>
      <c r="O47" s="75" t="s">
        <v>131</v>
      </c>
      <c r="P47" s="76"/>
      <c r="Q47" s="75" t="str">
        <f t="shared" si="5"/>
        <v/>
      </c>
      <c r="R47" s="75" t="str">
        <f t="shared" si="6"/>
        <v>YES</v>
      </c>
      <c r="S47" s="75"/>
      <c r="T47" s="75"/>
      <c r="U47" s="75" t="str">
        <f t="shared" si="7"/>
        <v/>
      </c>
      <c r="V47" s="76"/>
      <c r="W47" s="14"/>
    </row>
    <row r="48">
      <c r="A48" s="42" t="s">
        <v>262</v>
      </c>
      <c r="B48" s="37">
        <v>2015.0</v>
      </c>
      <c r="C48" s="69" t="s">
        <v>263</v>
      </c>
      <c r="D48" s="78"/>
      <c r="F48" s="74" t="str">
        <f t="shared" si="1"/>
        <v/>
      </c>
      <c r="G48" s="78"/>
      <c r="I48" s="74" t="str">
        <f t="shared" si="2"/>
        <v/>
      </c>
      <c r="J48" s="75" t="str">
        <f t="shared" si="3"/>
        <v>YES</v>
      </c>
      <c r="K48" s="37" t="s">
        <v>86</v>
      </c>
      <c r="L48" s="13" t="s">
        <v>32</v>
      </c>
      <c r="M48" s="75" t="s">
        <v>142</v>
      </c>
      <c r="N48" s="75" t="str">
        <f t="shared" si="4"/>
        <v>NO</v>
      </c>
      <c r="O48" s="76"/>
      <c r="P48" s="75"/>
      <c r="Q48" s="75" t="str">
        <f t="shared" si="5"/>
        <v/>
      </c>
      <c r="R48" s="75" t="str">
        <f t="shared" si="6"/>
        <v>NO</v>
      </c>
      <c r="S48" s="75"/>
      <c r="T48" s="75"/>
      <c r="U48" s="75" t="str">
        <f t="shared" si="7"/>
        <v/>
      </c>
      <c r="V48" s="76"/>
      <c r="W48" s="14"/>
    </row>
    <row r="49">
      <c r="A49" s="42" t="s">
        <v>264</v>
      </c>
      <c r="B49" s="37">
        <v>2015.0</v>
      </c>
      <c r="C49" s="69" t="s">
        <v>265</v>
      </c>
      <c r="D49" s="71" t="s">
        <v>95</v>
      </c>
      <c r="E49" s="13" t="s">
        <v>95</v>
      </c>
      <c r="F49" s="74" t="str">
        <f t="shared" si="1"/>
        <v>YES</v>
      </c>
      <c r="G49" s="78"/>
      <c r="H49" s="13" t="s">
        <v>247</v>
      </c>
      <c r="I49" s="74" t="str">
        <f t="shared" si="2"/>
        <v>YES</v>
      </c>
      <c r="J49" s="75" t="str">
        <f t="shared" si="3"/>
        <v>NO</v>
      </c>
      <c r="K49" s="20"/>
      <c r="M49" s="76"/>
      <c r="N49" s="75" t="str">
        <f t="shared" si="4"/>
        <v>NO</v>
      </c>
      <c r="O49" s="76"/>
      <c r="P49" s="76"/>
      <c r="Q49" s="75" t="str">
        <f t="shared" si="5"/>
        <v/>
      </c>
      <c r="R49" s="75" t="str">
        <f t="shared" si="6"/>
        <v>NO</v>
      </c>
      <c r="S49" s="75"/>
      <c r="T49" s="75"/>
      <c r="U49" s="75" t="str">
        <f t="shared" si="7"/>
        <v/>
      </c>
      <c r="V49" s="76"/>
      <c r="W49" s="14"/>
    </row>
    <row r="50">
      <c r="A50" s="42" t="s">
        <v>266</v>
      </c>
      <c r="B50" s="37">
        <v>2016.0</v>
      </c>
      <c r="C50" s="69" t="s">
        <v>267</v>
      </c>
      <c r="D50" s="71" t="s">
        <v>95</v>
      </c>
      <c r="E50" s="13"/>
      <c r="F50" s="74" t="str">
        <f t="shared" si="1"/>
        <v/>
      </c>
      <c r="G50" s="78"/>
      <c r="H50" s="13"/>
      <c r="I50" s="74" t="str">
        <f t="shared" si="2"/>
        <v/>
      </c>
      <c r="J50" s="75" t="str">
        <f t="shared" si="3"/>
        <v>NO</v>
      </c>
      <c r="K50" s="20"/>
      <c r="M50" s="76"/>
      <c r="N50" s="75" t="str">
        <f t="shared" si="4"/>
        <v>NO</v>
      </c>
      <c r="O50" s="76"/>
      <c r="P50" s="76"/>
      <c r="Q50" s="75" t="str">
        <f t="shared" si="5"/>
        <v/>
      </c>
      <c r="R50" s="75" t="str">
        <f t="shared" si="6"/>
        <v>NO</v>
      </c>
      <c r="S50" s="75"/>
      <c r="T50" s="75"/>
      <c r="U50" s="75" t="str">
        <f t="shared" si="7"/>
        <v/>
      </c>
      <c r="V50" s="76"/>
      <c r="W50" s="14"/>
    </row>
    <row r="51">
      <c r="A51" s="42" t="s">
        <v>268</v>
      </c>
      <c r="B51" s="37">
        <v>2015.0</v>
      </c>
      <c r="C51" s="69" t="s">
        <v>269</v>
      </c>
      <c r="D51" s="71" t="s">
        <v>95</v>
      </c>
      <c r="E51" s="13"/>
      <c r="F51" s="74" t="str">
        <f t="shared" si="1"/>
        <v/>
      </c>
      <c r="G51" s="78"/>
      <c r="H51" s="13"/>
      <c r="I51" s="74" t="str">
        <f t="shared" si="2"/>
        <v/>
      </c>
      <c r="J51" s="75" t="str">
        <f t="shared" si="3"/>
        <v>NO</v>
      </c>
      <c r="K51" s="20"/>
      <c r="L51" s="13"/>
      <c r="M51" s="76"/>
      <c r="N51" s="75" t="str">
        <f t="shared" si="4"/>
        <v>NO</v>
      </c>
      <c r="O51" s="76"/>
      <c r="P51" s="76"/>
      <c r="Q51" s="75" t="str">
        <f t="shared" si="5"/>
        <v/>
      </c>
      <c r="R51" s="75" t="str">
        <f t="shared" si="6"/>
        <v>NO</v>
      </c>
      <c r="S51" s="75"/>
      <c r="T51" s="75"/>
      <c r="U51" s="75" t="str">
        <f t="shared" si="7"/>
        <v/>
      </c>
      <c r="V51" s="76"/>
      <c r="W51" s="14"/>
    </row>
    <row r="52">
      <c r="A52" s="42" t="s">
        <v>270</v>
      </c>
      <c r="B52" s="37">
        <v>2013.0</v>
      </c>
      <c r="C52" s="69" t="s">
        <v>271</v>
      </c>
      <c r="D52" s="78"/>
      <c r="E52" s="13" t="s">
        <v>247</v>
      </c>
      <c r="F52" s="74" t="str">
        <f t="shared" si="1"/>
        <v>YES</v>
      </c>
      <c r="G52" s="78"/>
      <c r="H52" s="13" t="s">
        <v>247</v>
      </c>
      <c r="I52" s="74" t="str">
        <f t="shared" si="2"/>
        <v>YES</v>
      </c>
      <c r="J52" s="75" t="str">
        <f t="shared" si="3"/>
        <v>YES</v>
      </c>
      <c r="K52" s="37" t="s">
        <v>130</v>
      </c>
      <c r="L52" s="13" t="s">
        <v>7</v>
      </c>
      <c r="M52" s="75" t="s">
        <v>142</v>
      </c>
      <c r="N52" s="75" t="str">
        <f t="shared" si="4"/>
        <v>YES</v>
      </c>
      <c r="O52" s="75" t="s">
        <v>149</v>
      </c>
      <c r="P52" s="75"/>
      <c r="Q52" s="75" t="str">
        <f t="shared" si="5"/>
        <v/>
      </c>
      <c r="R52" s="75" t="str">
        <f t="shared" si="6"/>
        <v>NO</v>
      </c>
      <c r="S52" s="75"/>
      <c r="T52" s="75"/>
      <c r="U52" s="75" t="str">
        <f t="shared" si="7"/>
        <v/>
      </c>
      <c r="V52" s="76"/>
      <c r="W52" s="14"/>
    </row>
    <row r="53">
      <c r="A53" s="42" t="s">
        <v>272</v>
      </c>
      <c r="B53" s="37">
        <v>2016.0</v>
      </c>
      <c r="C53" s="69" t="s">
        <v>511</v>
      </c>
      <c r="D53" s="78"/>
      <c r="F53" s="74" t="str">
        <f t="shared" si="1"/>
        <v/>
      </c>
      <c r="G53" s="78"/>
      <c r="I53" s="74" t="str">
        <f t="shared" si="2"/>
        <v/>
      </c>
      <c r="J53" s="75" t="str">
        <f t="shared" si="3"/>
        <v>YES</v>
      </c>
      <c r="K53" s="37" t="s">
        <v>130</v>
      </c>
      <c r="M53" s="76"/>
      <c r="N53" s="75" t="str">
        <f t="shared" si="4"/>
        <v>YES</v>
      </c>
      <c r="O53" s="75" t="s">
        <v>131</v>
      </c>
      <c r="P53" s="75" t="s">
        <v>131</v>
      </c>
      <c r="Q53" s="75" t="str">
        <f t="shared" si="5"/>
        <v>YES</v>
      </c>
      <c r="R53" s="75" t="str">
        <f t="shared" si="6"/>
        <v>YES</v>
      </c>
      <c r="S53" s="75"/>
      <c r="T53" s="75"/>
      <c r="U53" s="75" t="str">
        <f t="shared" si="7"/>
        <v/>
      </c>
      <c r="V53" s="76"/>
      <c r="W53" s="14"/>
    </row>
    <row r="54">
      <c r="A54" s="42" t="s">
        <v>279</v>
      </c>
      <c r="B54" s="37">
        <v>2015.0</v>
      </c>
      <c r="C54" s="69" t="s">
        <v>280</v>
      </c>
      <c r="D54" s="78"/>
      <c r="F54" s="74" t="str">
        <f t="shared" si="1"/>
        <v/>
      </c>
      <c r="G54" s="71" t="s">
        <v>95</v>
      </c>
      <c r="I54" s="74" t="str">
        <f t="shared" si="2"/>
        <v/>
      </c>
      <c r="J54" s="75" t="str">
        <f t="shared" si="3"/>
        <v>NO</v>
      </c>
      <c r="K54" s="20"/>
      <c r="M54" s="76"/>
      <c r="N54" s="75" t="str">
        <f t="shared" si="4"/>
        <v>NO</v>
      </c>
      <c r="O54" s="76"/>
      <c r="P54" s="76"/>
      <c r="Q54" s="75" t="str">
        <f t="shared" si="5"/>
        <v/>
      </c>
      <c r="R54" s="75" t="str">
        <f t="shared" si="6"/>
        <v>NO</v>
      </c>
      <c r="S54" s="75"/>
      <c r="T54" s="75"/>
      <c r="U54" s="75" t="str">
        <f t="shared" si="7"/>
        <v/>
      </c>
      <c r="V54" s="76"/>
      <c r="W54" s="14"/>
    </row>
    <row r="55">
      <c r="A55" s="42" t="s">
        <v>281</v>
      </c>
      <c r="B55" s="37">
        <v>2011.0</v>
      </c>
      <c r="C55" s="69" t="s">
        <v>282</v>
      </c>
      <c r="D55" s="71" t="s">
        <v>95</v>
      </c>
      <c r="E55" s="13"/>
      <c r="F55" s="74" t="str">
        <f t="shared" si="1"/>
        <v/>
      </c>
      <c r="G55" s="78"/>
      <c r="H55" s="13"/>
      <c r="I55" s="74" t="str">
        <f t="shared" si="2"/>
        <v/>
      </c>
      <c r="J55" s="75" t="str">
        <f t="shared" si="3"/>
        <v>NO</v>
      </c>
      <c r="K55" s="20"/>
      <c r="M55" s="76"/>
      <c r="N55" s="75" t="str">
        <f t="shared" si="4"/>
        <v>NO</v>
      </c>
      <c r="O55" s="76"/>
      <c r="P55" s="76"/>
      <c r="Q55" s="75" t="str">
        <f t="shared" si="5"/>
        <v/>
      </c>
      <c r="R55" s="75" t="str">
        <f t="shared" si="6"/>
        <v>NO</v>
      </c>
      <c r="S55" s="75"/>
      <c r="T55" s="75"/>
      <c r="U55" s="75" t="str">
        <f t="shared" si="7"/>
        <v/>
      </c>
      <c r="V55" s="76"/>
      <c r="W55" s="14"/>
    </row>
    <row r="56">
      <c r="A56" s="42" t="s">
        <v>283</v>
      </c>
      <c r="B56" s="37">
        <v>2015.0</v>
      </c>
      <c r="C56" s="69" t="s">
        <v>284</v>
      </c>
      <c r="D56" s="78"/>
      <c r="E56" s="13" t="s">
        <v>247</v>
      </c>
      <c r="F56" s="74" t="str">
        <f t="shared" si="1"/>
        <v>YES</v>
      </c>
      <c r="G56" s="78"/>
      <c r="H56" s="13" t="s">
        <v>247</v>
      </c>
      <c r="I56" s="74" t="str">
        <f t="shared" si="2"/>
        <v>YES</v>
      </c>
      <c r="J56" s="75" t="str">
        <f t="shared" si="3"/>
        <v>YES</v>
      </c>
      <c r="K56" s="37" t="s">
        <v>199</v>
      </c>
      <c r="L56" s="13" t="s">
        <v>7</v>
      </c>
      <c r="M56" s="75" t="s">
        <v>142</v>
      </c>
      <c r="N56" s="75" t="str">
        <f t="shared" si="4"/>
        <v>YES</v>
      </c>
      <c r="O56" s="75" t="s">
        <v>149</v>
      </c>
      <c r="P56" s="75"/>
      <c r="Q56" s="75" t="str">
        <f t="shared" si="5"/>
        <v/>
      </c>
      <c r="R56" s="75" t="str">
        <f t="shared" si="6"/>
        <v>NO</v>
      </c>
      <c r="S56" s="75"/>
      <c r="T56" s="75"/>
      <c r="U56" s="75" t="str">
        <f t="shared" si="7"/>
        <v/>
      </c>
      <c r="V56" s="76"/>
      <c r="W56" s="14"/>
    </row>
    <row r="57">
      <c r="A57" s="42" t="s">
        <v>287</v>
      </c>
      <c r="B57" s="37">
        <v>2015.0</v>
      </c>
      <c r="C57" s="69" t="s">
        <v>288</v>
      </c>
      <c r="D57" s="78"/>
      <c r="F57" s="74" t="str">
        <f t="shared" si="1"/>
        <v/>
      </c>
      <c r="G57" s="78"/>
      <c r="I57" s="74" t="str">
        <f t="shared" si="2"/>
        <v/>
      </c>
      <c r="J57" s="75" t="str">
        <f t="shared" si="3"/>
        <v>YES</v>
      </c>
      <c r="K57" s="37" t="s">
        <v>130</v>
      </c>
      <c r="M57" s="76"/>
      <c r="N57" s="75" t="str">
        <f t="shared" si="4"/>
        <v>YES</v>
      </c>
      <c r="O57" s="75" t="s">
        <v>131</v>
      </c>
      <c r="P57" s="76"/>
      <c r="Q57" s="75" t="str">
        <f t="shared" si="5"/>
        <v/>
      </c>
      <c r="R57" s="75" t="str">
        <f t="shared" si="6"/>
        <v>YES</v>
      </c>
      <c r="S57" s="75"/>
      <c r="T57" s="75"/>
      <c r="U57" s="75" t="str">
        <f t="shared" si="7"/>
        <v/>
      </c>
      <c r="V57" s="76"/>
      <c r="W57" s="14"/>
    </row>
    <row r="58">
      <c r="A58" s="42" t="s">
        <v>293</v>
      </c>
      <c r="B58" s="37">
        <v>2015.0</v>
      </c>
      <c r="C58" s="69" t="s">
        <v>294</v>
      </c>
      <c r="D58" s="71" t="s">
        <v>95</v>
      </c>
      <c r="E58" s="13"/>
      <c r="F58" s="74" t="str">
        <f t="shared" si="1"/>
        <v/>
      </c>
      <c r="G58" s="78"/>
      <c r="H58" s="13"/>
      <c r="I58" s="74" t="str">
        <f t="shared" si="2"/>
        <v/>
      </c>
      <c r="J58" s="75" t="str">
        <f t="shared" si="3"/>
        <v>NO</v>
      </c>
      <c r="K58" s="20"/>
      <c r="M58" s="76"/>
      <c r="N58" s="75" t="str">
        <f t="shared" si="4"/>
        <v>NO</v>
      </c>
      <c r="O58" s="76"/>
      <c r="P58" s="76"/>
      <c r="Q58" s="75" t="str">
        <f t="shared" si="5"/>
        <v/>
      </c>
      <c r="R58" s="75" t="str">
        <f t="shared" si="6"/>
        <v>NO</v>
      </c>
      <c r="S58" s="75"/>
      <c r="T58" s="75"/>
      <c r="U58" s="75" t="str">
        <f t="shared" si="7"/>
        <v/>
      </c>
      <c r="V58" s="76"/>
      <c r="W58" s="14"/>
    </row>
    <row r="59">
      <c r="A59" s="42" t="s">
        <v>295</v>
      </c>
      <c r="B59" s="37">
        <v>2013.0</v>
      </c>
      <c r="C59" s="69" t="s">
        <v>296</v>
      </c>
      <c r="D59" s="71" t="s">
        <v>95</v>
      </c>
      <c r="E59" s="13"/>
      <c r="F59" s="74" t="str">
        <f t="shared" si="1"/>
        <v/>
      </c>
      <c r="G59" s="78"/>
      <c r="H59" s="13"/>
      <c r="I59" s="74" t="str">
        <f t="shared" si="2"/>
        <v/>
      </c>
      <c r="J59" s="75" t="str">
        <f t="shared" si="3"/>
        <v>NO</v>
      </c>
      <c r="K59" s="20"/>
      <c r="M59" s="76"/>
      <c r="N59" s="75" t="str">
        <f t="shared" si="4"/>
        <v>NO</v>
      </c>
      <c r="O59" s="76"/>
      <c r="P59" s="76"/>
      <c r="Q59" s="75" t="str">
        <f t="shared" si="5"/>
        <v/>
      </c>
      <c r="R59" s="75" t="str">
        <f t="shared" si="6"/>
        <v>NO</v>
      </c>
      <c r="S59" s="75"/>
      <c r="T59" s="75"/>
      <c r="U59" s="75" t="str">
        <f t="shared" si="7"/>
        <v/>
      </c>
      <c r="V59" s="76"/>
      <c r="W59" s="14"/>
    </row>
    <row r="60">
      <c r="A60" s="42" t="s">
        <v>297</v>
      </c>
      <c r="B60" s="37">
        <v>2015.0</v>
      </c>
      <c r="C60" s="69" t="s">
        <v>298</v>
      </c>
      <c r="D60" s="78"/>
      <c r="E60" s="13" t="s">
        <v>247</v>
      </c>
      <c r="F60" s="74" t="str">
        <f t="shared" si="1"/>
        <v>YES</v>
      </c>
      <c r="G60" s="78"/>
      <c r="H60" s="13" t="s">
        <v>247</v>
      </c>
      <c r="I60" s="74" t="str">
        <f t="shared" si="2"/>
        <v>YES</v>
      </c>
      <c r="J60" s="75" t="str">
        <f t="shared" si="3"/>
        <v>YES</v>
      </c>
      <c r="K60" s="37" t="s">
        <v>199</v>
      </c>
      <c r="L60" s="13" t="s">
        <v>7</v>
      </c>
      <c r="M60" s="75" t="s">
        <v>142</v>
      </c>
      <c r="N60" s="75" t="str">
        <f t="shared" si="4"/>
        <v>YES</v>
      </c>
      <c r="O60" s="75" t="s">
        <v>149</v>
      </c>
      <c r="P60" s="75"/>
      <c r="Q60" s="75" t="str">
        <f t="shared" si="5"/>
        <v/>
      </c>
      <c r="R60" s="75" t="str">
        <f t="shared" si="6"/>
        <v>NO</v>
      </c>
      <c r="S60" s="75"/>
      <c r="T60" s="75"/>
      <c r="U60" s="75" t="str">
        <f t="shared" si="7"/>
        <v/>
      </c>
      <c r="V60" s="76"/>
      <c r="W60" s="14"/>
    </row>
    <row r="61">
      <c r="A61" s="42" t="s">
        <v>300</v>
      </c>
      <c r="B61" s="37">
        <v>2016.0</v>
      </c>
      <c r="C61" s="69" t="s">
        <v>301</v>
      </c>
      <c r="D61" s="78"/>
      <c r="F61" s="74" t="str">
        <f t="shared" si="1"/>
        <v/>
      </c>
      <c r="G61" s="78"/>
      <c r="I61" s="74" t="str">
        <f t="shared" si="2"/>
        <v/>
      </c>
      <c r="J61" s="75" t="str">
        <f t="shared" si="3"/>
        <v>YES</v>
      </c>
      <c r="K61" s="37" t="s">
        <v>130</v>
      </c>
      <c r="M61" s="76"/>
      <c r="N61" s="75" t="str">
        <f t="shared" si="4"/>
        <v>YES</v>
      </c>
      <c r="O61" s="75" t="s">
        <v>131</v>
      </c>
      <c r="P61" s="76"/>
      <c r="Q61" s="75" t="str">
        <f t="shared" si="5"/>
        <v/>
      </c>
      <c r="R61" s="75" t="str">
        <f t="shared" si="6"/>
        <v>YES</v>
      </c>
      <c r="S61" s="75"/>
      <c r="T61" s="75"/>
      <c r="U61" s="75" t="str">
        <f t="shared" si="7"/>
        <v/>
      </c>
      <c r="V61" s="76"/>
      <c r="W61" s="14"/>
    </row>
    <row r="62">
      <c r="A62" s="42" t="s">
        <v>303</v>
      </c>
      <c r="B62" s="37">
        <v>2016.0</v>
      </c>
      <c r="C62" s="69" t="s">
        <v>304</v>
      </c>
      <c r="D62" s="71" t="s">
        <v>95</v>
      </c>
      <c r="E62" s="13"/>
      <c r="F62" s="74" t="str">
        <f t="shared" si="1"/>
        <v/>
      </c>
      <c r="G62" s="78"/>
      <c r="H62" s="13"/>
      <c r="I62" s="74" t="str">
        <f t="shared" si="2"/>
        <v/>
      </c>
      <c r="J62" s="75" t="str">
        <f t="shared" si="3"/>
        <v>NO</v>
      </c>
      <c r="K62" s="20"/>
      <c r="M62" s="76"/>
      <c r="N62" s="75" t="str">
        <f t="shared" si="4"/>
        <v>NO</v>
      </c>
      <c r="O62" s="76"/>
      <c r="P62" s="76"/>
      <c r="Q62" s="75" t="str">
        <f t="shared" si="5"/>
        <v/>
      </c>
      <c r="R62" s="75" t="str">
        <f t="shared" si="6"/>
        <v>NO</v>
      </c>
      <c r="S62" s="75"/>
      <c r="T62" s="75"/>
      <c r="U62" s="75" t="str">
        <f t="shared" si="7"/>
        <v/>
      </c>
      <c r="V62" s="76"/>
      <c r="W62" s="14"/>
    </row>
    <row r="63">
      <c r="A63" s="42" t="s">
        <v>305</v>
      </c>
      <c r="B63" s="37">
        <v>2015.0</v>
      </c>
      <c r="C63" s="69" t="s">
        <v>306</v>
      </c>
      <c r="D63" s="71" t="s">
        <v>95</v>
      </c>
      <c r="E63" s="13"/>
      <c r="F63" s="74" t="str">
        <f t="shared" si="1"/>
        <v/>
      </c>
      <c r="G63" s="78"/>
      <c r="H63" s="13"/>
      <c r="I63" s="74" t="str">
        <f t="shared" si="2"/>
        <v/>
      </c>
      <c r="J63" s="75" t="str">
        <f t="shared" si="3"/>
        <v>NO</v>
      </c>
      <c r="K63" s="20"/>
      <c r="M63" s="76"/>
      <c r="N63" s="75" t="str">
        <f t="shared" si="4"/>
        <v>NO</v>
      </c>
      <c r="O63" s="76"/>
      <c r="P63" s="76"/>
      <c r="Q63" s="75" t="str">
        <f t="shared" si="5"/>
        <v/>
      </c>
      <c r="R63" s="75" t="str">
        <f t="shared" si="6"/>
        <v>NO</v>
      </c>
      <c r="S63" s="75"/>
      <c r="T63" s="75"/>
      <c r="U63" s="75" t="str">
        <f t="shared" si="7"/>
        <v/>
      </c>
      <c r="V63" s="76"/>
      <c r="W63" s="14"/>
    </row>
    <row r="64">
      <c r="A64" s="42" t="s">
        <v>307</v>
      </c>
      <c r="B64" s="37">
        <v>2013.0</v>
      </c>
      <c r="C64" s="69" t="s">
        <v>308</v>
      </c>
      <c r="D64" s="78"/>
      <c r="E64" s="13" t="s">
        <v>247</v>
      </c>
      <c r="F64" s="74" t="str">
        <f t="shared" si="1"/>
        <v>YES</v>
      </c>
      <c r="G64" s="78"/>
      <c r="H64" s="13" t="s">
        <v>247</v>
      </c>
      <c r="I64" s="74" t="str">
        <f t="shared" si="2"/>
        <v>YES</v>
      </c>
      <c r="J64" s="75" t="str">
        <f t="shared" si="3"/>
        <v>YES</v>
      </c>
      <c r="K64" s="37" t="s">
        <v>130</v>
      </c>
      <c r="M64" s="76"/>
      <c r="N64" s="75" t="str">
        <f t="shared" si="4"/>
        <v>YES</v>
      </c>
      <c r="O64" s="75" t="s">
        <v>149</v>
      </c>
      <c r="P64" s="76"/>
      <c r="Q64" s="75" t="str">
        <f t="shared" si="5"/>
        <v/>
      </c>
      <c r="R64" s="75" t="str">
        <f t="shared" si="6"/>
        <v>NO</v>
      </c>
      <c r="S64" s="75"/>
      <c r="T64" s="75"/>
      <c r="U64" s="75" t="str">
        <f t="shared" si="7"/>
        <v/>
      </c>
      <c r="V64" s="76"/>
      <c r="W64" s="14"/>
    </row>
    <row r="65">
      <c r="A65" s="42" t="s">
        <v>309</v>
      </c>
      <c r="B65" s="37">
        <v>2015.0</v>
      </c>
      <c r="C65" s="69" t="s">
        <v>310</v>
      </c>
      <c r="D65" s="78"/>
      <c r="F65" s="74" t="str">
        <f t="shared" si="1"/>
        <v/>
      </c>
      <c r="G65" s="78"/>
      <c r="I65" s="74" t="str">
        <f t="shared" si="2"/>
        <v/>
      </c>
      <c r="J65" s="75" t="str">
        <f t="shared" si="3"/>
        <v>YES</v>
      </c>
      <c r="K65" s="37" t="s">
        <v>86</v>
      </c>
      <c r="M65" s="76"/>
      <c r="N65" s="75" t="str">
        <f t="shared" si="4"/>
        <v>NO</v>
      </c>
      <c r="O65" s="76"/>
      <c r="P65" s="76"/>
      <c r="Q65" s="75" t="str">
        <f t="shared" si="5"/>
        <v/>
      </c>
      <c r="R65" s="75" t="str">
        <f t="shared" si="6"/>
        <v>NO</v>
      </c>
      <c r="S65" s="75"/>
      <c r="T65" s="75"/>
      <c r="U65" s="75" t="str">
        <f t="shared" si="7"/>
        <v/>
      </c>
      <c r="V65" s="76"/>
      <c r="W65" s="14"/>
    </row>
    <row r="66">
      <c r="A66" s="42" t="s">
        <v>311</v>
      </c>
      <c r="B66" s="37">
        <v>2016.0</v>
      </c>
      <c r="C66" s="69" t="s">
        <v>312</v>
      </c>
      <c r="D66" s="71" t="s">
        <v>95</v>
      </c>
      <c r="E66" s="13"/>
      <c r="F66" s="74" t="str">
        <f t="shared" si="1"/>
        <v/>
      </c>
      <c r="G66" s="78"/>
      <c r="H66" s="13"/>
      <c r="I66" s="74" t="str">
        <f t="shared" si="2"/>
        <v/>
      </c>
      <c r="J66" s="75" t="str">
        <f t="shared" si="3"/>
        <v>NO</v>
      </c>
      <c r="K66" s="20"/>
      <c r="M66" s="76"/>
      <c r="N66" s="75" t="str">
        <f t="shared" si="4"/>
        <v>NO</v>
      </c>
      <c r="O66" s="76"/>
      <c r="P66" s="76"/>
      <c r="Q66" s="75" t="str">
        <f t="shared" si="5"/>
        <v/>
      </c>
      <c r="R66" s="75" t="str">
        <f t="shared" si="6"/>
        <v>NO</v>
      </c>
      <c r="S66" s="75"/>
      <c r="T66" s="75"/>
      <c r="U66" s="75" t="str">
        <f t="shared" si="7"/>
        <v/>
      </c>
      <c r="V66" s="76"/>
      <c r="W66" s="14"/>
    </row>
    <row r="67">
      <c r="A67" s="42" t="s">
        <v>313</v>
      </c>
      <c r="B67" s="37">
        <v>2015.0</v>
      </c>
      <c r="C67" s="69" t="s">
        <v>314</v>
      </c>
      <c r="D67" s="71" t="s">
        <v>95</v>
      </c>
      <c r="E67" s="13"/>
      <c r="F67" s="74" t="str">
        <f t="shared" si="1"/>
        <v/>
      </c>
      <c r="G67" s="78"/>
      <c r="H67" s="13"/>
      <c r="I67" s="74" t="str">
        <f t="shared" si="2"/>
        <v/>
      </c>
      <c r="J67" s="75" t="str">
        <f t="shared" si="3"/>
        <v>NO</v>
      </c>
      <c r="K67" s="20"/>
      <c r="M67" s="76"/>
      <c r="N67" s="75" t="str">
        <f t="shared" si="4"/>
        <v>NO</v>
      </c>
      <c r="O67" s="76"/>
      <c r="P67" s="76"/>
      <c r="Q67" s="75" t="str">
        <f t="shared" si="5"/>
        <v/>
      </c>
      <c r="R67" s="75" t="str">
        <f t="shared" si="6"/>
        <v>NO</v>
      </c>
      <c r="S67" s="75"/>
      <c r="T67" s="75"/>
      <c r="U67" s="75" t="str">
        <f t="shared" si="7"/>
        <v/>
      </c>
      <c r="V67" s="76"/>
      <c r="W67" s="14"/>
    </row>
    <row r="68">
      <c r="A68" s="42" t="s">
        <v>315</v>
      </c>
      <c r="B68" s="37">
        <v>2015.0</v>
      </c>
      <c r="C68" s="69" t="s">
        <v>316</v>
      </c>
      <c r="D68" s="78"/>
      <c r="F68" s="74" t="str">
        <f t="shared" si="1"/>
        <v/>
      </c>
      <c r="G68" s="78"/>
      <c r="I68" s="74" t="str">
        <f t="shared" si="2"/>
        <v/>
      </c>
      <c r="J68" s="75" t="str">
        <f t="shared" si="3"/>
        <v>YES</v>
      </c>
      <c r="K68" s="37" t="s">
        <v>199</v>
      </c>
      <c r="L68" s="13" t="s">
        <v>7</v>
      </c>
      <c r="M68" s="75" t="s">
        <v>142</v>
      </c>
      <c r="N68" s="75" t="str">
        <f t="shared" si="4"/>
        <v>YES</v>
      </c>
      <c r="O68" s="75" t="s">
        <v>149</v>
      </c>
      <c r="P68" s="75"/>
      <c r="Q68" s="75" t="str">
        <f t="shared" si="5"/>
        <v/>
      </c>
      <c r="R68" s="75" t="str">
        <f t="shared" si="6"/>
        <v>NO</v>
      </c>
      <c r="S68" s="75"/>
      <c r="T68" s="75"/>
      <c r="U68" s="75" t="str">
        <f t="shared" si="7"/>
        <v/>
      </c>
      <c r="V68" s="76"/>
      <c r="W68" s="14"/>
    </row>
    <row r="69">
      <c r="A69" s="42" t="s">
        <v>317</v>
      </c>
      <c r="B69" s="37">
        <v>2015.0</v>
      </c>
      <c r="C69" s="69" t="s">
        <v>318</v>
      </c>
      <c r="D69" s="78"/>
      <c r="E69" s="13" t="s">
        <v>247</v>
      </c>
      <c r="F69" s="74" t="str">
        <f t="shared" si="1"/>
        <v>YES</v>
      </c>
      <c r="G69" s="78"/>
      <c r="H69" s="13" t="s">
        <v>247</v>
      </c>
      <c r="I69" s="74" t="str">
        <f t="shared" si="2"/>
        <v>YES</v>
      </c>
      <c r="J69" s="75" t="str">
        <f t="shared" si="3"/>
        <v>YES</v>
      </c>
      <c r="K69" s="37" t="s">
        <v>130</v>
      </c>
      <c r="L69" s="13" t="s">
        <v>7</v>
      </c>
      <c r="M69" s="75" t="s">
        <v>142</v>
      </c>
      <c r="N69" s="75" t="str">
        <f t="shared" si="4"/>
        <v>YES</v>
      </c>
      <c r="O69" s="75" t="s">
        <v>149</v>
      </c>
      <c r="P69" s="75"/>
      <c r="Q69" s="75" t="str">
        <f t="shared" si="5"/>
        <v/>
      </c>
      <c r="R69" s="75" t="str">
        <f t="shared" si="6"/>
        <v>NO</v>
      </c>
      <c r="S69" s="75"/>
      <c r="T69" s="75"/>
      <c r="U69" s="75" t="str">
        <f t="shared" si="7"/>
        <v/>
      </c>
      <c r="V69" s="76"/>
      <c r="W69" s="14"/>
    </row>
    <row r="70">
      <c r="A70" s="42" t="s">
        <v>319</v>
      </c>
      <c r="B70" s="37">
        <v>2015.0</v>
      </c>
      <c r="C70" s="69" t="s">
        <v>320</v>
      </c>
      <c r="D70" s="71" t="s">
        <v>95</v>
      </c>
      <c r="E70" s="13"/>
      <c r="F70" s="74" t="str">
        <f t="shared" si="1"/>
        <v/>
      </c>
      <c r="G70" s="78"/>
      <c r="H70" s="13"/>
      <c r="I70" s="74" t="str">
        <f t="shared" si="2"/>
        <v/>
      </c>
      <c r="J70" s="75" t="str">
        <f t="shared" si="3"/>
        <v>NO</v>
      </c>
      <c r="K70" s="20"/>
      <c r="M70" s="76"/>
      <c r="N70" s="75" t="str">
        <f t="shared" si="4"/>
        <v>NO</v>
      </c>
      <c r="O70" s="76"/>
      <c r="P70" s="76"/>
      <c r="Q70" s="75" t="str">
        <f t="shared" si="5"/>
        <v/>
      </c>
      <c r="R70" s="75" t="str">
        <f t="shared" si="6"/>
        <v>NO</v>
      </c>
      <c r="S70" s="75"/>
      <c r="T70" s="75"/>
      <c r="U70" s="75" t="str">
        <f t="shared" si="7"/>
        <v/>
      </c>
      <c r="V70" s="76"/>
      <c r="W70" s="14"/>
    </row>
    <row r="71">
      <c r="A71" s="42" t="s">
        <v>321</v>
      </c>
      <c r="B71" s="37">
        <v>2015.0</v>
      </c>
      <c r="C71" s="69" t="s">
        <v>322</v>
      </c>
      <c r="D71" s="78"/>
      <c r="F71" s="74" t="str">
        <f t="shared" si="1"/>
        <v/>
      </c>
      <c r="G71" s="78"/>
      <c r="I71" s="74" t="str">
        <f t="shared" si="2"/>
        <v/>
      </c>
      <c r="J71" s="75" t="str">
        <f t="shared" si="3"/>
        <v>YES</v>
      </c>
      <c r="K71" s="37" t="s">
        <v>130</v>
      </c>
      <c r="M71" s="76"/>
      <c r="N71" s="75" t="str">
        <f t="shared" si="4"/>
        <v>YES</v>
      </c>
      <c r="O71" s="75" t="s">
        <v>131</v>
      </c>
      <c r="P71" s="76"/>
      <c r="Q71" s="75" t="str">
        <f t="shared" si="5"/>
        <v/>
      </c>
      <c r="R71" s="75" t="str">
        <f t="shared" si="6"/>
        <v>YES</v>
      </c>
      <c r="S71" s="75"/>
      <c r="T71" s="75"/>
      <c r="U71" s="75" t="str">
        <f t="shared" si="7"/>
        <v/>
      </c>
      <c r="V71" s="76"/>
      <c r="W71" s="14"/>
    </row>
    <row r="72">
      <c r="A72" s="42" t="s">
        <v>324</v>
      </c>
      <c r="B72" s="37">
        <v>2015.0</v>
      </c>
      <c r="C72" s="69" t="s">
        <v>325</v>
      </c>
      <c r="D72" s="71" t="s">
        <v>95</v>
      </c>
      <c r="E72" s="13"/>
      <c r="F72" s="74" t="str">
        <f t="shared" si="1"/>
        <v/>
      </c>
      <c r="G72" s="78"/>
      <c r="H72" s="13"/>
      <c r="I72" s="74" t="str">
        <f t="shared" si="2"/>
        <v/>
      </c>
      <c r="J72" s="75" t="str">
        <f t="shared" si="3"/>
        <v>NO</v>
      </c>
      <c r="K72" s="20"/>
      <c r="M72" s="76"/>
      <c r="N72" s="75" t="str">
        <f t="shared" si="4"/>
        <v>NO</v>
      </c>
      <c r="O72" s="76"/>
      <c r="P72" s="76"/>
      <c r="Q72" s="75" t="str">
        <f t="shared" si="5"/>
        <v/>
      </c>
      <c r="R72" s="75" t="str">
        <f t="shared" si="6"/>
        <v>NO</v>
      </c>
      <c r="S72" s="75"/>
      <c r="T72" s="75"/>
      <c r="U72" s="75" t="str">
        <f t="shared" si="7"/>
        <v/>
      </c>
      <c r="V72" s="76"/>
      <c r="W72" s="14"/>
    </row>
    <row r="73">
      <c r="A73" s="42" t="s">
        <v>326</v>
      </c>
      <c r="B73" s="37">
        <v>2014.0</v>
      </c>
      <c r="C73" s="69" t="s">
        <v>327</v>
      </c>
      <c r="D73" s="78"/>
      <c r="E73" s="13" t="s">
        <v>247</v>
      </c>
      <c r="F73" s="74" t="str">
        <f t="shared" si="1"/>
        <v>YES</v>
      </c>
      <c r="G73" s="78"/>
      <c r="H73" s="13" t="s">
        <v>247</v>
      </c>
      <c r="I73" s="74" t="str">
        <f t="shared" si="2"/>
        <v>YES</v>
      </c>
      <c r="J73" s="75" t="str">
        <f t="shared" si="3"/>
        <v>YES</v>
      </c>
      <c r="K73" s="37" t="s">
        <v>86</v>
      </c>
      <c r="M73" s="76"/>
      <c r="N73" s="75" t="str">
        <f t="shared" si="4"/>
        <v>NO</v>
      </c>
      <c r="O73" s="76"/>
      <c r="P73" s="76"/>
      <c r="Q73" s="75" t="str">
        <f t="shared" si="5"/>
        <v/>
      </c>
      <c r="R73" s="75" t="str">
        <f t="shared" si="6"/>
        <v>NO</v>
      </c>
      <c r="S73" s="75"/>
      <c r="T73" s="75"/>
      <c r="U73" s="75" t="str">
        <f t="shared" si="7"/>
        <v/>
      </c>
      <c r="V73" s="76"/>
      <c r="W73" s="14"/>
    </row>
    <row r="74">
      <c r="A74" s="42" t="s">
        <v>328</v>
      </c>
      <c r="B74" s="37">
        <v>2016.0</v>
      </c>
      <c r="C74" s="69" t="s">
        <v>329</v>
      </c>
      <c r="D74" s="71" t="s">
        <v>95</v>
      </c>
      <c r="E74" s="13"/>
      <c r="F74" s="74" t="str">
        <f t="shared" si="1"/>
        <v/>
      </c>
      <c r="G74" s="78"/>
      <c r="H74" s="13"/>
      <c r="I74" s="74" t="str">
        <f t="shared" si="2"/>
        <v/>
      </c>
      <c r="J74" s="75" t="str">
        <f t="shared" si="3"/>
        <v>NO</v>
      </c>
      <c r="K74" s="20"/>
      <c r="M74" s="76"/>
      <c r="N74" s="75" t="str">
        <f t="shared" si="4"/>
        <v>NO</v>
      </c>
      <c r="O74" s="76"/>
      <c r="P74" s="76"/>
      <c r="Q74" s="75" t="str">
        <f t="shared" si="5"/>
        <v/>
      </c>
      <c r="R74" s="75" t="str">
        <f t="shared" si="6"/>
        <v>NO</v>
      </c>
      <c r="S74" s="75"/>
      <c r="T74" s="75"/>
      <c r="U74" s="75" t="str">
        <f t="shared" si="7"/>
        <v/>
      </c>
      <c r="V74" s="76"/>
      <c r="W74" s="14"/>
    </row>
    <row r="75">
      <c r="A75" s="42" t="s">
        <v>330</v>
      </c>
      <c r="B75" s="37">
        <v>2015.0</v>
      </c>
      <c r="C75" s="69" t="s">
        <v>331</v>
      </c>
      <c r="D75" s="78"/>
      <c r="E75" s="13" t="s">
        <v>247</v>
      </c>
      <c r="F75" s="74" t="str">
        <f t="shared" si="1"/>
        <v>YES</v>
      </c>
      <c r="G75" s="78"/>
      <c r="H75" s="13" t="s">
        <v>247</v>
      </c>
      <c r="I75" s="74" t="str">
        <f t="shared" si="2"/>
        <v>YES</v>
      </c>
      <c r="J75" s="75" t="str">
        <f t="shared" si="3"/>
        <v>YES</v>
      </c>
      <c r="K75" s="37" t="s">
        <v>86</v>
      </c>
      <c r="L75" s="13" t="s">
        <v>32</v>
      </c>
      <c r="M75" s="75" t="s">
        <v>142</v>
      </c>
      <c r="N75" s="75" t="str">
        <f t="shared" si="4"/>
        <v>NO</v>
      </c>
      <c r="O75" s="76"/>
      <c r="P75" s="75"/>
      <c r="Q75" s="75" t="str">
        <f t="shared" si="5"/>
        <v/>
      </c>
      <c r="R75" s="75" t="str">
        <f t="shared" si="6"/>
        <v>NO</v>
      </c>
      <c r="S75" s="75"/>
      <c r="T75" s="75"/>
      <c r="U75" s="75" t="str">
        <f t="shared" si="7"/>
        <v/>
      </c>
      <c r="V75" s="76"/>
      <c r="W75" s="14"/>
    </row>
    <row r="76">
      <c r="A76" s="42" t="s">
        <v>333</v>
      </c>
      <c r="B76" s="37">
        <v>2016.0</v>
      </c>
      <c r="C76" s="69" t="s">
        <v>608</v>
      </c>
      <c r="D76" s="78"/>
      <c r="F76" s="74" t="str">
        <f t="shared" si="1"/>
        <v/>
      </c>
      <c r="G76" s="78"/>
      <c r="I76" s="74" t="str">
        <f t="shared" si="2"/>
        <v/>
      </c>
      <c r="J76" s="75" t="str">
        <f t="shared" si="3"/>
        <v>YES</v>
      </c>
      <c r="K76" s="37" t="s">
        <v>130</v>
      </c>
      <c r="L76" s="13" t="s">
        <v>7</v>
      </c>
      <c r="M76" s="75" t="s">
        <v>142</v>
      </c>
      <c r="N76" s="75" t="str">
        <f t="shared" si="4"/>
        <v>YES</v>
      </c>
      <c r="O76" s="75" t="s">
        <v>131</v>
      </c>
      <c r="P76" s="75"/>
      <c r="Q76" s="75" t="str">
        <f t="shared" si="5"/>
        <v/>
      </c>
      <c r="R76" s="75" t="str">
        <f t="shared" si="6"/>
        <v>YES</v>
      </c>
      <c r="S76" s="75"/>
      <c r="T76" s="75"/>
      <c r="U76" s="75" t="str">
        <f t="shared" si="7"/>
        <v/>
      </c>
      <c r="V76" s="76"/>
      <c r="W76" s="14"/>
    </row>
    <row r="77">
      <c r="A77" s="42" t="s">
        <v>337</v>
      </c>
      <c r="B77" s="37">
        <v>2015.0</v>
      </c>
      <c r="C77" s="69" t="s">
        <v>338</v>
      </c>
      <c r="D77" s="71" t="s">
        <v>95</v>
      </c>
      <c r="E77" s="13" t="s">
        <v>95</v>
      </c>
      <c r="F77" s="74" t="str">
        <f t="shared" si="1"/>
        <v>YES</v>
      </c>
      <c r="G77" s="78"/>
      <c r="H77" s="13" t="s">
        <v>247</v>
      </c>
      <c r="I77" s="74" t="str">
        <f t="shared" si="2"/>
        <v>YES</v>
      </c>
      <c r="J77" s="75" t="str">
        <f t="shared" si="3"/>
        <v>NO</v>
      </c>
      <c r="K77" s="20"/>
      <c r="M77" s="76"/>
      <c r="N77" s="75" t="str">
        <f t="shared" si="4"/>
        <v>NO</v>
      </c>
      <c r="O77" s="76"/>
      <c r="P77" s="76"/>
      <c r="Q77" s="75" t="str">
        <f t="shared" si="5"/>
        <v/>
      </c>
      <c r="R77" s="75" t="str">
        <f t="shared" si="6"/>
        <v>NO</v>
      </c>
      <c r="S77" s="75"/>
      <c r="T77" s="75"/>
      <c r="U77" s="75" t="str">
        <f t="shared" si="7"/>
        <v/>
      </c>
      <c r="V77" s="76"/>
      <c r="W77" s="14"/>
    </row>
    <row r="78">
      <c r="A78" s="42" t="s">
        <v>339</v>
      </c>
      <c r="B78" s="37">
        <v>2015.0</v>
      </c>
      <c r="C78" s="69" t="s">
        <v>340</v>
      </c>
      <c r="D78" s="78"/>
      <c r="E78" s="13" t="s">
        <v>247</v>
      </c>
      <c r="F78" s="74" t="str">
        <f t="shared" si="1"/>
        <v>YES</v>
      </c>
      <c r="G78" s="78"/>
      <c r="H78" s="13" t="s">
        <v>247</v>
      </c>
      <c r="I78" s="74" t="str">
        <f t="shared" si="2"/>
        <v>YES</v>
      </c>
      <c r="J78" s="75" t="str">
        <f t="shared" si="3"/>
        <v>YES</v>
      </c>
      <c r="K78" s="37" t="s">
        <v>91</v>
      </c>
      <c r="M78" s="76"/>
      <c r="N78" s="75" t="str">
        <f t="shared" si="4"/>
        <v>NO</v>
      </c>
      <c r="O78" s="76"/>
      <c r="P78" s="76"/>
      <c r="Q78" s="75" t="str">
        <f t="shared" si="5"/>
        <v/>
      </c>
      <c r="R78" s="75" t="str">
        <f t="shared" si="6"/>
        <v>NO</v>
      </c>
      <c r="S78" s="75"/>
      <c r="T78" s="75"/>
      <c r="U78" s="75" t="str">
        <f t="shared" si="7"/>
        <v/>
      </c>
      <c r="V78" s="76"/>
      <c r="W78" s="14"/>
    </row>
    <row r="79">
      <c r="A79" s="98" t="s">
        <v>341</v>
      </c>
      <c r="B79" s="37">
        <v>2015.0</v>
      </c>
      <c r="C79" s="69" t="s">
        <v>342</v>
      </c>
      <c r="D79" s="78"/>
      <c r="F79" s="74" t="str">
        <f t="shared" si="1"/>
        <v/>
      </c>
      <c r="G79" s="78"/>
      <c r="I79" s="74" t="str">
        <f t="shared" si="2"/>
        <v/>
      </c>
      <c r="J79" s="75" t="str">
        <f t="shared" si="3"/>
        <v>YES</v>
      </c>
      <c r="K79" s="37" t="s">
        <v>130</v>
      </c>
      <c r="M79" s="76"/>
      <c r="N79" s="75" t="str">
        <f t="shared" si="4"/>
        <v>YES</v>
      </c>
      <c r="O79" s="75" t="s">
        <v>131</v>
      </c>
      <c r="P79" s="76"/>
      <c r="Q79" s="75" t="str">
        <f t="shared" si="5"/>
        <v/>
      </c>
      <c r="R79" s="75" t="str">
        <f t="shared" si="6"/>
        <v>YES</v>
      </c>
      <c r="S79" s="75" t="s">
        <v>131</v>
      </c>
      <c r="T79" s="75" t="s">
        <v>131</v>
      </c>
      <c r="U79" s="75" t="str">
        <f t="shared" si="7"/>
        <v>YES</v>
      </c>
      <c r="V79" s="75" t="s">
        <v>285</v>
      </c>
      <c r="W79" s="14"/>
    </row>
    <row r="80">
      <c r="A80" s="42" t="s">
        <v>345</v>
      </c>
      <c r="B80" s="37">
        <v>2015.0</v>
      </c>
      <c r="C80" s="69" t="s">
        <v>346</v>
      </c>
      <c r="D80" s="78"/>
      <c r="F80" s="74" t="str">
        <f t="shared" si="1"/>
        <v/>
      </c>
      <c r="G80" s="78"/>
      <c r="I80" s="74" t="str">
        <f t="shared" si="2"/>
        <v/>
      </c>
      <c r="J80" s="75" t="str">
        <f t="shared" si="3"/>
        <v>YES</v>
      </c>
      <c r="K80" s="37" t="s">
        <v>91</v>
      </c>
      <c r="M80" s="76"/>
      <c r="N80" s="75" t="str">
        <f t="shared" si="4"/>
        <v>NO</v>
      </c>
      <c r="O80" s="76"/>
      <c r="P80" s="76"/>
      <c r="Q80" s="75" t="str">
        <f t="shared" si="5"/>
        <v/>
      </c>
      <c r="R80" s="75" t="str">
        <f t="shared" si="6"/>
        <v>NO</v>
      </c>
      <c r="S80" s="75"/>
      <c r="T80" s="75"/>
      <c r="U80" s="75" t="str">
        <f t="shared" si="7"/>
        <v/>
      </c>
      <c r="V80" s="76"/>
      <c r="W80" s="14"/>
    </row>
    <row r="81">
      <c r="A81" s="42" t="s">
        <v>347</v>
      </c>
      <c r="B81" s="37">
        <v>2015.0</v>
      </c>
      <c r="C81" s="69" t="s">
        <v>348</v>
      </c>
      <c r="D81" s="71" t="s">
        <v>95</v>
      </c>
      <c r="E81" s="13"/>
      <c r="F81" s="74" t="str">
        <f t="shared" si="1"/>
        <v/>
      </c>
      <c r="G81" s="78"/>
      <c r="H81" s="13"/>
      <c r="I81" s="74" t="str">
        <f t="shared" si="2"/>
        <v/>
      </c>
      <c r="J81" s="75" t="str">
        <f t="shared" si="3"/>
        <v>NO</v>
      </c>
      <c r="K81" s="20"/>
      <c r="M81" s="76"/>
      <c r="N81" s="75" t="str">
        <f t="shared" si="4"/>
        <v>NO</v>
      </c>
      <c r="O81" s="76"/>
      <c r="P81" s="76"/>
      <c r="Q81" s="75" t="str">
        <f t="shared" si="5"/>
        <v/>
      </c>
      <c r="R81" s="75" t="str">
        <f t="shared" si="6"/>
        <v>NO</v>
      </c>
      <c r="S81" s="75"/>
      <c r="T81" s="75"/>
      <c r="U81" s="75" t="str">
        <f t="shared" si="7"/>
        <v/>
      </c>
      <c r="V81" s="76"/>
      <c r="W81" s="14"/>
    </row>
    <row r="82">
      <c r="A82" s="42" t="s">
        <v>349</v>
      </c>
      <c r="B82" s="37">
        <v>2014.0</v>
      </c>
      <c r="C82" s="69" t="s">
        <v>350</v>
      </c>
      <c r="D82" s="71" t="s">
        <v>95</v>
      </c>
      <c r="E82" s="13" t="s">
        <v>95</v>
      </c>
      <c r="F82" s="74" t="str">
        <f t="shared" si="1"/>
        <v>YES</v>
      </c>
      <c r="G82" s="78"/>
      <c r="H82" s="13" t="s">
        <v>247</v>
      </c>
      <c r="I82" s="74" t="str">
        <f t="shared" si="2"/>
        <v>YES</v>
      </c>
      <c r="J82" s="75" t="str">
        <f t="shared" si="3"/>
        <v>NO</v>
      </c>
      <c r="K82" s="20"/>
      <c r="M82" s="76"/>
      <c r="N82" s="75" t="str">
        <f t="shared" si="4"/>
        <v>NO</v>
      </c>
      <c r="O82" s="76"/>
      <c r="P82" s="76"/>
      <c r="Q82" s="75" t="str">
        <f t="shared" si="5"/>
        <v/>
      </c>
      <c r="R82" s="75" t="str">
        <f t="shared" si="6"/>
        <v>NO</v>
      </c>
      <c r="S82" s="75"/>
      <c r="T82" s="75"/>
      <c r="U82" s="75" t="str">
        <f t="shared" si="7"/>
        <v/>
      </c>
      <c r="V82" s="76"/>
      <c r="W82" s="14"/>
    </row>
    <row r="83">
      <c r="A83" s="42" t="s">
        <v>351</v>
      </c>
      <c r="B83" s="37">
        <v>2015.0</v>
      </c>
      <c r="C83" s="69" t="s">
        <v>352</v>
      </c>
      <c r="D83" s="78"/>
      <c r="F83" s="74" t="str">
        <f t="shared" si="1"/>
        <v/>
      </c>
      <c r="G83" s="78"/>
      <c r="I83" s="74" t="str">
        <f t="shared" si="2"/>
        <v/>
      </c>
      <c r="J83" s="75" t="str">
        <f t="shared" si="3"/>
        <v>YES</v>
      </c>
      <c r="K83" s="37" t="s">
        <v>199</v>
      </c>
      <c r="M83" s="76"/>
      <c r="N83" s="75" t="str">
        <f t="shared" si="4"/>
        <v>YES</v>
      </c>
      <c r="O83" s="75" t="s">
        <v>149</v>
      </c>
      <c r="P83" s="75" t="s">
        <v>149</v>
      </c>
      <c r="Q83" s="75" t="str">
        <f t="shared" si="5"/>
        <v>YES</v>
      </c>
      <c r="R83" s="75" t="str">
        <f t="shared" si="6"/>
        <v>NO</v>
      </c>
      <c r="S83" s="75"/>
      <c r="T83" s="75"/>
      <c r="U83" s="75" t="str">
        <f t="shared" si="7"/>
        <v/>
      </c>
      <c r="V83" s="76"/>
      <c r="W83" s="14"/>
    </row>
    <row r="84">
      <c r="A84" s="42" t="s">
        <v>353</v>
      </c>
      <c r="B84" s="37">
        <v>2014.0</v>
      </c>
      <c r="C84" s="69" t="s">
        <v>354</v>
      </c>
      <c r="D84" s="78"/>
      <c r="F84" s="74" t="str">
        <f t="shared" si="1"/>
        <v/>
      </c>
      <c r="G84" s="78"/>
      <c r="I84" s="74" t="str">
        <f t="shared" si="2"/>
        <v/>
      </c>
      <c r="J84" s="75" t="str">
        <f t="shared" si="3"/>
        <v>YES</v>
      </c>
      <c r="K84" s="37" t="s">
        <v>91</v>
      </c>
      <c r="M84" s="76"/>
      <c r="N84" s="75" t="str">
        <f t="shared" si="4"/>
        <v>NO</v>
      </c>
      <c r="O84" s="76"/>
      <c r="P84" s="76"/>
      <c r="Q84" s="75" t="str">
        <f t="shared" si="5"/>
        <v/>
      </c>
      <c r="R84" s="75" t="str">
        <f t="shared" si="6"/>
        <v>NO</v>
      </c>
      <c r="S84" s="75"/>
      <c r="T84" s="75"/>
      <c r="U84" s="75" t="str">
        <f t="shared" si="7"/>
        <v/>
      </c>
      <c r="V84" s="76"/>
      <c r="W84" s="14"/>
    </row>
    <row r="85">
      <c r="A85" s="42" t="s">
        <v>355</v>
      </c>
      <c r="B85" s="37">
        <v>2012.0</v>
      </c>
      <c r="C85" s="69" t="s">
        <v>356</v>
      </c>
      <c r="D85" s="71" t="s">
        <v>95</v>
      </c>
      <c r="E85" s="13" t="s">
        <v>95</v>
      </c>
      <c r="F85" s="74" t="str">
        <f t="shared" si="1"/>
        <v>YES</v>
      </c>
      <c r="G85" s="78"/>
      <c r="H85" s="13" t="s">
        <v>247</v>
      </c>
      <c r="I85" s="74" t="str">
        <f t="shared" si="2"/>
        <v>YES</v>
      </c>
      <c r="J85" s="75" t="str">
        <f t="shared" si="3"/>
        <v>NO</v>
      </c>
      <c r="K85" s="20"/>
      <c r="M85" s="76"/>
      <c r="N85" s="75" t="str">
        <f t="shared" si="4"/>
        <v>NO</v>
      </c>
      <c r="O85" s="76"/>
      <c r="P85" s="76"/>
      <c r="Q85" s="75" t="str">
        <f t="shared" si="5"/>
        <v/>
      </c>
      <c r="R85" s="75" t="str">
        <f t="shared" si="6"/>
        <v>NO</v>
      </c>
      <c r="S85" s="75"/>
      <c r="T85" s="75"/>
      <c r="U85" s="75" t="str">
        <f t="shared" si="7"/>
        <v/>
      </c>
      <c r="V85" s="76"/>
      <c r="W85" s="14"/>
    </row>
    <row r="86">
      <c r="A86" s="42" t="s">
        <v>357</v>
      </c>
      <c r="B86" s="37">
        <v>2015.0</v>
      </c>
      <c r="C86" s="69" t="s">
        <v>358</v>
      </c>
      <c r="D86" s="78"/>
      <c r="F86" s="74" t="str">
        <f t="shared" si="1"/>
        <v/>
      </c>
      <c r="G86" s="78"/>
      <c r="I86" s="74" t="str">
        <f t="shared" si="2"/>
        <v/>
      </c>
      <c r="J86" s="75" t="str">
        <f t="shared" si="3"/>
        <v>YES</v>
      </c>
      <c r="K86" s="37" t="s">
        <v>86</v>
      </c>
      <c r="M86" s="76"/>
      <c r="N86" s="75" t="str">
        <f t="shared" si="4"/>
        <v>NO</v>
      </c>
      <c r="O86" s="76"/>
      <c r="P86" s="76"/>
      <c r="Q86" s="75" t="str">
        <f t="shared" si="5"/>
        <v/>
      </c>
      <c r="R86" s="75" t="str">
        <f t="shared" si="6"/>
        <v>NO</v>
      </c>
      <c r="S86" s="75"/>
      <c r="T86" s="75"/>
      <c r="U86" s="75" t="str">
        <f t="shared" si="7"/>
        <v/>
      </c>
      <c r="V86" s="76"/>
      <c r="W86" s="14"/>
    </row>
    <row r="87">
      <c r="A87" s="42" t="s">
        <v>359</v>
      </c>
      <c r="B87" s="37">
        <v>2014.0</v>
      </c>
      <c r="C87" s="69" t="s">
        <v>360</v>
      </c>
      <c r="D87" s="78"/>
      <c r="F87" s="74" t="str">
        <f t="shared" si="1"/>
        <v/>
      </c>
      <c r="G87" s="78"/>
      <c r="I87" s="74" t="str">
        <f t="shared" si="2"/>
        <v/>
      </c>
      <c r="J87" s="75" t="str">
        <f t="shared" si="3"/>
        <v>YES</v>
      </c>
      <c r="K87" s="37" t="s">
        <v>86</v>
      </c>
      <c r="M87" s="76"/>
      <c r="N87" s="75" t="str">
        <f t="shared" si="4"/>
        <v>NO</v>
      </c>
      <c r="O87" s="76"/>
      <c r="P87" s="76"/>
      <c r="Q87" s="75" t="str">
        <f t="shared" si="5"/>
        <v/>
      </c>
      <c r="R87" s="75" t="str">
        <f t="shared" si="6"/>
        <v>NO</v>
      </c>
      <c r="S87" s="75"/>
      <c r="T87" s="75"/>
      <c r="U87" s="75" t="str">
        <f t="shared" si="7"/>
        <v/>
      </c>
      <c r="V87" s="76"/>
      <c r="W87" s="14"/>
    </row>
    <row r="88">
      <c r="A88" s="42" t="s">
        <v>361</v>
      </c>
      <c r="B88" s="37">
        <v>2015.0</v>
      </c>
      <c r="C88" s="69" t="s">
        <v>362</v>
      </c>
      <c r="D88" s="78"/>
      <c r="E88" s="13" t="s">
        <v>247</v>
      </c>
      <c r="F88" s="74" t="str">
        <f t="shared" si="1"/>
        <v>YES</v>
      </c>
      <c r="G88" s="78"/>
      <c r="H88" s="13" t="s">
        <v>247</v>
      </c>
      <c r="I88" s="74" t="str">
        <f t="shared" si="2"/>
        <v>YES</v>
      </c>
      <c r="J88" s="75" t="str">
        <f t="shared" si="3"/>
        <v>YES</v>
      </c>
      <c r="K88" s="37" t="s">
        <v>199</v>
      </c>
      <c r="M88" s="76"/>
      <c r="N88" s="75" t="str">
        <f t="shared" si="4"/>
        <v>YES</v>
      </c>
      <c r="O88" s="75" t="s">
        <v>149</v>
      </c>
      <c r="P88" s="75" t="s">
        <v>149</v>
      </c>
      <c r="Q88" s="75" t="str">
        <f t="shared" si="5"/>
        <v>YES</v>
      </c>
      <c r="R88" s="75" t="str">
        <f t="shared" si="6"/>
        <v>NO</v>
      </c>
      <c r="S88" s="75"/>
      <c r="T88" s="75"/>
      <c r="U88" s="75" t="str">
        <f t="shared" si="7"/>
        <v/>
      </c>
      <c r="V88" s="76"/>
      <c r="W88" s="14"/>
    </row>
    <row r="89">
      <c r="A89" s="42" t="s">
        <v>363</v>
      </c>
      <c r="B89" s="37">
        <v>2013.0</v>
      </c>
      <c r="C89" s="69" t="s">
        <v>364</v>
      </c>
      <c r="D89" s="78"/>
      <c r="F89" s="74" t="str">
        <f t="shared" si="1"/>
        <v/>
      </c>
      <c r="G89" s="78"/>
      <c r="I89" s="74" t="str">
        <f t="shared" si="2"/>
        <v/>
      </c>
      <c r="J89" s="75" t="str">
        <f t="shared" si="3"/>
        <v>YES</v>
      </c>
      <c r="K89" s="37" t="s">
        <v>130</v>
      </c>
      <c r="M89" s="76"/>
      <c r="N89" s="75" t="str">
        <f t="shared" si="4"/>
        <v>YES</v>
      </c>
      <c r="O89" s="75" t="s">
        <v>131</v>
      </c>
      <c r="P89" s="75" t="s">
        <v>131</v>
      </c>
      <c r="Q89" s="75" t="str">
        <f t="shared" si="5"/>
        <v>YES</v>
      </c>
      <c r="R89" s="75" t="str">
        <f t="shared" si="6"/>
        <v>YES</v>
      </c>
      <c r="S89" s="75"/>
      <c r="T89" s="75"/>
      <c r="U89" s="75" t="str">
        <f t="shared" si="7"/>
        <v/>
      </c>
      <c r="V89" s="76"/>
      <c r="W89" s="14"/>
    </row>
    <row r="90">
      <c r="A90" s="42" t="s">
        <v>368</v>
      </c>
      <c r="B90" s="37">
        <v>2014.0</v>
      </c>
      <c r="C90" s="69" t="s">
        <v>369</v>
      </c>
      <c r="D90" s="78"/>
      <c r="F90" s="74" t="str">
        <f t="shared" si="1"/>
        <v/>
      </c>
      <c r="G90" s="78"/>
      <c r="I90" s="74" t="str">
        <f t="shared" si="2"/>
        <v/>
      </c>
      <c r="J90" s="75" t="str">
        <f t="shared" si="3"/>
        <v>YES</v>
      </c>
      <c r="K90" s="37" t="s">
        <v>91</v>
      </c>
      <c r="M90" s="76"/>
      <c r="N90" s="75" t="str">
        <f t="shared" si="4"/>
        <v>NO</v>
      </c>
      <c r="O90" s="76"/>
      <c r="P90" s="76"/>
      <c r="Q90" s="75" t="str">
        <f t="shared" si="5"/>
        <v/>
      </c>
      <c r="R90" s="75" t="str">
        <f t="shared" si="6"/>
        <v>NO</v>
      </c>
      <c r="S90" s="75"/>
      <c r="T90" s="75"/>
      <c r="U90" s="75" t="str">
        <f t="shared" si="7"/>
        <v/>
      </c>
      <c r="V90" s="76"/>
      <c r="W90" s="14"/>
    </row>
    <row r="91">
      <c r="A91" s="42" t="s">
        <v>370</v>
      </c>
      <c r="B91" s="37">
        <v>2016.0</v>
      </c>
      <c r="C91" s="69" t="s">
        <v>371</v>
      </c>
      <c r="D91" s="78"/>
      <c r="F91" s="74" t="str">
        <f t="shared" si="1"/>
        <v/>
      </c>
      <c r="G91" s="78"/>
      <c r="I91" s="74" t="str">
        <f t="shared" si="2"/>
        <v/>
      </c>
      <c r="J91" s="75" t="str">
        <f t="shared" si="3"/>
        <v>YES</v>
      </c>
      <c r="K91" s="96" t="s">
        <v>86</v>
      </c>
      <c r="M91" s="76"/>
      <c r="N91" s="75" t="str">
        <f t="shared" si="4"/>
        <v>NO</v>
      </c>
      <c r="O91" s="76"/>
      <c r="P91" s="76"/>
      <c r="Q91" s="75" t="str">
        <f t="shared" si="5"/>
        <v/>
      </c>
      <c r="R91" s="75" t="str">
        <f t="shared" si="6"/>
        <v>NO</v>
      </c>
      <c r="S91" s="75"/>
      <c r="T91" s="75"/>
      <c r="U91" s="75" t="str">
        <f t="shared" si="7"/>
        <v/>
      </c>
      <c r="V91" s="76"/>
      <c r="W91" s="14"/>
    </row>
    <row r="92">
      <c r="A92" s="42" t="s">
        <v>372</v>
      </c>
      <c r="B92" s="37">
        <v>2015.0</v>
      </c>
      <c r="C92" s="69" t="s">
        <v>373</v>
      </c>
      <c r="D92" s="78"/>
      <c r="F92" s="74" t="str">
        <f t="shared" si="1"/>
        <v/>
      </c>
      <c r="G92" s="78"/>
      <c r="I92" s="74" t="str">
        <f t="shared" si="2"/>
        <v/>
      </c>
      <c r="J92" s="75" t="str">
        <f t="shared" si="3"/>
        <v>YES</v>
      </c>
      <c r="K92" s="37" t="s">
        <v>91</v>
      </c>
      <c r="M92" s="76"/>
      <c r="N92" s="75" t="str">
        <f t="shared" si="4"/>
        <v>NO</v>
      </c>
      <c r="O92" s="76"/>
      <c r="P92" s="76"/>
      <c r="Q92" s="75" t="str">
        <f t="shared" si="5"/>
        <v/>
      </c>
      <c r="R92" s="75" t="str">
        <f t="shared" si="6"/>
        <v>NO</v>
      </c>
      <c r="S92" s="75"/>
      <c r="T92" s="75"/>
      <c r="U92" s="75" t="str">
        <f t="shared" si="7"/>
        <v/>
      </c>
      <c r="V92" s="76"/>
      <c r="W92" s="14"/>
    </row>
    <row r="93">
      <c r="A93" s="42" t="s">
        <v>374</v>
      </c>
      <c r="B93" s="37">
        <v>2013.0</v>
      </c>
      <c r="C93" s="69" t="s">
        <v>375</v>
      </c>
      <c r="D93" s="78"/>
      <c r="E93" s="13" t="s">
        <v>247</v>
      </c>
      <c r="F93" s="74" t="str">
        <f t="shared" si="1"/>
        <v>YES</v>
      </c>
      <c r="G93" s="78"/>
      <c r="H93" s="13" t="s">
        <v>247</v>
      </c>
      <c r="I93" s="74" t="str">
        <f t="shared" si="2"/>
        <v>YES</v>
      </c>
      <c r="J93" s="75" t="str">
        <f t="shared" si="3"/>
        <v>YES</v>
      </c>
      <c r="K93" s="37" t="s">
        <v>199</v>
      </c>
      <c r="L93" s="13" t="s">
        <v>7</v>
      </c>
      <c r="M93" s="75" t="s">
        <v>142</v>
      </c>
      <c r="N93" s="75" t="str">
        <f t="shared" si="4"/>
        <v>YES</v>
      </c>
      <c r="O93" s="75" t="s">
        <v>149</v>
      </c>
      <c r="P93" s="75"/>
      <c r="Q93" s="75" t="str">
        <f t="shared" si="5"/>
        <v/>
      </c>
      <c r="R93" s="75" t="str">
        <f t="shared" si="6"/>
        <v>NO</v>
      </c>
      <c r="S93" s="75"/>
      <c r="T93" s="75"/>
      <c r="U93" s="75" t="str">
        <f t="shared" si="7"/>
        <v/>
      </c>
      <c r="V93" s="76"/>
      <c r="W93" s="14"/>
    </row>
    <row r="94">
      <c r="A94" s="42" t="s">
        <v>376</v>
      </c>
      <c r="B94" s="37">
        <v>2016.0</v>
      </c>
      <c r="C94" s="69" t="s">
        <v>377</v>
      </c>
      <c r="D94" s="71" t="s">
        <v>95</v>
      </c>
      <c r="E94" s="13"/>
      <c r="F94" s="74" t="str">
        <f t="shared" si="1"/>
        <v/>
      </c>
      <c r="G94" s="78"/>
      <c r="H94" s="13"/>
      <c r="I94" s="74" t="str">
        <f t="shared" si="2"/>
        <v/>
      </c>
      <c r="J94" s="75" t="str">
        <f t="shared" si="3"/>
        <v>NO</v>
      </c>
      <c r="K94" s="20"/>
      <c r="M94" s="76"/>
      <c r="N94" s="75" t="str">
        <f t="shared" si="4"/>
        <v>NO</v>
      </c>
      <c r="O94" s="76"/>
      <c r="P94" s="76"/>
      <c r="Q94" s="75" t="str">
        <f t="shared" si="5"/>
        <v/>
      </c>
      <c r="R94" s="75" t="str">
        <f t="shared" si="6"/>
        <v>NO</v>
      </c>
      <c r="S94" s="75"/>
      <c r="T94" s="75"/>
      <c r="U94" s="75" t="str">
        <f t="shared" si="7"/>
        <v/>
      </c>
      <c r="V94" s="76"/>
      <c r="W94" s="14"/>
    </row>
    <row r="95">
      <c r="A95" s="42" t="s">
        <v>378</v>
      </c>
      <c r="B95" s="37">
        <v>2015.0</v>
      </c>
      <c r="C95" s="69" t="s">
        <v>379</v>
      </c>
      <c r="D95" s="78"/>
      <c r="E95" s="13" t="s">
        <v>247</v>
      </c>
      <c r="F95" s="74" t="str">
        <f t="shared" si="1"/>
        <v>YES</v>
      </c>
      <c r="G95" s="78"/>
      <c r="H95" s="13" t="s">
        <v>247</v>
      </c>
      <c r="I95" s="74" t="str">
        <f t="shared" si="2"/>
        <v>YES</v>
      </c>
      <c r="J95" s="75" t="str">
        <f t="shared" si="3"/>
        <v>YES</v>
      </c>
      <c r="K95" s="37" t="s">
        <v>130</v>
      </c>
      <c r="M95" s="76"/>
      <c r="N95" s="75" t="str">
        <f t="shared" si="4"/>
        <v>YES</v>
      </c>
      <c r="O95" s="75" t="s">
        <v>149</v>
      </c>
      <c r="P95" s="76"/>
      <c r="Q95" s="75" t="str">
        <f t="shared" si="5"/>
        <v/>
      </c>
      <c r="R95" s="75" t="str">
        <f t="shared" si="6"/>
        <v>NO</v>
      </c>
      <c r="S95" s="75"/>
      <c r="T95" s="75"/>
      <c r="U95" s="75" t="str">
        <f t="shared" si="7"/>
        <v/>
      </c>
      <c r="V95" s="76"/>
      <c r="W95" s="14"/>
    </row>
    <row r="96">
      <c r="A96" s="42" t="s">
        <v>380</v>
      </c>
      <c r="B96" s="37">
        <v>2015.0</v>
      </c>
      <c r="C96" s="69" t="s">
        <v>381</v>
      </c>
      <c r="D96" s="78"/>
      <c r="F96" s="74" t="str">
        <f t="shared" si="1"/>
        <v/>
      </c>
      <c r="G96" s="78"/>
      <c r="I96" s="74" t="str">
        <f t="shared" si="2"/>
        <v/>
      </c>
      <c r="J96" s="75" t="str">
        <f t="shared" si="3"/>
        <v>YES</v>
      </c>
      <c r="K96" s="37" t="s">
        <v>91</v>
      </c>
      <c r="L96" s="13" t="s">
        <v>32</v>
      </c>
      <c r="M96" s="75" t="s">
        <v>142</v>
      </c>
      <c r="N96" s="75" t="str">
        <f t="shared" si="4"/>
        <v>NO</v>
      </c>
      <c r="O96" s="76"/>
      <c r="P96" s="75"/>
      <c r="Q96" s="75" t="str">
        <f t="shared" si="5"/>
        <v/>
      </c>
      <c r="R96" s="75" t="str">
        <f t="shared" si="6"/>
        <v>NO</v>
      </c>
      <c r="S96" s="75"/>
      <c r="T96" s="75"/>
      <c r="U96" s="75" t="str">
        <f t="shared" si="7"/>
        <v/>
      </c>
      <c r="V96" s="76"/>
      <c r="W96" s="14"/>
    </row>
    <row r="97">
      <c r="A97" s="42" t="s">
        <v>382</v>
      </c>
      <c r="B97" s="37">
        <v>2015.0</v>
      </c>
      <c r="C97" s="69" t="s">
        <v>383</v>
      </c>
      <c r="D97" s="71" t="s">
        <v>95</v>
      </c>
      <c r="E97" s="13"/>
      <c r="F97" s="74" t="str">
        <f t="shared" si="1"/>
        <v/>
      </c>
      <c r="G97" s="78"/>
      <c r="H97" s="13"/>
      <c r="I97" s="74" t="str">
        <f t="shared" si="2"/>
        <v/>
      </c>
      <c r="J97" s="75" t="str">
        <f t="shared" si="3"/>
        <v>NO</v>
      </c>
      <c r="K97" s="20"/>
      <c r="M97" s="76"/>
      <c r="N97" s="75" t="str">
        <f t="shared" si="4"/>
        <v>NO</v>
      </c>
      <c r="O97" s="76"/>
      <c r="P97" s="76"/>
      <c r="Q97" s="75" t="str">
        <f t="shared" si="5"/>
        <v/>
      </c>
      <c r="R97" s="75" t="str">
        <f t="shared" si="6"/>
        <v>NO</v>
      </c>
      <c r="S97" s="75"/>
      <c r="T97" s="75"/>
      <c r="U97" s="75" t="str">
        <f t="shared" si="7"/>
        <v/>
      </c>
      <c r="V97" s="76"/>
      <c r="W97" s="14"/>
    </row>
    <row r="98">
      <c r="A98" s="42" t="s">
        <v>384</v>
      </c>
      <c r="B98" s="37">
        <v>2015.0</v>
      </c>
      <c r="C98" s="69" t="s">
        <v>385</v>
      </c>
      <c r="D98" s="78"/>
      <c r="F98" s="74" t="str">
        <f t="shared" si="1"/>
        <v/>
      </c>
      <c r="G98" s="78"/>
      <c r="I98" s="74" t="str">
        <f t="shared" si="2"/>
        <v/>
      </c>
      <c r="J98" s="75" t="str">
        <f t="shared" si="3"/>
        <v>YES</v>
      </c>
      <c r="K98" s="37" t="s">
        <v>130</v>
      </c>
      <c r="M98" s="76"/>
      <c r="N98" s="75" t="str">
        <f t="shared" si="4"/>
        <v>YES</v>
      </c>
      <c r="O98" s="75" t="s">
        <v>131</v>
      </c>
      <c r="P98" s="75" t="s">
        <v>131</v>
      </c>
      <c r="Q98" s="75" t="str">
        <f t="shared" si="5"/>
        <v>YES</v>
      </c>
      <c r="R98" s="75" t="str">
        <f t="shared" si="6"/>
        <v>YES</v>
      </c>
      <c r="S98" s="75" t="s">
        <v>131</v>
      </c>
      <c r="T98" s="75" t="s">
        <v>131</v>
      </c>
      <c r="U98" s="75" t="str">
        <f t="shared" si="7"/>
        <v>YES</v>
      </c>
      <c r="V98" s="75" t="s">
        <v>285</v>
      </c>
      <c r="W98" s="14"/>
    </row>
    <row r="99">
      <c r="A99" s="42" t="s">
        <v>387</v>
      </c>
      <c r="B99" s="37">
        <v>2015.0</v>
      </c>
      <c r="C99" s="69" t="s">
        <v>388</v>
      </c>
      <c r="D99" s="71" t="s">
        <v>95</v>
      </c>
      <c r="E99" s="13"/>
      <c r="F99" s="74" t="str">
        <f t="shared" si="1"/>
        <v/>
      </c>
      <c r="G99" s="78"/>
      <c r="H99" s="13"/>
      <c r="I99" s="74" t="str">
        <f t="shared" si="2"/>
        <v/>
      </c>
      <c r="J99" s="75" t="str">
        <f t="shared" si="3"/>
        <v>NO</v>
      </c>
      <c r="K99" s="20"/>
      <c r="M99" s="76"/>
      <c r="N99" s="75" t="str">
        <f t="shared" si="4"/>
        <v>NO</v>
      </c>
      <c r="O99" s="76"/>
      <c r="P99" s="76"/>
      <c r="Q99" s="75" t="str">
        <f t="shared" si="5"/>
        <v/>
      </c>
      <c r="R99" s="75" t="str">
        <f t="shared" si="6"/>
        <v>NO</v>
      </c>
      <c r="S99" s="75"/>
      <c r="T99" s="75"/>
      <c r="U99" s="75" t="str">
        <f t="shared" si="7"/>
        <v/>
      </c>
      <c r="V99" s="76"/>
      <c r="W99" s="14"/>
    </row>
    <row r="100">
      <c r="A100" s="42" t="s">
        <v>390</v>
      </c>
      <c r="B100" s="37">
        <v>2015.0</v>
      </c>
      <c r="C100" s="69" t="s">
        <v>391</v>
      </c>
      <c r="D100" s="78"/>
      <c r="F100" s="74" t="str">
        <f t="shared" si="1"/>
        <v/>
      </c>
      <c r="G100" s="78"/>
      <c r="I100" s="74" t="str">
        <f t="shared" si="2"/>
        <v/>
      </c>
      <c r="J100" s="75" t="str">
        <f t="shared" si="3"/>
        <v>YES</v>
      </c>
      <c r="K100" s="37" t="s">
        <v>130</v>
      </c>
      <c r="L100" s="13" t="s">
        <v>7</v>
      </c>
      <c r="M100" s="75" t="s">
        <v>142</v>
      </c>
      <c r="N100" s="75" t="str">
        <f t="shared" si="4"/>
        <v>YES</v>
      </c>
      <c r="O100" s="75" t="s">
        <v>131</v>
      </c>
      <c r="P100" s="75"/>
      <c r="Q100" s="75" t="str">
        <f t="shared" si="5"/>
        <v/>
      </c>
      <c r="R100" s="75" t="str">
        <f t="shared" si="6"/>
        <v>YES</v>
      </c>
      <c r="S100" s="75"/>
      <c r="T100" s="75"/>
      <c r="U100" s="75" t="str">
        <f t="shared" si="7"/>
        <v/>
      </c>
      <c r="V100" s="76"/>
      <c r="W100" s="14"/>
    </row>
    <row r="101">
      <c r="A101" s="42" t="s">
        <v>395</v>
      </c>
      <c r="B101" s="37">
        <v>2016.0</v>
      </c>
      <c r="C101" s="69" t="s">
        <v>396</v>
      </c>
      <c r="D101" s="71" t="s">
        <v>95</v>
      </c>
      <c r="E101" s="13"/>
      <c r="F101" s="74" t="str">
        <f t="shared" si="1"/>
        <v/>
      </c>
      <c r="G101" s="78"/>
      <c r="H101" s="13"/>
      <c r="I101" s="74" t="str">
        <f t="shared" si="2"/>
        <v/>
      </c>
      <c r="J101" s="75" t="str">
        <f t="shared" si="3"/>
        <v>NO</v>
      </c>
      <c r="K101" s="20"/>
      <c r="M101" s="76"/>
      <c r="N101" s="75" t="str">
        <f t="shared" si="4"/>
        <v>NO</v>
      </c>
      <c r="O101" s="76"/>
      <c r="P101" s="76"/>
      <c r="Q101" s="75" t="str">
        <f t="shared" si="5"/>
        <v/>
      </c>
      <c r="R101" s="75" t="str">
        <f t="shared" si="6"/>
        <v>NO</v>
      </c>
      <c r="S101" s="75"/>
      <c r="T101" s="75"/>
      <c r="U101" s="75" t="str">
        <f t="shared" si="7"/>
        <v/>
      </c>
      <c r="V101" s="76"/>
      <c r="W101" s="14"/>
    </row>
    <row r="102">
      <c r="A102" s="42" t="s">
        <v>397</v>
      </c>
      <c r="B102" s="37">
        <v>2013.0</v>
      </c>
      <c r="C102" s="69" t="s">
        <v>398</v>
      </c>
      <c r="D102" s="78"/>
      <c r="F102" s="74" t="str">
        <f t="shared" si="1"/>
        <v/>
      </c>
      <c r="G102" s="78"/>
      <c r="I102" s="74" t="str">
        <f t="shared" si="2"/>
        <v/>
      </c>
      <c r="J102" s="75" t="str">
        <f t="shared" si="3"/>
        <v>YES</v>
      </c>
      <c r="K102" s="37" t="s">
        <v>91</v>
      </c>
      <c r="M102" s="76"/>
      <c r="N102" s="75" t="str">
        <f t="shared" si="4"/>
        <v>NO</v>
      </c>
      <c r="O102" s="76"/>
      <c r="P102" s="76"/>
      <c r="Q102" s="75" t="str">
        <f t="shared" si="5"/>
        <v/>
      </c>
      <c r="R102" s="75" t="str">
        <f t="shared" si="6"/>
        <v>NO</v>
      </c>
      <c r="S102" s="75"/>
      <c r="T102" s="75"/>
      <c r="U102" s="75" t="str">
        <f t="shared" si="7"/>
        <v/>
      </c>
      <c r="V102" s="76"/>
      <c r="W102" s="14"/>
    </row>
    <row r="103">
      <c r="A103" s="42" t="s">
        <v>399</v>
      </c>
      <c r="B103" s="37">
        <v>2015.0</v>
      </c>
      <c r="C103" s="69" t="s">
        <v>400</v>
      </c>
      <c r="D103" s="78"/>
      <c r="F103" s="74" t="str">
        <f t="shared" si="1"/>
        <v/>
      </c>
      <c r="G103" s="78"/>
      <c r="I103" s="74" t="str">
        <f t="shared" si="2"/>
        <v/>
      </c>
      <c r="J103" s="75" t="str">
        <f t="shared" si="3"/>
        <v>YES</v>
      </c>
      <c r="K103" s="37" t="s">
        <v>86</v>
      </c>
      <c r="M103" s="76"/>
      <c r="N103" s="75" t="str">
        <f t="shared" si="4"/>
        <v>NO</v>
      </c>
      <c r="O103" s="76"/>
      <c r="P103" s="76"/>
      <c r="Q103" s="75" t="str">
        <f t="shared" si="5"/>
        <v/>
      </c>
      <c r="R103" s="75" t="str">
        <f t="shared" si="6"/>
        <v>NO</v>
      </c>
      <c r="S103" s="75"/>
      <c r="T103" s="75"/>
      <c r="U103" s="75" t="str">
        <f t="shared" si="7"/>
        <v/>
      </c>
      <c r="V103" s="76"/>
      <c r="W103" s="14"/>
    </row>
    <row r="104">
      <c r="A104" s="42" t="s">
        <v>401</v>
      </c>
      <c r="B104" s="37">
        <v>2016.0</v>
      </c>
      <c r="C104" s="69" t="s">
        <v>402</v>
      </c>
      <c r="D104" s="71" t="s">
        <v>95</v>
      </c>
      <c r="E104" s="13"/>
      <c r="F104" s="74" t="str">
        <f t="shared" si="1"/>
        <v/>
      </c>
      <c r="G104" s="78"/>
      <c r="H104" s="13"/>
      <c r="I104" s="74" t="str">
        <f t="shared" si="2"/>
        <v/>
      </c>
      <c r="J104" s="75" t="str">
        <f t="shared" si="3"/>
        <v>NO</v>
      </c>
      <c r="K104" s="20"/>
      <c r="M104" s="76"/>
      <c r="N104" s="75" t="str">
        <f t="shared" si="4"/>
        <v>NO</v>
      </c>
      <c r="O104" s="76"/>
      <c r="P104" s="76"/>
      <c r="Q104" s="75" t="str">
        <f t="shared" si="5"/>
        <v/>
      </c>
      <c r="R104" s="75" t="str">
        <f t="shared" si="6"/>
        <v>NO</v>
      </c>
      <c r="S104" s="75"/>
      <c r="T104" s="75"/>
      <c r="U104" s="75" t="str">
        <f t="shared" si="7"/>
        <v/>
      </c>
      <c r="V104" s="76"/>
      <c r="W104" s="14"/>
    </row>
    <row r="105">
      <c r="A105" s="42" t="s">
        <v>403</v>
      </c>
      <c r="B105" s="37">
        <v>2013.0</v>
      </c>
      <c r="C105" s="69" t="s">
        <v>404</v>
      </c>
      <c r="D105" s="71" t="s">
        <v>95</v>
      </c>
      <c r="E105" s="13"/>
      <c r="F105" s="74" t="str">
        <f t="shared" si="1"/>
        <v/>
      </c>
      <c r="G105" s="78"/>
      <c r="H105" s="13"/>
      <c r="I105" s="74" t="str">
        <f t="shared" si="2"/>
        <v/>
      </c>
      <c r="J105" s="75" t="str">
        <f t="shared" si="3"/>
        <v>NO</v>
      </c>
      <c r="K105" s="20"/>
      <c r="M105" s="76"/>
      <c r="N105" s="75" t="str">
        <f t="shared" si="4"/>
        <v>NO</v>
      </c>
      <c r="O105" s="76"/>
      <c r="P105" s="76"/>
      <c r="Q105" s="75" t="str">
        <f t="shared" si="5"/>
        <v/>
      </c>
      <c r="R105" s="75" t="str">
        <f t="shared" si="6"/>
        <v>NO</v>
      </c>
      <c r="S105" s="75"/>
      <c r="T105" s="75"/>
      <c r="U105" s="75" t="str">
        <f t="shared" si="7"/>
        <v/>
      </c>
      <c r="V105" s="76"/>
      <c r="W105" s="14"/>
    </row>
    <row r="106">
      <c r="A106" s="42" t="s">
        <v>405</v>
      </c>
      <c r="B106" s="37">
        <v>2015.0</v>
      </c>
      <c r="C106" s="69" t="s">
        <v>406</v>
      </c>
      <c r="D106" s="78"/>
      <c r="F106" s="74" t="str">
        <f t="shared" si="1"/>
        <v/>
      </c>
      <c r="G106" s="78"/>
      <c r="I106" s="74" t="str">
        <f t="shared" si="2"/>
        <v/>
      </c>
      <c r="J106" s="75" t="str">
        <f t="shared" si="3"/>
        <v>YES</v>
      </c>
      <c r="K106" s="37" t="s">
        <v>91</v>
      </c>
      <c r="M106" s="76"/>
      <c r="N106" s="75" t="str">
        <f t="shared" si="4"/>
        <v>NO</v>
      </c>
      <c r="O106" s="76"/>
      <c r="P106" s="76"/>
      <c r="Q106" s="75" t="str">
        <f t="shared" si="5"/>
        <v/>
      </c>
      <c r="R106" s="75" t="str">
        <f t="shared" si="6"/>
        <v>NO</v>
      </c>
      <c r="S106" s="75"/>
      <c r="T106" s="75"/>
      <c r="U106" s="75" t="str">
        <f t="shared" si="7"/>
        <v/>
      </c>
      <c r="V106" s="76"/>
      <c r="W106" s="14"/>
    </row>
    <row r="107">
      <c r="A107" s="42" t="s">
        <v>407</v>
      </c>
      <c r="B107" s="37">
        <v>2016.0</v>
      </c>
      <c r="C107" s="69" t="s">
        <v>408</v>
      </c>
      <c r="D107" s="78"/>
      <c r="E107" s="13" t="s">
        <v>247</v>
      </c>
      <c r="F107" s="74" t="str">
        <f t="shared" si="1"/>
        <v>YES</v>
      </c>
      <c r="G107" s="78"/>
      <c r="H107" s="13" t="s">
        <v>247</v>
      </c>
      <c r="I107" s="74" t="str">
        <f t="shared" si="2"/>
        <v>YES</v>
      </c>
      <c r="J107" s="75" t="str">
        <f t="shared" si="3"/>
        <v>YES</v>
      </c>
      <c r="K107" s="37" t="s">
        <v>91</v>
      </c>
      <c r="M107" s="76"/>
      <c r="N107" s="75" t="str">
        <f t="shared" si="4"/>
        <v>NO</v>
      </c>
      <c r="O107" s="76"/>
      <c r="P107" s="76"/>
      <c r="Q107" s="75" t="str">
        <f t="shared" si="5"/>
        <v/>
      </c>
      <c r="R107" s="75" t="str">
        <f t="shared" si="6"/>
        <v>NO</v>
      </c>
      <c r="S107" s="75"/>
      <c r="T107" s="75"/>
      <c r="U107" s="75" t="str">
        <f t="shared" si="7"/>
        <v/>
      </c>
      <c r="V107" s="76"/>
      <c r="W107" s="14"/>
    </row>
    <row r="108">
      <c r="A108" s="42" t="s">
        <v>409</v>
      </c>
      <c r="B108" s="37">
        <v>2015.0</v>
      </c>
      <c r="C108" s="69" t="s">
        <v>410</v>
      </c>
      <c r="D108" s="78"/>
      <c r="E108" s="13" t="s">
        <v>247</v>
      </c>
      <c r="F108" s="74" t="str">
        <f t="shared" si="1"/>
        <v>YES</v>
      </c>
      <c r="G108" s="78"/>
      <c r="H108" s="13" t="s">
        <v>247</v>
      </c>
      <c r="I108" s="74" t="str">
        <f t="shared" si="2"/>
        <v>YES</v>
      </c>
      <c r="J108" s="75" t="str">
        <f t="shared" si="3"/>
        <v>YES</v>
      </c>
      <c r="K108" s="37" t="s">
        <v>130</v>
      </c>
      <c r="M108" s="76"/>
      <c r="N108" s="75" t="str">
        <f t="shared" si="4"/>
        <v>YES</v>
      </c>
      <c r="O108" s="75" t="s">
        <v>131</v>
      </c>
      <c r="P108" s="76"/>
      <c r="Q108" s="75" t="str">
        <f t="shared" si="5"/>
        <v/>
      </c>
      <c r="R108" s="75" t="str">
        <f t="shared" si="6"/>
        <v>YES</v>
      </c>
      <c r="S108" s="75"/>
      <c r="T108" s="75"/>
      <c r="U108" s="75" t="str">
        <f t="shared" si="7"/>
        <v/>
      </c>
      <c r="V108" s="76"/>
      <c r="W108" s="14"/>
    </row>
    <row r="109">
      <c r="A109" s="42" t="s">
        <v>414</v>
      </c>
      <c r="B109" s="37">
        <v>2013.0</v>
      </c>
      <c r="C109" s="69" t="s">
        <v>415</v>
      </c>
      <c r="D109" s="78"/>
      <c r="F109" s="74" t="str">
        <f t="shared" si="1"/>
        <v/>
      </c>
      <c r="G109" s="78"/>
      <c r="I109" s="74" t="str">
        <f t="shared" si="2"/>
        <v/>
      </c>
      <c r="J109" s="75" t="str">
        <f t="shared" si="3"/>
        <v>YES</v>
      </c>
      <c r="K109" s="37" t="s">
        <v>130</v>
      </c>
      <c r="M109" s="76"/>
      <c r="N109" s="75" t="str">
        <f t="shared" si="4"/>
        <v>YES</v>
      </c>
      <c r="O109" s="75" t="s">
        <v>131</v>
      </c>
      <c r="P109" s="76"/>
      <c r="Q109" s="75" t="str">
        <f t="shared" si="5"/>
        <v/>
      </c>
      <c r="R109" s="75" t="str">
        <f t="shared" si="6"/>
        <v>YES</v>
      </c>
      <c r="S109" s="75" t="s">
        <v>131</v>
      </c>
      <c r="T109" s="75" t="s">
        <v>131</v>
      </c>
      <c r="U109" s="75" t="str">
        <f t="shared" si="7"/>
        <v>YES</v>
      </c>
      <c r="V109" s="75" t="s">
        <v>285</v>
      </c>
      <c r="W109" s="14"/>
    </row>
    <row r="110">
      <c r="A110" s="42" t="s">
        <v>417</v>
      </c>
      <c r="B110" s="37">
        <v>2016.0</v>
      </c>
      <c r="C110" s="69" t="s">
        <v>418</v>
      </c>
      <c r="D110" s="78"/>
      <c r="F110" s="74" t="str">
        <f t="shared" si="1"/>
        <v/>
      </c>
      <c r="G110" s="78"/>
      <c r="I110" s="74" t="str">
        <f t="shared" si="2"/>
        <v/>
      </c>
      <c r="J110" s="75" t="str">
        <f t="shared" si="3"/>
        <v>YES</v>
      </c>
      <c r="K110" s="37" t="s">
        <v>91</v>
      </c>
      <c r="M110" s="76"/>
      <c r="N110" s="75" t="str">
        <f t="shared" si="4"/>
        <v>NO</v>
      </c>
      <c r="O110" s="76"/>
      <c r="P110" s="76"/>
      <c r="Q110" s="75" t="str">
        <f t="shared" si="5"/>
        <v/>
      </c>
      <c r="R110" s="75" t="str">
        <f t="shared" si="6"/>
        <v>NO</v>
      </c>
      <c r="S110" s="75"/>
      <c r="T110" s="75"/>
      <c r="U110" s="75" t="str">
        <f t="shared" si="7"/>
        <v/>
      </c>
      <c r="V110" s="76"/>
      <c r="W110" s="14"/>
    </row>
    <row r="111">
      <c r="A111" s="42" t="s">
        <v>419</v>
      </c>
      <c r="B111" s="37">
        <v>2015.0</v>
      </c>
      <c r="C111" s="69" t="s">
        <v>420</v>
      </c>
      <c r="D111" s="78"/>
      <c r="E111" s="13" t="s">
        <v>247</v>
      </c>
      <c r="F111" s="74" t="str">
        <f t="shared" si="1"/>
        <v>YES</v>
      </c>
      <c r="G111" s="78"/>
      <c r="H111" s="13" t="s">
        <v>247</v>
      </c>
      <c r="I111" s="74" t="str">
        <f t="shared" si="2"/>
        <v>YES</v>
      </c>
      <c r="J111" s="75" t="str">
        <f t="shared" si="3"/>
        <v>YES</v>
      </c>
      <c r="K111" s="37" t="s">
        <v>199</v>
      </c>
      <c r="M111" s="76"/>
      <c r="N111" s="75" t="str">
        <f t="shared" si="4"/>
        <v>YES</v>
      </c>
      <c r="O111" s="75" t="s">
        <v>149</v>
      </c>
      <c r="P111" s="76"/>
      <c r="Q111" s="75" t="str">
        <f t="shared" si="5"/>
        <v/>
      </c>
      <c r="R111" s="75" t="str">
        <f t="shared" si="6"/>
        <v>NO</v>
      </c>
      <c r="S111" s="75"/>
      <c r="T111" s="75"/>
      <c r="U111" s="75" t="str">
        <f t="shared" si="7"/>
        <v/>
      </c>
      <c r="V111" s="76"/>
      <c r="W111" s="14"/>
    </row>
    <row r="112">
      <c r="A112" s="42" t="s">
        <v>421</v>
      </c>
      <c r="B112" s="37">
        <v>2013.0</v>
      </c>
      <c r="C112" s="69" t="s">
        <v>422</v>
      </c>
      <c r="D112" s="71" t="s">
        <v>95</v>
      </c>
      <c r="E112" s="13"/>
      <c r="F112" s="74" t="str">
        <f t="shared" si="1"/>
        <v/>
      </c>
      <c r="G112" s="78"/>
      <c r="H112" s="13"/>
      <c r="I112" s="74" t="str">
        <f t="shared" si="2"/>
        <v/>
      </c>
      <c r="J112" s="75" t="str">
        <f t="shared" si="3"/>
        <v>NO</v>
      </c>
      <c r="K112" s="20"/>
      <c r="M112" s="76"/>
      <c r="N112" s="75" t="str">
        <f t="shared" si="4"/>
        <v>NO</v>
      </c>
      <c r="O112" s="76"/>
      <c r="P112" s="76"/>
      <c r="Q112" s="75" t="str">
        <f t="shared" si="5"/>
        <v/>
      </c>
      <c r="R112" s="75" t="str">
        <f t="shared" si="6"/>
        <v>NO</v>
      </c>
      <c r="S112" s="75"/>
      <c r="T112" s="75"/>
      <c r="U112" s="75" t="str">
        <f t="shared" si="7"/>
        <v/>
      </c>
      <c r="V112" s="76"/>
      <c r="W112" s="14"/>
    </row>
    <row r="113">
      <c r="A113" s="42" t="s">
        <v>423</v>
      </c>
      <c r="B113" s="37">
        <v>2015.0</v>
      </c>
      <c r="C113" s="69" t="s">
        <v>424</v>
      </c>
      <c r="D113" s="78"/>
      <c r="F113" s="74" t="str">
        <f t="shared" si="1"/>
        <v/>
      </c>
      <c r="G113" s="78"/>
      <c r="I113" s="74" t="str">
        <f t="shared" si="2"/>
        <v/>
      </c>
      <c r="J113" s="75" t="str">
        <f t="shared" si="3"/>
        <v>YES</v>
      </c>
      <c r="K113" s="37" t="s">
        <v>86</v>
      </c>
      <c r="M113" s="76"/>
      <c r="N113" s="75" t="str">
        <f t="shared" si="4"/>
        <v>NO</v>
      </c>
      <c r="O113" s="76"/>
      <c r="P113" s="76"/>
      <c r="Q113" s="75" t="str">
        <f t="shared" si="5"/>
        <v/>
      </c>
      <c r="R113" s="75" t="str">
        <f t="shared" si="6"/>
        <v>NO</v>
      </c>
      <c r="S113" s="75"/>
      <c r="T113" s="75"/>
      <c r="U113" s="75" t="str">
        <f t="shared" si="7"/>
        <v/>
      </c>
      <c r="V113" s="76"/>
      <c r="W113" s="14"/>
    </row>
    <row r="114">
      <c r="A114" s="42" t="s">
        <v>425</v>
      </c>
      <c r="B114" s="37">
        <v>2014.0</v>
      </c>
      <c r="C114" s="69" t="s">
        <v>426</v>
      </c>
      <c r="D114" s="78"/>
      <c r="F114" s="74" t="str">
        <f t="shared" si="1"/>
        <v/>
      </c>
      <c r="G114" s="78"/>
      <c r="I114" s="74" t="str">
        <f t="shared" si="2"/>
        <v/>
      </c>
      <c r="J114" s="75" t="str">
        <f t="shared" si="3"/>
        <v>YES</v>
      </c>
      <c r="K114" s="37" t="s">
        <v>130</v>
      </c>
      <c r="M114" s="76"/>
      <c r="N114" s="75" t="str">
        <f t="shared" si="4"/>
        <v>YES</v>
      </c>
      <c r="O114" s="75" t="s">
        <v>149</v>
      </c>
      <c r="P114" s="76"/>
      <c r="Q114" s="75" t="str">
        <f t="shared" si="5"/>
        <v/>
      </c>
      <c r="R114" s="75" t="str">
        <f t="shared" si="6"/>
        <v>NO</v>
      </c>
      <c r="S114" s="75"/>
      <c r="T114" s="75"/>
      <c r="U114" s="75" t="str">
        <f t="shared" si="7"/>
        <v/>
      </c>
      <c r="V114" s="76"/>
      <c r="W114" s="14"/>
    </row>
    <row r="115">
      <c r="A115" s="42" t="s">
        <v>427</v>
      </c>
      <c r="B115" s="37">
        <v>2013.0</v>
      </c>
      <c r="C115" s="69" t="s">
        <v>428</v>
      </c>
      <c r="D115" s="78"/>
      <c r="F115" s="74" t="str">
        <f t="shared" si="1"/>
        <v/>
      </c>
      <c r="G115" s="78"/>
      <c r="I115" s="74" t="str">
        <f t="shared" si="2"/>
        <v/>
      </c>
      <c r="J115" s="75" t="str">
        <f t="shared" si="3"/>
        <v>YES</v>
      </c>
      <c r="K115" s="37" t="s">
        <v>91</v>
      </c>
      <c r="L115" s="13" t="s">
        <v>32</v>
      </c>
      <c r="M115" s="75" t="s">
        <v>142</v>
      </c>
      <c r="N115" s="75" t="str">
        <f t="shared" si="4"/>
        <v>NO</v>
      </c>
      <c r="O115" s="76"/>
      <c r="P115" s="75"/>
      <c r="Q115" s="75" t="str">
        <f t="shared" si="5"/>
        <v/>
      </c>
      <c r="R115" s="75" t="str">
        <f t="shared" si="6"/>
        <v>NO</v>
      </c>
      <c r="S115" s="75"/>
      <c r="T115" s="75"/>
      <c r="U115" s="75" t="str">
        <f t="shared" si="7"/>
        <v/>
      </c>
      <c r="V115" s="76"/>
      <c r="W115" s="14"/>
    </row>
    <row r="116">
      <c r="A116" s="42" t="s">
        <v>429</v>
      </c>
      <c r="B116" s="37">
        <v>2015.0</v>
      </c>
      <c r="C116" s="69" t="s">
        <v>430</v>
      </c>
      <c r="D116" s="78"/>
      <c r="E116" s="13" t="s">
        <v>247</v>
      </c>
      <c r="F116" s="74" t="str">
        <f t="shared" si="1"/>
        <v>YES</v>
      </c>
      <c r="G116" s="78"/>
      <c r="H116" s="13" t="s">
        <v>247</v>
      </c>
      <c r="I116" s="74" t="str">
        <f t="shared" si="2"/>
        <v>YES</v>
      </c>
      <c r="J116" s="75" t="str">
        <f t="shared" si="3"/>
        <v>YES</v>
      </c>
      <c r="K116" s="37" t="s">
        <v>130</v>
      </c>
      <c r="L116" s="13" t="s">
        <v>7</v>
      </c>
      <c r="M116" s="75" t="s">
        <v>142</v>
      </c>
      <c r="N116" s="75" t="str">
        <f t="shared" si="4"/>
        <v>YES</v>
      </c>
      <c r="O116" s="75" t="s">
        <v>149</v>
      </c>
      <c r="P116" s="76"/>
      <c r="Q116" s="75" t="str">
        <f t="shared" si="5"/>
        <v/>
      </c>
      <c r="R116" s="75" t="str">
        <f t="shared" si="6"/>
        <v>NO</v>
      </c>
      <c r="S116" s="75"/>
      <c r="T116" s="75"/>
      <c r="U116" s="75" t="str">
        <f t="shared" si="7"/>
        <v/>
      </c>
      <c r="V116" s="76"/>
      <c r="W116" s="14"/>
    </row>
    <row r="117">
      <c r="A117" s="42" t="s">
        <v>431</v>
      </c>
      <c r="B117" s="37">
        <v>2013.0</v>
      </c>
      <c r="C117" s="69" t="s">
        <v>432</v>
      </c>
      <c r="D117" s="78"/>
      <c r="F117" s="74" t="str">
        <f t="shared" si="1"/>
        <v/>
      </c>
      <c r="G117" s="71" t="s">
        <v>95</v>
      </c>
      <c r="I117" s="74" t="str">
        <f t="shared" si="2"/>
        <v/>
      </c>
      <c r="J117" s="75" t="str">
        <f t="shared" si="3"/>
        <v>NO</v>
      </c>
      <c r="K117" s="20"/>
      <c r="M117" s="76"/>
      <c r="N117" s="75" t="str">
        <f t="shared" si="4"/>
        <v>NO</v>
      </c>
      <c r="O117" s="76"/>
      <c r="P117" s="76"/>
      <c r="Q117" s="75" t="str">
        <f t="shared" si="5"/>
        <v/>
      </c>
      <c r="R117" s="75" t="str">
        <f t="shared" si="6"/>
        <v>NO</v>
      </c>
      <c r="S117" s="75"/>
      <c r="T117" s="75"/>
      <c r="U117" s="75" t="str">
        <f t="shared" si="7"/>
        <v/>
      </c>
      <c r="V117" s="76"/>
      <c r="W117" s="14"/>
    </row>
    <row r="118">
      <c r="A118" s="42" t="s">
        <v>433</v>
      </c>
      <c r="B118" s="37">
        <v>2013.0</v>
      </c>
      <c r="C118" s="69" t="s">
        <v>434</v>
      </c>
      <c r="D118" s="78"/>
      <c r="F118" s="74" t="str">
        <f t="shared" si="1"/>
        <v/>
      </c>
      <c r="G118" s="78"/>
      <c r="I118" s="74" t="str">
        <f t="shared" si="2"/>
        <v/>
      </c>
      <c r="J118" s="75" t="str">
        <f t="shared" si="3"/>
        <v>YES</v>
      </c>
      <c r="K118" s="37" t="s">
        <v>199</v>
      </c>
      <c r="M118" s="76"/>
      <c r="N118" s="75" t="str">
        <f t="shared" si="4"/>
        <v>YES</v>
      </c>
      <c r="O118" s="75" t="s">
        <v>149</v>
      </c>
      <c r="P118" s="76"/>
      <c r="Q118" s="75" t="str">
        <f t="shared" si="5"/>
        <v/>
      </c>
      <c r="R118" s="75" t="str">
        <f t="shared" si="6"/>
        <v>NO</v>
      </c>
      <c r="S118" s="75"/>
      <c r="T118" s="75"/>
      <c r="U118" s="75" t="str">
        <f t="shared" si="7"/>
        <v/>
      </c>
      <c r="V118" s="76"/>
      <c r="W118" s="14"/>
    </row>
    <row r="119">
      <c r="A119" s="42" t="s">
        <v>436</v>
      </c>
      <c r="B119" s="37">
        <v>2013.0</v>
      </c>
      <c r="C119" s="69" t="s">
        <v>437</v>
      </c>
      <c r="D119" s="78"/>
      <c r="F119" s="74" t="str">
        <f t="shared" si="1"/>
        <v/>
      </c>
      <c r="G119" s="78"/>
      <c r="I119" s="74" t="str">
        <f t="shared" si="2"/>
        <v/>
      </c>
      <c r="J119" s="75" t="str">
        <f t="shared" si="3"/>
        <v>YES</v>
      </c>
      <c r="K119" s="37" t="s">
        <v>130</v>
      </c>
      <c r="M119" s="76"/>
      <c r="N119" s="75" t="str">
        <f t="shared" si="4"/>
        <v>YES</v>
      </c>
      <c r="O119" s="75" t="s">
        <v>131</v>
      </c>
      <c r="P119" s="76"/>
      <c r="Q119" s="75" t="str">
        <f t="shared" si="5"/>
        <v/>
      </c>
      <c r="R119" s="75" t="str">
        <f t="shared" si="6"/>
        <v>YES</v>
      </c>
      <c r="S119" s="75"/>
      <c r="T119" s="75"/>
      <c r="U119" s="75" t="str">
        <f t="shared" si="7"/>
        <v/>
      </c>
      <c r="V119" s="76"/>
      <c r="W119" s="14"/>
    </row>
    <row r="120">
      <c r="A120" s="42" t="s">
        <v>442</v>
      </c>
      <c r="B120" s="37">
        <v>2015.0</v>
      </c>
      <c r="C120" s="69" t="s">
        <v>443</v>
      </c>
      <c r="D120" s="78"/>
      <c r="E120" s="13" t="s">
        <v>247</v>
      </c>
      <c r="F120" s="74" t="str">
        <f t="shared" si="1"/>
        <v>YES</v>
      </c>
      <c r="G120" s="78"/>
      <c r="H120" s="13" t="s">
        <v>247</v>
      </c>
      <c r="I120" s="74" t="str">
        <f t="shared" si="2"/>
        <v>YES</v>
      </c>
      <c r="J120" s="75" t="str">
        <f t="shared" si="3"/>
        <v>YES</v>
      </c>
      <c r="K120" s="37" t="s">
        <v>86</v>
      </c>
      <c r="M120" s="76"/>
      <c r="N120" s="75" t="str">
        <f t="shared" si="4"/>
        <v>NO</v>
      </c>
      <c r="O120" s="76"/>
      <c r="P120" s="76"/>
      <c r="Q120" s="75" t="str">
        <f t="shared" si="5"/>
        <v/>
      </c>
      <c r="R120" s="75" t="str">
        <f t="shared" si="6"/>
        <v>NO</v>
      </c>
      <c r="S120" s="75"/>
      <c r="T120" s="75"/>
      <c r="U120" s="75" t="str">
        <f t="shared" si="7"/>
        <v/>
      </c>
      <c r="V120" s="76"/>
      <c r="W120" s="14"/>
    </row>
    <row r="121">
      <c r="A121" s="42" t="s">
        <v>444</v>
      </c>
      <c r="B121" s="37">
        <v>2015.0</v>
      </c>
      <c r="C121" s="69" t="s">
        <v>445</v>
      </c>
      <c r="D121" s="78"/>
      <c r="F121" s="74" t="str">
        <f t="shared" si="1"/>
        <v/>
      </c>
      <c r="G121" s="78"/>
      <c r="I121" s="74" t="str">
        <f t="shared" si="2"/>
        <v/>
      </c>
      <c r="J121" s="75" t="str">
        <f t="shared" si="3"/>
        <v>YES</v>
      </c>
      <c r="K121" s="37" t="s">
        <v>130</v>
      </c>
      <c r="N121" s="75" t="str">
        <f t="shared" si="4"/>
        <v>YES</v>
      </c>
      <c r="O121" s="75" t="s">
        <v>131</v>
      </c>
      <c r="P121" s="76"/>
      <c r="Q121" s="75" t="str">
        <f t="shared" si="5"/>
        <v/>
      </c>
      <c r="R121" s="75" t="str">
        <f t="shared" si="6"/>
        <v>YES</v>
      </c>
      <c r="S121" s="75"/>
      <c r="T121" s="75"/>
      <c r="U121" s="75" t="str">
        <f t="shared" si="7"/>
        <v/>
      </c>
      <c r="V121" s="76"/>
      <c r="W121" s="14"/>
    </row>
    <row r="122">
      <c r="A122" s="42" t="s">
        <v>447</v>
      </c>
      <c r="B122" s="37">
        <v>2014.0</v>
      </c>
      <c r="C122" s="69" t="s">
        <v>448</v>
      </c>
      <c r="D122" s="78"/>
      <c r="F122" s="74" t="str">
        <f t="shared" si="1"/>
        <v/>
      </c>
      <c r="G122" s="78"/>
      <c r="I122" s="74" t="str">
        <f t="shared" si="2"/>
        <v/>
      </c>
      <c r="J122" s="75" t="str">
        <f t="shared" si="3"/>
        <v>YES</v>
      </c>
      <c r="K122" s="37" t="s">
        <v>199</v>
      </c>
      <c r="M122" s="76"/>
      <c r="N122" s="75" t="str">
        <f t="shared" si="4"/>
        <v>YES</v>
      </c>
      <c r="O122" s="75" t="s">
        <v>149</v>
      </c>
      <c r="P122" s="75" t="s">
        <v>149</v>
      </c>
      <c r="Q122" s="75" t="str">
        <f t="shared" si="5"/>
        <v>YES</v>
      </c>
      <c r="R122" s="75" t="str">
        <f t="shared" si="6"/>
        <v>NO</v>
      </c>
      <c r="S122" s="75"/>
      <c r="T122" s="75"/>
      <c r="U122" s="75" t="str">
        <f t="shared" si="7"/>
        <v/>
      </c>
      <c r="V122" s="76"/>
      <c r="W122" s="14"/>
    </row>
    <row r="123">
      <c r="A123" s="42" t="s">
        <v>449</v>
      </c>
      <c r="B123" s="37">
        <v>2013.0</v>
      </c>
      <c r="C123" s="69" t="s">
        <v>450</v>
      </c>
      <c r="D123" s="78"/>
      <c r="F123" s="74" t="str">
        <f t="shared" si="1"/>
        <v/>
      </c>
      <c r="G123" s="78"/>
      <c r="I123" s="74" t="str">
        <f t="shared" si="2"/>
        <v/>
      </c>
      <c r="J123" s="75" t="str">
        <f t="shared" si="3"/>
        <v>YES</v>
      </c>
      <c r="K123" s="37" t="s">
        <v>130</v>
      </c>
      <c r="M123" s="76"/>
      <c r="N123" s="75" t="str">
        <f t="shared" si="4"/>
        <v>YES</v>
      </c>
      <c r="O123" s="75" t="s">
        <v>149</v>
      </c>
      <c r="P123" s="76"/>
      <c r="Q123" s="75" t="str">
        <f t="shared" si="5"/>
        <v/>
      </c>
      <c r="R123" s="75" t="str">
        <f t="shared" si="6"/>
        <v>NO</v>
      </c>
      <c r="S123" s="75"/>
      <c r="T123" s="75"/>
      <c r="U123" s="75" t="str">
        <f t="shared" si="7"/>
        <v/>
      </c>
      <c r="V123" s="76"/>
      <c r="W123" s="14"/>
    </row>
    <row r="124">
      <c r="A124" s="42" t="s">
        <v>451</v>
      </c>
      <c r="B124" s="37">
        <v>2013.0</v>
      </c>
      <c r="C124" s="69" t="s">
        <v>452</v>
      </c>
      <c r="D124" s="71" t="s">
        <v>95</v>
      </c>
      <c r="E124" s="13"/>
      <c r="F124" s="74" t="str">
        <f t="shared" si="1"/>
        <v/>
      </c>
      <c r="G124" s="78"/>
      <c r="H124" s="13"/>
      <c r="I124" s="74" t="str">
        <f t="shared" si="2"/>
        <v/>
      </c>
      <c r="J124" s="75" t="str">
        <f t="shared" si="3"/>
        <v>NO</v>
      </c>
      <c r="K124" s="20"/>
      <c r="M124" s="76"/>
      <c r="N124" s="75" t="str">
        <f t="shared" si="4"/>
        <v>NO</v>
      </c>
      <c r="O124" s="76"/>
      <c r="P124" s="76"/>
      <c r="Q124" s="75" t="str">
        <f t="shared" si="5"/>
        <v/>
      </c>
      <c r="R124" s="75" t="str">
        <f t="shared" si="6"/>
        <v>NO</v>
      </c>
      <c r="S124" s="75"/>
      <c r="T124" s="75"/>
      <c r="U124" s="75" t="str">
        <f t="shared" si="7"/>
        <v/>
      </c>
      <c r="V124" s="76"/>
      <c r="W124" s="14"/>
    </row>
    <row r="125">
      <c r="A125" s="42" t="s">
        <v>453</v>
      </c>
      <c r="B125" s="37">
        <v>2015.0</v>
      </c>
      <c r="C125" s="69" t="s">
        <v>454</v>
      </c>
      <c r="D125" s="78"/>
      <c r="F125" s="74" t="str">
        <f t="shared" si="1"/>
        <v/>
      </c>
      <c r="G125" s="78"/>
      <c r="I125" s="74" t="str">
        <f t="shared" si="2"/>
        <v/>
      </c>
      <c r="J125" s="75" t="str">
        <f t="shared" si="3"/>
        <v>YES</v>
      </c>
      <c r="K125" s="37" t="s">
        <v>199</v>
      </c>
      <c r="M125" s="76"/>
      <c r="N125" s="75" t="str">
        <f t="shared" si="4"/>
        <v>YES</v>
      </c>
      <c r="O125" s="75" t="s">
        <v>149</v>
      </c>
      <c r="P125" s="75" t="s">
        <v>149</v>
      </c>
      <c r="Q125" s="75" t="str">
        <f t="shared" si="5"/>
        <v>YES</v>
      </c>
      <c r="R125" s="75" t="str">
        <f t="shared" si="6"/>
        <v>NO</v>
      </c>
      <c r="S125" s="75"/>
      <c r="T125" s="75"/>
      <c r="U125" s="75" t="str">
        <f t="shared" si="7"/>
        <v/>
      </c>
      <c r="V125" s="76"/>
      <c r="W125" s="14"/>
    </row>
    <row r="126">
      <c r="A126" s="42" t="s">
        <v>455</v>
      </c>
      <c r="B126" s="37">
        <v>2013.0</v>
      </c>
      <c r="C126" s="69" t="s">
        <v>456</v>
      </c>
      <c r="D126" s="78"/>
      <c r="F126" s="74" t="str">
        <f t="shared" si="1"/>
        <v/>
      </c>
      <c r="G126" s="78"/>
      <c r="I126" s="74" t="str">
        <f t="shared" si="2"/>
        <v/>
      </c>
      <c r="J126" s="75" t="str">
        <f t="shared" si="3"/>
        <v>YES</v>
      </c>
      <c r="K126" s="37" t="s">
        <v>130</v>
      </c>
      <c r="M126" s="76"/>
      <c r="N126" s="75" t="str">
        <f t="shared" si="4"/>
        <v>YES</v>
      </c>
      <c r="O126" s="75" t="s">
        <v>131</v>
      </c>
      <c r="P126" s="76"/>
      <c r="Q126" s="75" t="str">
        <f t="shared" si="5"/>
        <v/>
      </c>
      <c r="R126" s="75" t="str">
        <f t="shared" si="6"/>
        <v>YES</v>
      </c>
      <c r="S126" s="75"/>
      <c r="T126" s="75"/>
      <c r="U126" s="75" t="str">
        <f t="shared" si="7"/>
        <v/>
      </c>
      <c r="V126" s="76"/>
      <c r="W126" s="14"/>
    </row>
    <row r="127">
      <c r="A127" s="42" t="s">
        <v>459</v>
      </c>
      <c r="B127" s="37">
        <v>2015.0</v>
      </c>
      <c r="C127" s="69" t="s">
        <v>460</v>
      </c>
      <c r="D127" s="78"/>
      <c r="F127" s="74" t="str">
        <f t="shared" si="1"/>
        <v/>
      </c>
      <c r="G127" s="71" t="s">
        <v>95</v>
      </c>
      <c r="I127" s="74" t="str">
        <f t="shared" si="2"/>
        <v/>
      </c>
      <c r="J127" s="75" t="str">
        <f t="shared" si="3"/>
        <v>NO</v>
      </c>
      <c r="K127" s="20"/>
      <c r="M127" s="76"/>
      <c r="N127" s="75" t="str">
        <f t="shared" si="4"/>
        <v>NO</v>
      </c>
      <c r="O127" s="76"/>
      <c r="P127" s="76"/>
      <c r="Q127" s="75" t="str">
        <f t="shared" si="5"/>
        <v/>
      </c>
      <c r="R127" s="75" t="str">
        <f t="shared" si="6"/>
        <v>NO</v>
      </c>
      <c r="S127" s="75"/>
      <c r="T127" s="75"/>
      <c r="U127" s="75" t="str">
        <f t="shared" si="7"/>
        <v/>
      </c>
      <c r="V127" s="76"/>
      <c r="W127" s="14"/>
    </row>
    <row r="128">
      <c r="A128" s="42" t="s">
        <v>461</v>
      </c>
      <c r="B128" s="37">
        <v>2015.0</v>
      </c>
      <c r="C128" s="69" t="s">
        <v>462</v>
      </c>
      <c r="D128" s="78"/>
      <c r="E128" s="13" t="s">
        <v>247</v>
      </c>
      <c r="F128" s="74" t="str">
        <f t="shared" si="1"/>
        <v>YES</v>
      </c>
      <c r="G128" s="78"/>
      <c r="H128" s="13" t="s">
        <v>247</v>
      </c>
      <c r="I128" s="74" t="str">
        <f t="shared" si="2"/>
        <v>YES</v>
      </c>
      <c r="J128" s="75" t="str">
        <f t="shared" si="3"/>
        <v>YES</v>
      </c>
      <c r="K128" s="37" t="s">
        <v>91</v>
      </c>
      <c r="L128" s="13" t="s">
        <v>32</v>
      </c>
      <c r="M128" s="75" t="s">
        <v>142</v>
      </c>
      <c r="N128" s="75" t="str">
        <f t="shared" si="4"/>
        <v>NO</v>
      </c>
      <c r="O128" s="76"/>
      <c r="P128" s="75"/>
      <c r="Q128" s="75" t="str">
        <f t="shared" si="5"/>
        <v/>
      </c>
      <c r="R128" s="75" t="str">
        <f t="shared" si="6"/>
        <v>NO</v>
      </c>
      <c r="S128" s="75"/>
      <c r="T128" s="75"/>
      <c r="U128" s="75" t="str">
        <f t="shared" si="7"/>
        <v/>
      </c>
      <c r="V128" s="76"/>
      <c r="W128" s="14"/>
    </row>
    <row r="129">
      <c r="A129" s="42" t="s">
        <v>463</v>
      </c>
      <c r="B129" s="37">
        <v>2013.0</v>
      </c>
      <c r="C129" s="69" t="s">
        <v>464</v>
      </c>
      <c r="D129" s="78"/>
      <c r="F129" s="74" t="str">
        <f t="shared" si="1"/>
        <v/>
      </c>
      <c r="G129" s="78"/>
      <c r="I129" s="74" t="str">
        <f t="shared" si="2"/>
        <v/>
      </c>
      <c r="J129" s="75" t="str">
        <f t="shared" si="3"/>
        <v>YES</v>
      </c>
      <c r="K129" s="37" t="s">
        <v>130</v>
      </c>
      <c r="M129" s="76"/>
      <c r="N129" s="75" t="str">
        <f t="shared" si="4"/>
        <v>YES</v>
      </c>
      <c r="O129" s="75" t="s">
        <v>131</v>
      </c>
      <c r="P129" s="75" t="s">
        <v>131</v>
      </c>
      <c r="Q129" s="75" t="str">
        <f t="shared" si="5"/>
        <v>YES</v>
      </c>
      <c r="R129" s="75" t="str">
        <f t="shared" si="6"/>
        <v>YES</v>
      </c>
      <c r="S129" s="75"/>
      <c r="T129" s="75"/>
      <c r="U129" s="75" t="str">
        <f t="shared" si="7"/>
        <v/>
      </c>
      <c r="V129" s="76"/>
      <c r="W129" s="14"/>
    </row>
    <row r="130">
      <c r="A130" s="42" t="s">
        <v>466</v>
      </c>
      <c r="B130" s="37">
        <v>2012.0</v>
      </c>
      <c r="C130" s="69" t="s">
        <v>467</v>
      </c>
      <c r="D130" s="78"/>
      <c r="E130" s="13" t="s">
        <v>247</v>
      </c>
      <c r="F130" s="74" t="str">
        <f t="shared" si="1"/>
        <v>YES</v>
      </c>
      <c r="G130" s="78"/>
      <c r="H130" s="13" t="s">
        <v>247</v>
      </c>
      <c r="I130" s="74" t="str">
        <f t="shared" si="2"/>
        <v>YES</v>
      </c>
      <c r="J130" s="75" t="str">
        <f t="shared" si="3"/>
        <v>YES</v>
      </c>
      <c r="K130" s="37" t="s">
        <v>199</v>
      </c>
      <c r="L130" s="13" t="s">
        <v>7</v>
      </c>
      <c r="M130" s="75" t="s">
        <v>142</v>
      </c>
      <c r="N130" s="75" t="str">
        <f t="shared" si="4"/>
        <v>YES</v>
      </c>
      <c r="O130" s="75" t="s">
        <v>131</v>
      </c>
      <c r="P130" s="75"/>
      <c r="Q130" s="75" t="str">
        <f t="shared" si="5"/>
        <v/>
      </c>
      <c r="R130" s="75" t="str">
        <f t="shared" si="6"/>
        <v>YES</v>
      </c>
      <c r="S130" s="75"/>
      <c r="T130" s="75"/>
      <c r="U130" s="75" t="str">
        <f t="shared" si="7"/>
        <v/>
      </c>
      <c r="V130" s="76"/>
      <c r="W130" s="14"/>
    </row>
    <row r="131">
      <c r="A131" s="42" t="s">
        <v>468</v>
      </c>
      <c r="B131" s="37">
        <v>2013.0</v>
      </c>
      <c r="C131" s="69" t="s">
        <v>469</v>
      </c>
      <c r="D131" s="71" t="s">
        <v>95</v>
      </c>
      <c r="E131" s="13"/>
      <c r="F131" s="74" t="str">
        <f t="shared" si="1"/>
        <v/>
      </c>
      <c r="G131" s="78"/>
      <c r="H131" s="13"/>
      <c r="I131" s="74" t="str">
        <f t="shared" si="2"/>
        <v/>
      </c>
      <c r="J131" s="75" t="str">
        <f t="shared" si="3"/>
        <v>NO</v>
      </c>
      <c r="K131" s="20"/>
      <c r="M131" s="76"/>
      <c r="N131" s="75" t="str">
        <f t="shared" si="4"/>
        <v>NO</v>
      </c>
      <c r="O131" s="76"/>
      <c r="P131" s="76"/>
      <c r="Q131" s="75" t="str">
        <f t="shared" si="5"/>
        <v/>
      </c>
      <c r="R131" s="75" t="str">
        <f t="shared" si="6"/>
        <v>NO</v>
      </c>
      <c r="S131" s="75"/>
      <c r="T131" s="75"/>
      <c r="U131" s="75" t="str">
        <f t="shared" si="7"/>
        <v/>
      </c>
      <c r="V131" s="76"/>
      <c r="W131" s="14"/>
    </row>
    <row r="132">
      <c r="A132" s="42" t="s">
        <v>470</v>
      </c>
      <c r="B132" s="37">
        <v>2013.0</v>
      </c>
      <c r="C132" s="69" t="s">
        <v>471</v>
      </c>
      <c r="D132" s="71" t="s">
        <v>95</v>
      </c>
      <c r="E132" s="13"/>
      <c r="F132" s="74" t="str">
        <f t="shared" si="1"/>
        <v/>
      </c>
      <c r="G132" s="78"/>
      <c r="H132" s="13"/>
      <c r="I132" s="74" t="str">
        <f t="shared" si="2"/>
        <v/>
      </c>
      <c r="J132" s="75" t="str">
        <f t="shared" si="3"/>
        <v>NO</v>
      </c>
      <c r="K132" s="20"/>
      <c r="M132" s="76"/>
      <c r="N132" s="75" t="str">
        <f t="shared" si="4"/>
        <v>NO</v>
      </c>
      <c r="O132" s="76"/>
      <c r="P132" s="76"/>
      <c r="Q132" s="75" t="str">
        <f t="shared" si="5"/>
        <v/>
      </c>
      <c r="R132" s="75" t="str">
        <f t="shared" si="6"/>
        <v>NO</v>
      </c>
      <c r="S132" s="75"/>
      <c r="T132" s="75"/>
      <c r="U132" s="75" t="str">
        <f t="shared" si="7"/>
        <v/>
      </c>
      <c r="V132" s="76"/>
      <c r="W132" s="14"/>
    </row>
    <row r="133">
      <c r="A133" s="42" t="s">
        <v>472</v>
      </c>
      <c r="B133" s="37">
        <v>2016.0</v>
      </c>
      <c r="C133" s="69" t="s">
        <v>473</v>
      </c>
      <c r="D133" s="78"/>
      <c r="F133" s="74" t="str">
        <f t="shared" si="1"/>
        <v/>
      </c>
      <c r="G133" s="78"/>
      <c r="I133" s="74" t="str">
        <f t="shared" si="2"/>
        <v/>
      </c>
      <c r="J133" s="75" t="str">
        <f t="shared" si="3"/>
        <v>YES</v>
      </c>
      <c r="K133" s="37" t="s">
        <v>130</v>
      </c>
      <c r="M133" s="76"/>
      <c r="N133" s="75" t="str">
        <f t="shared" si="4"/>
        <v>YES</v>
      </c>
      <c r="O133" s="75" t="s">
        <v>131</v>
      </c>
      <c r="P133" s="76"/>
      <c r="Q133" s="75" t="str">
        <f t="shared" si="5"/>
        <v/>
      </c>
      <c r="R133" s="75" t="str">
        <f t="shared" si="6"/>
        <v>YES</v>
      </c>
      <c r="S133" s="75"/>
      <c r="T133" s="75"/>
      <c r="U133" s="75" t="str">
        <f t="shared" si="7"/>
        <v/>
      </c>
      <c r="V133" s="76"/>
      <c r="W133" s="14"/>
    </row>
    <row r="134">
      <c r="A134" s="42" t="s">
        <v>474</v>
      </c>
      <c r="B134" s="37">
        <v>2013.0</v>
      </c>
      <c r="C134" s="69" t="s">
        <v>475</v>
      </c>
      <c r="D134" s="71"/>
      <c r="E134" s="13"/>
      <c r="F134" s="74" t="str">
        <f t="shared" si="1"/>
        <v/>
      </c>
      <c r="G134" s="71" t="s">
        <v>95</v>
      </c>
      <c r="H134" s="13"/>
      <c r="I134" s="74" t="str">
        <f t="shared" si="2"/>
        <v/>
      </c>
      <c r="J134" s="75" t="str">
        <f t="shared" si="3"/>
        <v>NO</v>
      </c>
      <c r="K134" s="20"/>
      <c r="M134" s="76"/>
      <c r="N134" s="75" t="str">
        <f t="shared" si="4"/>
        <v>NO</v>
      </c>
      <c r="O134" s="76"/>
      <c r="P134" s="76"/>
      <c r="Q134" s="75" t="str">
        <f t="shared" si="5"/>
        <v/>
      </c>
      <c r="R134" s="75" t="str">
        <f t="shared" si="6"/>
        <v>NO</v>
      </c>
      <c r="S134" s="75"/>
      <c r="T134" s="75"/>
      <c r="U134" s="75" t="str">
        <f t="shared" si="7"/>
        <v/>
      </c>
      <c r="V134" s="76"/>
      <c r="W134" s="14"/>
    </row>
    <row r="135">
      <c r="A135" s="42" t="s">
        <v>476</v>
      </c>
      <c r="B135" s="37">
        <v>2014.0</v>
      </c>
      <c r="C135" s="69" t="s">
        <v>477</v>
      </c>
      <c r="D135" s="78"/>
      <c r="F135" s="74" t="str">
        <f t="shared" si="1"/>
        <v/>
      </c>
      <c r="G135" s="78"/>
      <c r="I135" s="74" t="str">
        <f t="shared" si="2"/>
        <v/>
      </c>
      <c r="J135" s="75" t="str">
        <f t="shared" si="3"/>
        <v>YES</v>
      </c>
      <c r="K135" s="37" t="s">
        <v>199</v>
      </c>
      <c r="M135" s="76"/>
      <c r="N135" s="75" t="str">
        <f t="shared" si="4"/>
        <v>YES</v>
      </c>
      <c r="O135" s="75" t="s">
        <v>149</v>
      </c>
      <c r="P135" s="76"/>
      <c r="Q135" s="75" t="str">
        <f t="shared" si="5"/>
        <v/>
      </c>
      <c r="R135" s="75" t="str">
        <f t="shared" si="6"/>
        <v>NO</v>
      </c>
      <c r="S135" s="75"/>
      <c r="T135" s="75"/>
      <c r="U135" s="75" t="str">
        <f t="shared" si="7"/>
        <v/>
      </c>
      <c r="V135" s="76"/>
      <c r="W135" s="14"/>
    </row>
    <row r="136">
      <c r="A136" s="42" t="s">
        <v>478</v>
      </c>
      <c r="B136" s="37">
        <v>2014.0</v>
      </c>
      <c r="C136" s="69" t="s">
        <v>479</v>
      </c>
      <c r="D136" s="78"/>
      <c r="F136" s="74" t="str">
        <f t="shared" si="1"/>
        <v/>
      </c>
      <c r="G136" s="78"/>
      <c r="I136" s="74" t="str">
        <f t="shared" si="2"/>
        <v/>
      </c>
      <c r="J136" s="75" t="str">
        <f t="shared" si="3"/>
        <v>YES</v>
      </c>
      <c r="K136" s="37" t="s">
        <v>91</v>
      </c>
      <c r="M136" s="76"/>
      <c r="N136" s="75" t="str">
        <f t="shared" si="4"/>
        <v>NO</v>
      </c>
      <c r="O136" s="76"/>
      <c r="P136" s="76"/>
      <c r="Q136" s="75" t="str">
        <f t="shared" si="5"/>
        <v/>
      </c>
      <c r="R136" s="75" t="str">
        <f t="shared" si="6"/>
        <v>NO</v>
      </c>
      <c r="S136" s="75"/>
      <c r="T136" s="75"/>
      <c r="U136" s="75" t="str">
        <f t="shared" si="7"/>
        <v/>
      </c>
      <c r="V136" s="76"/>
      <c r="W136" s="14"/>
    </row>
    <row r="137">
      <c r="A137" s="42" t="s">
        <v>480</v>
      </c>
      <c r="B137" s="37">
        <v>2015.0</v>
      </c>
      <c r="C137" s="69" t="s">
        <v>481</v>
      </c>
      <c r="D137" s="78"/>
      <c r="F137" s="74" t="str">
        <f t="shared" si="1"/>
        <v/>
      </c>
      <c r="G137" s="78"/>
      <c r="I137" s="74" t="str">
        <f t="shared" si="2"/>
        <v/>
      </c>
      <c r="J137" s="75" t="str">
        <f t="shared" si="3"/>
        <v>YES</v>
      </c>
      <c r="K137" s="37" t="s">
        <v>130</v>
      </c>
      <c r="M137" s="76"/>
      <c r="N137" s="75" t="str">
        <f t="shared" si="4"/>
        <v>YES</v>
      </c>
      <c r="O137" s="75" t="s">
        <v>131</v>
      </c>
      <c r="P137" s="76"/>
      <c r="Q137" s="75" t="str">
        <f t="shared" si="5"/>
        <v/>
      </c>
      <c r="R137" s="75" t="str">
        <f t="shared" si="6"/>
        <v>YES</v>
      </c>
      <c r="S137" s="75"/>
      <c r="T137" s="75"/>
      <c r="U137" s="75" t="str">
        <f t="shared" si="7"/>
        <v/>
      </c>
      <c r="V137" s="76"/>
      <c r="W137" s="14"/>
    </row>
    <row r="138">
      <c r="A138" s="42" t="s">
        <v>482</v>
      </c>
      <c r="B138" s="37">
        <v>2015.0</v>
      </c>
      <c r="C138" s="69" t="s">
        <v>483</v>
      </c>
      <c r="D138" s="78"/>
      <c r="F138" s="74" t="str">
        <f t="shared" si="1"/>
        <v/>
      </c>
      <c r="G138" s="78"/>
      <c r="I138" s="74" t="str">
        <f t="shared" si="2"/>
        <v/>
      </c>
      <c r="J138" s="75" t="str">
        <f t="shared" si="3"/>
        <v>YES</v>
      </c>
      <c r="K138" s="37" t="s">
        <v>199</v>
      </c>
      <c r="M138" s="76"/>
      <c r="N138" s="75" t="str">
        <f t="shared" si="4"/>
        <v>YES</v>
      </c>
      <c r="O138" s="75" t="s">
        <v>149</v>
      </c>
      <c r="P138" s="76"/>
      <c r="Q138" s="75" t="str">
        <f t="shared" si="5"/>
        <v/>
      </c>
      <c r="R138" s="75" t="str">
        <f t="shared" si="6"/>
        <v>NO</v>
      </c>
      <c r="S138" s="75"/>
      <c r="T138" s="75"/>
      <c r="U138" s="75" t="str">
        <f t="shared" si="7"/>
        <v/>
      </c>
      <c r="V138" s="76"/>
      <c r="W138" s="14"/>
    </row>
    <row r="139">
      <c r="A139" s="42" t="s">
        <v>484</v>
      </c>
      <c r="B139" s="37">
        <v>2014.0</v>
      </c>
      <c r="C139" s="69" t="s">
        <v>485</v>
      </c>
      <c r="D139" s="78"/>
      <c r="F139" s="74" t="str">
        <f t="shared" si="1"/>
        <v/>
      </c>
      <c r="G139" s="78"/>
      <c r="I139" s="74" t="str">
        <f t="shared" si="2"/>
        <v/>
      </c>
      <c r="J139" s="75" t="str">
        <f t="shared" si="3"/>
        <v>YES</v>
      </c>
      <c r="K139" s="37" t="s">
        <v>91</v>
      </c>
      <c r="L139" s="13" t="s">
        <v>32</v>
      </c>
      <c r="M139" s="75" t="s">
        <v>142</v>
      </c>
      <c r="N139" s="75" t="str">
        <f t="shared" si="4"/>
        <v>NO</v>
      </c>
      <c r="O139" s="76"/>
      <c r="P139" s="75"/>
      <c r="Q139" s="75" t="str">
        <f t="shared" si="5"/>
        <v/>
      </c>
      <c r="R139" s="75" t="str">
        <f t="shared" si="6"/>
        <v>NO</v>
      </c>
      <c r="S139" s="75"/>
      <c r="T139" s="75"/>
      <c r="U139" s="75" t="str">
        <f t="shared" si="7"/>
        <v/>
      </c>
      <c r="V139" s="76"/>
      <c r="W139" s="14"/>
    </row>
    <row r="140">
      <c r="A140" s="42" t="s">
        <v>486</v>
      </c>
      <c r="B140" s="37">
        <v>2013.0</v>
      </c>
      <c r="C140" s="69" t="s">
        <v>487</v>
      </c>
      <c r="D140" s="78"/>
      <c r="F140" s="74" t="str">
        <f t="shared" si="1"/>
        <v/>
      </c>
      <c r="G140" s="78"/>
      <c r="I140" s="74" t="str">
        <f t="shared" si="2"/>
        <v/>
      </c>
      <c r="J140" s="75" t="str">
        <f t="shared" si="3"/>
        <v>YES</v>
      </c>
      <c r="K140" s="37" t="s">
        <v>199</v>
      </c>
      <c r="M140" s="76"/>
      <c r="N140" s="75" t="str">
        <f t="shared" si="4"/>
        <v>YES</v>
      </c>
      <c r="O140" s="75" t="s">
        <v>149</v>
      </c>
      <c r="P140" s="76"/>
      <c r="Q140" s="75" t="str">
        <f t="shared" si="5"/>
        <v/>
      </c>
      <c r="R140" s="75" t="str">
        <f t="shared" si="6"/>
        <v>NO</v>
      </c>
      <c r="S140" s="75"/>
      <c r="T140" s="75"/>
      <c r="U140" s="75" t="str">
        <f t="shared" si="7"/>
        <v/>
      </c>
      <c r="V140" s="76"/>
      <c r="W140" s="14"/>
    </row>
    <row r="141">
      <c r="A141" s="42" t="s">
        <v>488</v>
      </c>
      <c r="B141" s="37">
        <v>2015.0</v>
      </c>
      <c r="C141" s="69" t="s">
        <v>489</v>
      </c>
      <c r="D141" s="78"/>
      <c r="F141" s="74" t="str">
        <f t="shared" si="1"/>
        <v/>
      </c>
      <c r="G141" s="78"/>
      <c r="I141" s="74" t="str">
        <f t="shared" si="2"/>
        <v/>
      </c>
      <c r="J141" s="75" t="str">
        <f t="shared" si="3"/>
        <v>YES</v>
      </c>
      <c r="K141" s="37" t="s">
        <v>490</v>
      </c>
      <c r="M141" s="76"/>
      <c r="N141" s="75" t="str">
        <f t="shared" si="4"/>
        <v>NO</v>
      </c>
      <c r="O141" s="76"/>
      <c r="P141" s="76"/>
      <c r="Q141" s="75" t="str">
        <f t="shared" si="5"/>
        <v/>
      </c>
      <c r="R141" s="75" t="str">
        <f t="shared" si="6"/>
        <v>NO</v>
      </c>
      <c r="S141" s="75"/>
      <c r="T141" s="75"/>
      <c r="U141" s="75" t="str">
        <f t="shared" si="7"/>
        <v/>
      </c>
      <c r="V141" s="76"/>
      <c r="W141" s="14"/>
    </row>
    <row r="142">
      <c r="A142" s="42" t="s">
        <v>491</v>
      </c>
      <c r="B142" s="37">
        <v>2015.0</v>
      </c>
      <c r="C142" s="69" t="s">
        <v>492</v>
      </c>
      <c r="D142" s="78"/>
      <c r="F142" s="74" t="str">
        <f t="shared" si="1"/>
        <v/>
      </c>
      <c r="G142" s="71" t="s">
        <v>95</v>
      </c>
      <c r="I142" s="74" t="str">
        <f t="shared" si="2"/>
        <v/>
      </c>
      <c r="J142" s="75" t="str">
        <f t="shared" si="3"/>
        <v>NO</v>
      </c>
      <c r="K142" s="20"/>
      <c r="M142" s="76"/>
      <c r="N142" s="75" t="str">
        <f t="shared" si="4"/>
        <v>NO</v>
      </c>
      <c r="O142" s="76"/>
      <c r="P142" s="76"/>
      <c r="Q142" s="75" t="str">
        <f t="shared" si="5"/>
        <v/>
      </c>
      <c r="R142" s="75" t="str">
        <f t="shared" si="6"/>
        <v>NO</v>
      </c>
      <c r="S142" s="75"/>
      <c r="T142" s="75"/>
      <c r="U142" s="75" t="str">
        <f t="shared" si="7"/>
        <v/>
      </c>
      <c r="V142" s="76"/>
      <c r="W142" s="14"/>
    </row>
    <row r="143">
      <c r="A143" s="42" t="s">
        <v>493</v>
      </c>
      <c r="B143" s="37">
        <v>2014.0</v>
      </c>
      <c r="C143" s="69" t="s">
        <v>494</v>
      </c>
      <c r="D143" s="78"/>
      <c r="F143" s="74" t="str">
        <f t="shared" si="1"/>
        <v/>
      </c>
      <c r="G143" s="71" t="s">
        <v>95</v>
      </c>
      <c r="I143" s="74" t="str">
        <f t="shared" si="2"/>
        <v/>
      </c>
      <c r="J143" s="75" t="str">
        <f t="shared" si="3"/>
        <v>NO</v>
      </c>
      <c r="K143" s="20"/>
      <c r="M143" s="76"/>
      <c r="N143" s="75" t="str">
        <f t="shared" si="4"/>
        <v>NO</v>
      </c>
      <c r="O143" s="76"/>
      <c r="P143" s="76"/>
      <c r="Q143" s="75" t="str">
        <f t="shared" si="5"/>
        <v/>
      </c>
      <c r="R143" s="75" t="str">
        <f t="shared" si="6"/>
        <v>NO</v>
      </c>
      <c r="S143" s="75"/>
      <c r="T143" s="75"/>
      <c r="U143" s="75" t="str">
        <f t="shared" si="7"/>
        <v/>
      </c>
      <c r="V143" s="76"/>
      <c r="W143" s="14"/>
    </row>
    <row r="144">
      <c r="A144" s="42" t="s">
        <v>495</v>
      </c>
      <c r="B144" s="37">
        <v>2016.0</v>
      </c>
      <c r="C144" s="69" t="s">
        <v>496</v>
      </c>
      <c r="D144" s="78"/>
      <c r="F144" s="74" t="str">
        <f t="shared" si="1"/>
        <v/>
      </c>
      <c r="G144" s="71" t="s">
        <v>95</v>
      </c>
      <c r="I144" s="74" t="str">
        <f t="shared" si="2"/>
        <v/>
      </c>
      <c r="J144" s="75" t="str">
        <f t="shared" si="3"/>
        <v>NO</v>
      </c>
      <c r="K144" s="20"/>
      <c r="M144" s="76"/>
      <c r="N144" s="75" t="str">
        <f t="shared" si="4"/>
        <v>NO</v>
      </c>
      <c r="O144" s="76"/>
      <c r="P144" s="76"/>
      <c r="Q144" s="75" t="str">
        <f t="shared" si="5"/>
        <v/>
      </c>
      <c r="R144" s="75" t="str">
        <f t="shared" si="6"/>
        <v>NO</v>
      </c>
      <c r="S144" s="75"/>
      <c r="T144" s="75"/>
      <c r="U144" s="75" t="str">
        <f t="shared" si="7"/>
        <v/>
      </c>
      <c r="V144" s="76"/>
      <c r="W144" s="14"/>
    </row>
    <row r="145">
      <c r="A145" s="42" t="s">
        <v>497</v>
      </c>
      <c r="B145" s="37">
        <v>2015.0</v>
      </c>
      <c r="C145" s="69" t="s">
        <v>498</v>
      </c>
      <c r="D145" s="78"/>
      <c r="E145" s="13" t="s">
        <v>247</v>
      </c>
      <c r="F145" s="74" t="str">
        <f t="shared" si="1"/>
        <v>YES</v>
      </c>
      <c r="G145" s="78"/>
      <c r="H145" s="13" t="s">
        <v>247</v>
      </c>
      <c r="I145" s="74" t="str">
        <f t="shared" si="2"/>
        <v>YES</v>
      </c>
      <c r="J145" s="75" t="str">
        <f t="shared" si="3"/>
        <v>YES</v>
      </c>
      <c r="K145" s="37" t="s">
        <v>86</v>
      </c>
      <c r="M145" s="76"/>
      <c r="N145" s="75" t="str">
        <f t="shared" si="4"/>
        <v>NO</v>
      </c>
      <c r="O145" s="76"/>
      <c r="P145" s="76"/>
      <c r="Q145" s="75" t="str">
        <f t="shared" si="5"/>
        <v/>
      </c>
      <c r="R145" s="75" t="str">
        <f t="shared" si="6"/>
        <v>NO</v>
      </c>
      <c r="S145" s="75"/>
      <c r="T145" s="75"/>
      <c r="U145" s="75" t="str">
        <f t="shared" si="7"/>
        <v/>
      </c>
      <c r="V145" s="76"/>
      <c r="W145" s="14"/>
    </row>
    <row r="146">
      <c r="A146" s="42" t="s">
        <v>499</v>
      </c>
      <c r="B146" s="37">
        <v>2016.0</v>
      </c>
      <c r="C146" s="69" t="s">
        <v>500</v>
      </c>
      <c r="D146" s="78"/>
      <c r="F146" s="74" t="str">
        <f t="shared" si="1"/>
        <v/>
      </c>
      <c r="G146" s="78"/>
      <c r="I146" s="74" t="str">
        <f t="shared" si="2"/>
        <v/>
      </c>
      <c r="J146" s="75" t="str">
        <f t="shared" si="3"/>
        <v>YES</v>
      </c>
      <c r="K146" s="37" t="s">
        <v>91</v>
      </c>
      <c r="M146" s="76"/>
      <c r="N146" s="75" t="str">
        <f t="shared" si="4"/>
        <v>NO</v>
      </c>
      <c r="O146" s="76"/>
      <c r="P146" s="76"/>
      <c r="Q146" s="75" t="str">
        <f t="shared" si="5"/>
        <v/>
      </c>
      <c r="R146" s="75" t="str">
        <f t="shared" si="6"/>
        <v>NO</v>
      </c>
      <c r="S146" s="75"/>
      <c r="T146" s="75"/>
      <c r="U146" s="75" t="str">
        <f t="shared" si="7"/>
        <v/>
      </c>
      <c r="V146" s="76"/>
      <c r="W146" s="14"/>
    </row>
    <row r="147">
      <c r="A147" s="42" t="s">
        <v>501</v>
      </c>
      <c r="B147" s="37">
        <v>2013.0</v>
      </c>
      <c r="C147" s="69" t="s">
        <v>502</v>
      </c>
      <c r="D147" s="78"/>
      <c r="F147" s="74" t="str">
        <f t="shared" si="1"/>
        <v/>
      </c>
      <c r="G147" s="78"/>
      <c r="I147" s="74" t="str">
        <f t="shared" si="2"/>
        <v/>
      </c>
      <c r="J147" s="75" t="str">
        <f t="shared" si="3"/>
        <v>YES</v>
      </c>
      <c r="K147" s="37" t="s">
        <v>130</v>
      </c>
      <c r="L147" s="13" t="s">
        <v>7</v>
      </c>
      <c r="M147" s="75" t="s">
        <v>142</v>
      </c>
      <c r="N147" s="75" t="str">
        <f t="shared" si="4"/>
        <v>YES</v>
      </c>
      <c r="O147" s="75" t="s">
        <v>131</v>
      </c>
      <c r="P147" s="75"/>
      <c r="Q147" s="75" t="str">
        <f t="shared" si="5"/>
        <v/>
      </c>
      <c r="R147" s="75" t="str">
        <f t="shared" si="6"/>
        <v>YES</v>
      </c>
      <c r="S147" s="75"/>
      <c r="T147" s="75"/>
      <c r="U147" s="75" t="str">
        <f t="shared" si="7"/>
        <v/>
      </c>
      <c r="V147" s="76"/>
      <c r="W147" s="14"/>
    </row>
    <row r="148">
      <c r="A148" s="42" t="s">
        <v>507</v>
      </c>
      <c r="B148" s="37">
        <v>2016.0</v>
      </c>
      <c r="C148" s="69" t="s">
        <v>508</v>
      </c>
      <c r="D148" s="78"/>
      <c r="F148" s="74" t="str">
        <f t="shared" si="1"/>
        <v/>
      </c>
      <c r="G148" s="78"/>
      <c r="I148" s="74" t="str">
        <f t="shared" si="2"/>
        <v/>
      </c>
      <c r="J148" s="75" t="str">
        <f t="shared" si="3"/>
        <v>YES</v>
      </c>
      <c r="K148" s="37" t="s">
        <v>91</v>
      </c>
      <c r="M148" s="76"/>
      <c r="N148" s="75" t="str">
        <f t="shared" si="4"/>
        <v>NO</v>
      </c>
      <c r="O148" s="76"/>
      <c r="P148" s="76"/>
      <c r="Q148" s="75" t="str">
        <f t="shared" si="5"/>
        <v/>
      </c>
      <c r="R148" s="75" t="str">
        <f t="shared" si="6"/>
        <v>NO</v>
      </c>
      <c r="S148" s="75"/>
      <c r="T148" s="75"/>
      <c r="U148" s="75" t="str">
        <f t="shared" si="7"/>
        <v/>
      </c>
      <c r="V148" s="76"/>
      <c r="W148" s="14"/>
    </row>
    <row r="149">
      <c r="A149" s="42" t="s">
        <v>509</v>
      </c>
      <c r="B149" s="37">
        <v>2015.0</v>
      </c>
      <c r="C149" s="69" t="s">
        <v>510</v>
      </c>
      <c r="D149" s="78"/>
      <c r="F149" s="74" t="str">
        <f t="shared" si="1"/>
        <v/>
      </c>
      <c r="G149" s="78"/>
      <c r="I149" s="74" t="str">
        <f t="shared" si="2"/>
        <v/>
      </c>
      <c r="J149" s="75" t="str">
        <f t="shared" si="3"/>
        <v>YES</v>
      </c>
      <c r="K149" s="37" t="s">
        <v>130</v>
      </c>
      <c r="M149" s="76"/>
      <c r="N149" s="75" t="str">
        <f t="shared" si="4"/>
        <v>YES</v>
      </c>
      <c r="O149" s="75" t="s">
        <v>149</v>
      </c>
      <c r="P149" s="76"/>
      <c r="Q149" s="75" t="str">
        <f t="shared" si="5"/>
        <v/>
      </c>
      <c r="R149" s="75" t="str">
        <f t="shared" si="6"/>
        <v>NO</v>
      </c>
      <c r="S149" s="75"/>
      <c r="T149" s="75"/>
      <c r="U149" s="75" t="str">
        <f t="shared" si="7"/>
        <v/>
      </c>
      <c r="V149" s="76"/>
      <c r="W149" s="14"/>
    </row>
    <row r="150">
      <c r="A150" s="42" t="s">
        <v>512</v>
      </c>
      <c r="B150" s="37">
        <v>2014.0</v>
      </c>
      <c r="C150" s="69" t="s">
        <v>513</v>
      </c>
      <c r="D150" s="78"/>
      <c r="F150" s="74" t="str">
        <f t="shared" si="1"/>
        <v/>
      </c>
      <c r="G150" s="78"/>
      <c r="I150" s="74" t="str">
        <f t="shared" si="2"/>
        <v/>
      </c>
      <c r="J150" s="75" t="str">
        <f t="shared" si="3"/>
        <v>YES</v>
      </c>
      <c r="K150" s="37" t="s">
        <v>86</v>
      </c>
      <c r="L150" s="13" t="s">
        <v>32</v>
      </c>
      <c r="M150" s="75" t="s">
        <v>142</v>
      </c>
      <c r="N150" s="75" t="str">
        <f t="shared" si="4"/>
        <v>NO</v>
      </c>
      <c r="O150" s="76"/>
      <c r="P150" s="75"/>
      <c r="Q150" s="75" t="str">
        <f t="shared" si="5"/>
        <v/>
      </c>
      <c r="R150" s="75" t="str">
        <f t="shared" si="6"/>
        <v>NO</v>
      </c>
      <c r="S150" s="75"/>
      <c r="T150" s="75"/>
      <c r="U150" s="75" t="str">
        <f t="shared" si="7"/>
        <v/>
      </c>
      <c r="V150" s="76"/>
      <c r="W150" s="14"/>
    </row>
    <row r="151">
      <c r="A151" s="42" t="s">
        <v>514</v>
      </c>
      <c r="B151" s="37">
        <v>2015.0</v>
      </c>
      <c r="C151" s="69" t="s">
        <v>515</v>
      </c>
      <c r="D151" s="71" t="s">
        <v>95</v>
      </c>
      <c r="E151" s="13"/>
      <c r="F151" s="74" t="str">
        <f t="shared" si="1"/>
        <v/>
      </c>
      <c r="G151" s="78"/>
      <c r="H151" s="13"/>
      <c r="I151" s="74" t="str">
        <f t="shared" si="2"/>
        <v/>
      </c>
      <c r="J151" s="75" t="str">
        <f t="shared" si="3"/>
        <v>NO</v>
      </c>
      <c r="K151" s="20"/>
      <c r="M151" s="76"/>
      <c r="N151" s="75" t="str">
        <f t="shared" si="4"/>
        <v>NO</v>
      </c>
      <c r="O151" s="76"/>
      <c r="P151" s="76"/>
      <c r="Q151" s="75" t="str">
        <f t="shared" si="5"/>
        <v/>
      </c>
      <c r="R151" s="75" t="str">
        <f t="shared" si="6"/>
        <v>NO</v>
      </c>
      <c r="S151" s="75"/>
      <c r="T151" s="75"/>
      <c r="U151" s="75" t="str">
        <f t="shared" si="7"/>
        <v/>
      </c>
      <c r="V151" s="76"/>
      <c r="W151" s="14"/>
    </row>
    <row r="152">
      <c r="A152" s="42" t="s">
        <v>516</v>
      </c>
      <c r="B152" s="37">
        <v>2016.0</v>
      </c>
      <c r="C152" s="69" t="s">
        <v>517</v>
      </c>
      <c r="D152" s="78"/>
      <c r="E152" s="13" t="s">
        <v>247</v>
      </c>
      <c r="F152" s="74" t="str">
        <f t="shared" si="1"/>
        <v>YES</v>
      </c>
      <c r="G152" s="78"/>
      <c r="H152" s="13" t="s">
        <v>247</v>
      </c>
      <c r="I152" s="74" t="str">
        <f t="shared" si="2"/>
        <v>YES</v>
      </c>
      <c r="J152" s="75" t="str">
        <f t="shared" si="3"/>
        <v>YES</v>
      </c>
      <c r="K152" s="37" t="s">
        <v>86</v>
      </c>
      <c r="M152" s="76"/>
      <c r="N152" s="75" t="str">
        <f t="shared" si="4"/>
        <v>NO</v>
      </c>
      <c r="O152" s="76"/>
      <c r="P152" s="76"/>
      <c r="Q152" s="75" t="str">
        <f t="shared" si="5"/>
        <v/>
      </c>
      <c r="R152" s="75" t="str">
        <f t="shared" si="6"/>
        <v>NO</v>
      </c>
      <c r="S152" s="75"/>
      <c r="T152" s="75"/>
      <c r="U152" s="75" t="str">
        <f t="shared" si="7"/>
        <v/>
      </c>
      <c r="V152" s="76"/>
      <c r="W152" s="14"/>
    </row>
    <row r="153">
      <c r="A153" s="42" t="s">
        <v>518</v>
      </c>
      <c r="B153" s="37">
        <v>2015.0</v>
      </c>
      <c r="C153" s="69" t="s">
        <v>519</v>
      </c>
      <c r="D153" s="71" t="s">
        <v>95</v>
      </c>
      <c r="E153" s="13"/>
      <c r="F153" s="74" t="str">
        <f t="shared" si="1"/>
        <v/>
      </c>
      <c r="G153" s="78"/>
      <c r="H153" s="13"/>
      <c r="I153" s="74" t="str">
        <f t="shared" si="2"/>
        <v/>
      </c>
      <c r="J153" s="75" t="str">
        <f t="shared" si="3"/>
        <v>NO</v>
      </c>
      <c r="K153" s="20"/>
      <c r="M153" s="76"/>
      <c r="N153" s="75" t="str">
        <f t="shared" si="4"/>
        <v>NO</v>
      </c>
      <c r="O153" s="76"/>
      <c r="P153" s="76"/>
      <c r="Q153" s="75" t="str">
        <f t="shared" si="5"/>
        <v/>
      </c>
      <c r="R153" s="75" t="str">
        <f t="shared" si="6"/>
        <v>NO</v>
      </c>
      <c r="S153" s="75"/>
      <c r="T153" s="75"/>
      <c r="U153" s="75" t="str">
        <f t="shared" si="7"/>
        <v/>
      </c>
      <c r="V153" s="76"/>
      <c r="W153" s="14"/>
    </row>
    <row r="154">
      <c r="A154" s="42" t="s">
        <v>520</v>
      </c>
      <c r="B154" s="37">
        <v>2015.0</v>
      </c>
      <c r="C154" s="69" t="s">
        <v>521</v>
      </c>
      <c r="D154" s="78"/>
      <c r="F154" s="74" t="str">
        <f t="shared" si="1"/>
        <v/>
      </c>
      <c r="G154" s="78"/>
      <c r="I154" s="74" t="str">
        <f t="shared" si="2"/>
        <v/>
      </c>
      <c r="J154" s="75" t="str">
        <f t="shared" si="3"/>
        <v>YES</v>
      </c>
      <c r="K154" s="37" t="s">
        <v>130</v>
      </c>
      <c r="M154" s="76"/>
      <c r="N154" s="75" t="str">
        <f t="shared" si="4"/>
        <v>YES</v>
      </c>
      <c r="O154" s="75" t="s">
        <v>149</v>
      </c>
      <c r="P154" s="75" t="s">
        <v>149</v>
      </c>
      <c r="Q154" s="75" t="str">
        <f t="shared" si="5"/>
        <v>YES</v>
      </c>
      <c r="R154" s="75" t="str">
        <f t="shared" si="6"/>
        <v>NO</v>
      </c>
      <c r="S154" s="75"/>
      <c r="T154" s="75"/>
      <c r="U154" s="75" t="str">
        <f t="shared" si="7"/>
        <v/>
      </c>
      <c r="V154" s="76"/>
      <c r="W154" s="14"/>
    </row>
    <row r="155">
      <c r="A155" s="42" t="s">
        <v>522</v>
      </c>
      <c r="B155" s="37">
        <v>2016.0</v>
      </c>
      <c r="C155" s="69" t="s">
        <v>523</v>
      </c>
      <c r="D155" s="71" t="s">
        <v>95</v>
      </c>
      <c r="E155" s="13"/>
      <c r="F155" s="74" t="str">
        <f t="shared" si="1"/>
        <v/>
      </c>
      <c r="G155" s="78"/>
      <c r="H155" s="13"/>
      <c r="I155" s="74" t="str">
        <f t="shared" si="2"/>
        <v/>
      </c>
      <c r="J155" s="75" t="str">
        <f t="shared" si="3"/>
        <v>NO</v>
      </c>
      <c r="K155" s="20"/>
      <c r="M155" s="76"/>
      <c r="N155" s="75" t="str">
        <f t="shared" si="4"/>
        <v>NO</v>
      </c>
      <c r="O155" s="76"/>
      <c r="P155" s="76"/>
      <c r="Q155" s="75" t="str">
        <f t="shared" si="5"/>
        <v/>
      </c>
      <c r="R155" s="75" t="str">
        <f t="shared" si="6"/>
        <v>NO</v>
      </c>
      <c r="S155" s="75"/>
      <c r="T155" s="75"/>
      <c r="U155" s="75" t="str">
        <f t="shared" si="7"/>
        <v/>
      </c>
      <c r="V155" s="76"/>
      <c r="W155" s="14"/>
    </row>
    <row r="156">
      <c r="A156" s="42" t="s">
        <v>524</v>
      </c>
      <c r="B156" s="37">
        <v>2013.0</v>
      </c>
      <c r="C156" s="69" t="s">
        <v>525</v>
      </c>
      <c r="D156" s="78"/>
      <c r="F156" s="74" t="str">
        <f t="shared" si="1"/>
        <v/>
      </c>
      <c r="G156" s="78"/>
      <c r="I156" s="74" t="str">
        <f t="shared" si="2"/>
        <v/>
      </c>
      <c r="J156" s="75" t="str">
        <f t="shared" si="3"/>
        <v>YES</v>
      </c>
      <c r="K156" s="37" t="s">
        <v>86</v>
      </c>
      <c r="M156" s="76"/>
      <c r="N156" s="75" t="str">
        <f t="shared" si="4"/>
        <v>NO</v>
      </c>
      <c r="O156" s="76"/>
      <c r="P156" s="76"/>
      <c r="Q156" s="75" t="str">
        <f t="shared" si="5"/>
        <v/>
      </c>
      <c r="R156" s="75" t="str">
        <f t="shared" si="6"/>
        <v>NO</v>
      </c>
      <c r="S156" s="75"/>
      <c r="T156" s="75"/>
      <c r="U156" s="75" t="str">
        <f t="shared" si="7"/>
        <v/>
      </c>
      <c r="V156" s="76"/>
      <c r="W156" s="14"/>
    </row>
    <row r="157">
      <c r="A157" s="42" t="s">
        <v>526</v>
      </c>
      <c r="B157" s="37">
        <v>2015.0</v>
      </c>
      <c r="C157" s="69" t="s">
        <v>527</v>
      </c>
      <c r="D157" s="78"/>
      <c r="F157" s="74" t="str">
        <f t="shared" si="1"/>
        <v/>
      </c>
      <c r="G157" s="78"/>
      <c r="I157" s="74" t="str">
        <f t="shared" si="2"/>
        <v/>
      </c>
      <c r="J157" s="75" t="str">
        <f t="shared" si="3"/>
        <v>YES</v>
      </c>
      <c r="K157" s="37" t="s">
        <v>199</v>
      </c>
      <c r="L157" s="13" t="s">
        <v>7</v>
      </c>
      <c r="M157" s="75" t="s">
        <v>142</v>
      </c>
      <c r="N157" s="75" t="str">
        <f t="shared" si="4"/>
        <v>YES</v>
      </c>
      <c r="O157" s="75" t="s">
        <v>149</v>
      </c>
      <c r="P157" s="75"/>
      <c r="Q157" s="75" t="str">
        <f t="shared" si="5"/>
        <v/>
      </c>
      <c r="R157" s="75" t="str">
        <f t="shared" si="6"/>
        <v>NO</v>
      </c>
      <c r="S157" s="75"/>
      <c r="T157" s="75"/>
      <c r="U157" s="75" t="str">
        <f t="shared" si="7"/>
        <v/>
      </c>
      <c r="V157" s="76"/>
      <c r="W157" s="14"/>
    </row>
    <row r="158">
      <c r="A158" s="42" t="s">
        <v>528</v>
      </c>
      <c r="B158" s="37">
        <v>2016.0</v>
      </c>
      <c r="C158" s="69" t="s">
        <v>529</v>
      </c>
      <c r="D158" s="71"/>
      <c r="E158" s="13"/>
      <c r="F158" s="74" t="str">
        <f t="shared" si="1"/>
        <v/>
      </c>
      <c r="G158" s="71" t="s">
        <v>95</v>
      </c>
      <c r="H158" s="13"/>
      <c r="I158" s="74" t="str">
        <f t="shared" si="2"/>
        <v/>
      </c>
      <c r="J158" s="75" t="str">
        <f t="shared" si="3"/>
        <v>NO</v>
      </c>
      <c r="K158" s="20"/>
      <c r="M158" s="76"/>
      <c r="N158" s="75" t="str">
        <f t="shared" si="4"/>
        <v>NO</v>
      </c>
      <c r="O158" s="76"/>
      <c r="P158" s="76"/>
      <c r="Q158" s="75" t="str">
        <f t="shared" si="5"/>
        <v/>
      </c>
      <c r="R158" s="75" t="str">
        <f t="shared" si="6"/>
        <v>NO</v>
      </c>
      <c r="S158" s="75"/>
      <c r="T158" s="75"/>
      <c r="U158" s="75" t="str">
        <f t="shared" si="7"/>
        <v/>
      </c>
      <c r="V158" s="76"/>
      <c r="W158" s="14"/>
    </row>
    <row r="159">
      <c r="A159" s="42" t="s">
        <v>530</v>
      </c>
      <c r="B159" s="37">
        <v>2015.0</v>
      </c>
      <c r="C159" s="69" t="s">
        <v>531</v>
      </c>
      <c r="D159" s="78"/>
      <c r="F159" s="74" t="str">
        <f t="shared" si="1"/>
        <v/>
      </c>
      <c r="G159" s="78"/>
      <c r="I159" s="74" t="str">
        <f t="shared" si="2"/>
        <v/>
      </c>
      <c r="J159" s="75" t="str">
        <f t="shared" si="3"/>
        <v>YES</v>
      </c>
      <c r="K159" s="37" t="s">
        <v>130</v>
      </c>
      <c r="M159" s="76"/>
      <c r="N159" s="75" t="str">
        <f t="shared" si="4"/>
        <v>YES</v>
      </c>
      <c r="O159" s="75" t="s">
        <v>131</v>
      </c>
      <c r="P159" s="76"/>
      <c r="Q159" s="75" t="str">
        <f t="shared" si="5"/>
        <v/>
      </c>
      <c r="R159" s="75" t="str">
        <f t="shared" si="6"/>
        <v>YES</v>
      </c>
      <c r="S159" s="75"/>
      <c r="T159" s="75"/>
      <c r="U159" s="75" t="str">
        <f t="shared" si="7"/>
        <v/>
      </c>
      <c r="V159" s="76"/>
      <c r="W159" s="14"/>
    </row>
    <row r="160">
      <c r="A160" s="42" t="s">
        <v>534</v>
      </c>
      <c r="B160" s="37">
        <v>2016.0</v>
      </c>
      <c r="C160" s="69" t="s">
        <v>535</v>
      </c>
      <c r="D160" s="71" t="s">
        <v>95</v>
      </c>
      <c r="E160" s="13" t="s">
        <v>95</v>
      </c>
      <c r="F160" s="74" t="str">
        <f t="shared" si="1"/>
        <v>YES</v>
      </c>
      <c r="G160" s="78"/>
      <c r="H160" s="13" t="s">
        <v>247</v>
      </c>
      <c r="I160" s="74" t="str">
        <f t="shared" si="2"/>
        <v>YES</v>
      </c>
      <c r="J160" s="75" t="str">
        <f t="shared" si="3"/>
        <v>NO</v>
      </c>
      <c r="K160" s="20"/>
      <c r="M160" s="76"/>
      <c r="N160" s="75" t="str">
        <f t="shared" si="4"/>
        <v>NO</v>
      </c>
      <c r="O160" s="76"/>
      <c r="P160" s="76"/>
      <c r="Q160" s="75" t="str">
        <f t="shared" si="5"/>
        <v/>
      </c>
      <c r="R160" s="75" t="str">
        <f t="shared" si="6"/>
        <v>NO</v>
      </c>
      <c r="S160" s="75"/>
      <c r="T160" s="75"/>
      <c r="U160" s="75" t="str">
        <f t="shared" si="7"/>
        <v/>
      </c>
      <c r="V160" s="76"/>
      <c r="W160" s="14"/>
    </row>
    <row r="161">
      <c r="A161" s="42" t="s">
        <v>536</v>
      </c>
      <c r="B161" s="37">
        <v>2015.0</v>
      </c>
      <c r="C161" s="69" t="s">
        <v>537</v>
      </c>
      <c r="D161" s="78"/>
      <c r="E161" s="13" t="s">
        <v>247</v>
      </c>
      <c r="F161" s="74" t="str">
        <f t="shared" si="1"/>
        <v>YES</v>
      </c>
      <c r="G161" s="78"/>
      <c r="H161" s="13" t="s">
        <v>247</v>
      </c>
      <c r="I161" s="74" t="str">
        <f t="shared" si="2"/>
        <v>YES</v>
      </c>
      <c r="J161" s="75" t="str">
        <f t="shared" si="3"/>
        <v>YES</v>
      </c>
      <c r="K161" s="37" t="s">
        <v>199</v>
      </c>
      <c r="M161" s="76"/>
      <c r="N161" s="75" t="str">
        <f t="shared" si="4"/>
        <v>YES</v>
      </c>
      <c r="O161" s="75" t="s">
        <v>149</v>
      </c>
      <c r="P161" s="75" t="s">
        <v>149</v>
      </c>
      <c r="Q161" s="75" t="str">
        <f t="shared" si="5"/>
        <v>YES</v>
      </c>
      <c r="R161" s="75" t="str">
        <f t="shared" si="6"/>
        <v>NO</v>
      </c>
      <c r="S161" s="75"/>
      <c r="T161" s="75"/>
      <c r="U161" s="75" t="str">
        <f t="shared" si="7"/>
        <v/>
      </c>
      <c r="V161" s="76"/>
      <c r="W161" s="14"/>
    </row>
    <row r="162">
      <c r="A162" s="42" t="s">
        <v>538</v>
      </c>
      <c r="B162" s="37">
        <v>2015.0</v>
      </c>
      <c r="C162" s="69" t="s">
        <v>539</v>
      </c>
      <c r="D162" s="71" t="s">
        <v>95</v>
      </c>
      <c r="E162" s="13"/>
      <c r="F162" s="74" t="str">
        <f t="shared" si="1"/>
        <v/>
      </c>
      <c r="G162" s="78"/>
      <c r="H162" s="13"/>
      <c r="I162" s="74" t="str">
        <f t="shared" si="2"/>
        <v/>
      </c>
      <c r="J162" s="75" t="str">
        <f t="shared" si="3"/>
        <v>NO</v>
      </c>
      <c r="K162" s="20"/>
      <c r="M162" s="76"/>
      <c r="N162" s="75" t="str">
        <f t="shared" si="4"/>
        <v>NO</v>
      </c>
      <c r="O162" s="76"/>
      <c r="P162" s="76"/>
      <c r="Q162" s="75" t="str">
        <f t="shared" si="5"/>
        <v/>
      </c>
      <c r="R162" s="75" t="str">
        <f t="shared" si="6"/>
        <v>NO</v>
      </c>
      <c r="S162" s="75"/>
      <c r="T162" s="75"/>
      <c r="U162" s="75" t="str">
        <f t="shared" si="7"/>
        <v/>
      </c>
      <c r="V162" s="76"/>
      <c r="W162" s="14"/>
    </row>
    <row r="163">
      <c r="A163" s="42" t="s">
        <v>540</v>
      </c>
      <c r="B163" s="37">
        <v>2016.0</v>
      </c>
      <c r="C163" s="69" t="s">
        <v>541</v>
      </c>
      <c r="D163" s="78"/>
      <c r="F163" s="74" t="str">
        <f t="shared" si="1"/>
        <v/>
      </c>
      <c r="G163" s="78"/>
      <c r="I163" s="74" t="str">
        <f t="shared" si="2"/>
        <v/>
      </c>
      <c r="J163" s="75" t="str">
        <f t="shared" si="3"/>
        <v>YES</v>
      </c>
      <c r="K163" s="37" t="s">
        <v>130</v>
      </c>
      <c r="M163" s="76"/>
      <c r="N163" s="75" t="str">
        <f t="shared" si="4"/>
        <v>YES</v>
      </c>
      <c r="O163" s="75" t="s">
        <v>149</v>
      </c>
      <c r="P163" s="76"/>
      <c r="Q163" s="75" t="str">
        <f t="shared" si="5"/>
        <v/>
      </c>
      <c r="R163" s="75" t="str">
        <f t="shared" si="6"/>
        <v>NO</v>
      </c>
      <c r="S163" s="75"/>
      <c r="T163" s="75"/>
      <c r="U163" s="75" t="str">
        <f t="shared" si="7"/>
        <v/>
      </c>
      <c r="V163" s="76"/>
      <c r="W163" s="14"/>
    </row>
    <row r="164">
      <c r="A164" s="42" t="s">
        <v>542</v>
      </c>
      <c r="B164" s="37">
        <v>2015.0</v>
      </c>
      <c r="C164" s="69" t="s">
        <v>543</v>
      </c>
      <c r="D164" s="78"/>
      <c r="F164" s="74" t="str">
        <f t="shared" si="1"/>
        <v/>
      </c>
      <c r="G164" s="78"/>
      <c r="I164" s="74" t="str">
        <f t="shared" si="2"/>
        <v/>
      </c>
      <c r="J164" s="75" t="str">
        <f t="shared" si="3"/>
        <v>YES</v>
      </c>
      <c r="K164" s="37" t="s">
        <v>86</v>
      </c>
      <c r="M164" s="76"/>
      <c r="N164" s="75" t="str">
        <f t="shared" si="4"/>
        <v>NO</v>
      </c>
      <c r="O164" s="76"/>
      <c r="P164" s="76"/>
      <c r="Q164" s="75" t="str">
        <f t="shared" si="5"/>
        <v/>
      </c>
      <c r="R164" s="75" t="str">
        <f t="shared" si="6"/>
        <v>NO</v>
      </c>
      <c r="S164" s="75"/>
      <c r="T164" s="75"/>
      <c r="U164" s="75" t="str">
        <f t="shared" si="7"/>
        <v/>
      </c>
      <c r="V164" s="76"/>
      <c r="W164" s="14"/>
    </row>
    <row r="165">
      <c r="A165" s="42" t="s">
        <v>544</v>
      </c>
      <c r="B165" s="37">
        <v>2012.0</v>
      </c>
      <c r="C165" s="69" t="s">
        <v>545</v>
      </c>
      <c r="D165" s="71" t="s">
        <v>95</v>
      </c>
      <c r="E165" s="13" t="s">
        <v>95</v>
      </c>
      <c r="F165" s="74" t="str">
        <f t="shared" si="1"/>
        <v>YES</v>
      </c>
      <c r="G165" s="78"/>
      <c r="H165" s="13" t="s">
        <v>247</v>
      </c>
      <c r="I165" s="74" t="str">
        <f t="shared" si="2"/>
        <v>YES</v>
      </c>
      <c r="J165" s="75" t="str">
        <f t="shared" si="3"/>
        <v>NO</v>
      </c>
      <c r="K165" s="20"/>
      <c r="M165" s="76"/>
      <c r="N165" s="75" t="str">
        <f t="shared" si="4"/>
        <v>NO</v>
      </c>
      <c r="O165" s="76"/>
      <c r="P165" s="76"/>
      <c r="Q165" s="75" t="str">
        <f t="shared" si="5"/>
        <v/>
      </c>
      <c r="R165" s="75" t="str">
        <f t="shared" si="6"/>
        <v>NO</v>
      </c>
      <c r="S165" s="75"/>
      <c r="T165" s="75"/>
      <c r="U165" s="75" t="str">
        <f t="shared" si="7"/>
        <v/>
      </c>
      <c r="V165" s="76"/>
      <c r="W165" s="14"/>
    </row>
    <row r="166">
      <c r="A166" s="42" t="s">
        <v>546</v>
      </c>
      <c r="B166" s="37">
        <v>2014.0</v>
      </c>
      <c r="C166" s="69" t="s">
        <v>547</v>
      </c>
      <c r="D166" s="71"/>
      <c r="E166" s="13"/>
      <c r="F166" s="74" t="str">
        <f t="shared" si="1"/>
        <v/>
      </c>
      <c r="G166" s="71" t="s">
        <v>95</v>
      </c>
      <c r="H166" s="13"/>
      <c r="I166" s="74" t="str">
        <f t="shared" si="2"/>
        <v/>
      </c>
      <c r="J166" s="75" t="str">
        <f t="shared" si="3"/>
        <v>NO</v>
      </c>
      <c r="K166" s="20"/>
      <c r="M166" s="76"/>
      <c r="N166" s="75" t="str">
        <f t="shared" si="4"/>
        <v>NO</v>
      </c>
      <c r="O166" s="76"/>
      <c r="P166" s="76"/>
      <c r="Q166" s="75" t="str">
        <f t="shared" si="5"/>
        <v/>
      </c>
      <c r="R166" s="75" t="str">
        <f t="shared" si="6"/>
        <v>NO</v>
      </c>
      <c r="S166" s="75"/>
      <c r="T166" s="75"/>
      <c r="U166" s="75" t="str">
        <f t="shared" si="7"/>
        <v/>
      </c>
      <c r="V166" s="76"/>
      <c r="W166" s="14"/>
    </row>
    <row r="167">
      <c r="A167" s="42" t="s">
        <v>548</v>
      </c>
      <c r="B167" s="37">
        <v>2015.0</v>
      </c>
      <c r="C167" s="69" t="s">
        <v>549</v>
      </c>
      <c r="D167" s="78"/>
      <c r="F167" s="74" t="str">
        <f t="shared" si="1"/>
        <v/>
      </c>
      <c r="G167" s="78"/>
      <c r="I167" s="74" t="str">
        <f t="shared" si="2"/>
        <v/>
      </c>
      <c r="J167" s="75" t="str">
        <f t="shared" si="3"/>
        <v>YES</v>
      </c>
      <c r="K167" s="37" t="s">
        <v>91</v>
      </c>
      <c r="M167" s="76"/>
      <c r="N167" s="75" t="str">
        <f t="shared" si="4"/>
        <v>NO</v>
      </c>
      <c r="O167" s="76"/>
      <c r="P167" s="76"/>
      <c r="Q167" s="75" t="str">
        <f t="shared" si="5"/>
        <v/>
      </c>
      <c r="R167" s="75" t="str">
        <f t="shared" si="6"/>
        <v>NO</v>
      </c>
      <c r="S167" s="75"/>
      <c r="T167" s="75"/>
      <c r="U167" s="75" t="str">
        <f t="shared" si="7"/>
        <v/>
      </c>
      <c r="V167" s="76"/>
      <c r="W167" s="14"/>
    </row>
    <row r="168">
      <c r="A168" s="37" t="s">
        <v>550</v>
      </c>
      <c r="B168" s="37">
        <v>2016.0</v>
      </c>
      <c r="C168" s="69" t="s">
        <v>992</v>
      </c>
      <c r="D168" s="78"/>
      <c r="E168" s="13" t="s">
        <v>247</v>
      </c>
      <c r="F168" s="74" t="str">
        <f t="shared" si="1"/>
        <v>YES</v>
      </c>
      <c r="G168" s="78"/>
      <c r="H168" s="13" t="s">
        <v>247</v>
      </c>
      <c r="I168" s="74" t="str">
        <f t="shared" si="2"/>
        <v>YES</v>
      </c>
      <c r="J168" s="75" t="str">
        <f t="shared" si="3"/>
        <v>YES</v>
      </c>
      <c r="K168" s="37" t="s">
        <v>130</v>
      </c>
      <c r="M168" s="76"/>
      <c r="N168" s="75" t="str">
        <f t="shared" si="4"/>
        <v>YES</v>
      </c>
      <c r="O168" s="75" t="s">
        <v>131</v>
      </c>
      <c r="P168" s="76"/>
      <c r="Q168" s="75" t="str">
        <f t="shared" si="5"/>
        <v/>
      </c>
      <c r="R168" s="75" t="str">
        <f t="shared" si="6"/>
        <v>YES</v>
      </c>
      <c r="S168" s="75" t="s">
        <v>131</v>
      </c>
      <c r="T168" s="75" t="s">
        <v>131</v>
      </c>
      <c r="U168" s="75" t="str">
        <f t="shared" si="7"/>
        <v>YES</v>
      </c>
      <c r="V168" s="75" t="s">
        <v>285</v>
      </c>
      <c r="W168" s="14"/>
    </row>
    <row r="169">
      <c r="A169" s="42" t="s">
        <v>552</v>
      </c>
      <c r="B169" s="37">
        <v>2016.0</v>
      </c>
      <c r="C169" s="69" t="s">
        <v>553</v>
      </c>
      <c r="D169" s="78"/>
      <c r="F169" s="74" t="str">
        <f t="shared" si="1"/>
        <v/>
      </c>
      <c r="G169" s="78"/>
      <c r="I169" s="74" t="str">
        <f t="shared" si="2"/>
        <v/>
      </c>
      <c r="J169" s="75" t="str">
        <f t="shared" si="3"/>
        <v>YES</v>
      </c>
      <c r="K169" s="37" t="s">
        <v>130</v>
      </c>
      <c r="L169" s="13" t="s">
        <v>7</v>
      </c>
      <c r="M169" s="75" t="s">
        <v>142</v>
      </c>
      <c r="N169" s="75" t="str">
        <f t="shared" si="4"/>
        <v>YES</v>
      </c>
      <c r="O169" s="75" t="s">
        <v>131</v>
      </c>
      <c r="P169" s="75"/>
      <c r="Q169" s="75" t="str">
        <f t="shared" si="5"/>
        <v/>
      </c>
      <c r="R169" s="75" t="str">
        <f t="shared" si="6"/>
        <v>YES</v>
      </c>
      <c r="S169" s="75"/>
      <c r="T169" s="75"/>
      <c r="U169" s="75" t="str">
        <f t="shared" si="7"/>
        <v/>
      </c>
      <c r="V169" s="76"/>
      <c r="W169" s="14"/>
    </row>
    <row r="170">
      <c r="A170" s="37" t="s">
        <v>555</v>
      </c>
      <c r="B170" s="37">
        <v>2016.0</v>
      </c>
      <c r="C170" s="69" t="s">
        <v>556</v>
      </c>
      <c r="D170" s="78"/>
      <c r="F170" s="74" t="str">
        <f t="shared" si="1"/>
        <v/>
      </c>
      <c r="G170" s="78"/>
      <c r="I170" s="74" t="str">
        <f t="shared" si="2"/>
        <v/>
      </c>
      <c r="J170" s="75" t="str">
        <f t="shared" si="3"/>
        <v>YES</v>
      </c>
      <c r="K170" s="37" t="s">
        <v>91</v>
      </c>
      <c r="M170" s="76"/>
      <c r="N170" s="75" t="str">
        <f t="shared" si="4"/>
        <v>NO</v>
      </c>
      <c r="O170" s="76"/>
      <c r="P170" s="76"/>
      <c r="Q170" s="75" t="str">
        <f t="shared" si="5"/>
        <v/>
      </c>
      <c r="R170" s="75" t="str">
        <f t="shared" si="6"/>
        <v>NO</v>
      </c>
      <c r="S170" s="75"/>
      <c r="T170" s="75"/>
      <c r="U170" s="75" t="str">
        <f t="shared" si="7"/>
        <v/>
      </c>
      <c r="V170" s="76"/>
      <c r="W170" s="14"/>
    </row>
    <row r="171">
      <c r="A171" s="37" t="s">
        <v>558</v>
      </c>
      <c r="B171" s="37">
        <v>2016.0</v>
      </c>
      <c r="C171" s="69" t="s">
        <v>559</v>
      </c>
      <c r="D171" s="78"/>
      <c r="F171" s="74" t="str">
        <f t="shared" si="1"/>
        <v/>
      </c>
      <c r="G171" s="78"/>
      <c r="I171" s="74" t="str">
        <f t="shared" si="2"/>
        <v/>
      </c>
      <c r="J171" s="75" t="str">
        <f t="shared" si="3"/>
        <v>YES</v>
      </c>
      <c r="K171" s="37" t="s">
        <v>187</v>
      </c>
      <c r="M171" s="75"/>
      <c r="N171" s="75" t="str">
        <f t="shared" si="4"/>
        <v>NO</v>
      </c>
      <c r="O171" s="76"/>
      <c r="P171" s="75"/>
      <c r="Q171" s="75" t="str">
        <f t="shared" si="5"/>
        <v/>
      </c>
      <c r="R171" s="75" t="str">
        <f t="shared" si="6"/>
        <v>NO</v>
      </c>
      <c r="S171" s="75"/>
      <c r="T171" s="75"/>
      <c r="U171" s="75" t="str">
        <f t="shared" si="7"/>
        <v/>
      </c>
      <c r="V171" s="76"/>
      <c r="W171" s="14"/>
    </row>
    <row r="172">
      <c r="A172" s="37" t="s">
        <v>560</v>
      </c>
      <c r="B172" s="37">
        <v>2016.0</v>
      </c>
      <c r="C172" s="69" t="s">
        <v>561</v>
      </c>
      <c r="D172" s="78"/>
      <c r="E172" s="13" t="s">
        <v>247</v>
      </c>
      <c r="F172" s="74" t="str">
        <f t="shared" si="1"/>
        <v>YES</v>
      </c>
      <c r="G172" s="78"/>
      <c r="H172" s="13" t="s">
        <v>247</v>
      </c>
      <c r="I172" s="74" t="str">
        <f t="shared" si="2"/>
        <v>YES</v>
      </c>
      <c r="J172" s="75" t="str">
        <f t="shared" si="3"/>
        <v>YES</v>
      </c>
      <c r="K172" s="37" t="s">
        <v>199</v>
      </c>
      <c r="L172" s="13" t="s">
        <v>7</v>
      </c>
      <c r="M172" s="75" t="s">
        <v>142</v>
      </c>
      <c r="N172" s="75" t="str">
        <f t="shared" si="4"/>
        <v>YES</v>
      </c>
      <c r="O172" s="75" t="s">
        <v>149</v>
      </c>
      <c r="P172" s="75"/>
      <c r="Q172" s="75" t="str">
        <f t="shared" si="5"/>
        <v/>
      </c>
      <c r="R172" s="75" t="str">
        <f t="shared" si="6"/>
        <v>NO</v>
      </c>
      <c r="S172" s="75"/>
      <c r="T172" s="75"/>
      <c r="U172" s="75" t="str">
        <f t="shared" si="7"/>
        <v/>
      </c>
      <c r="V172" s="76"/>
      <c r="W172" s="14"/>
    </row>
    <row r="173">
      <c r="A173" s="37" t="s">
        <v>562</v>
      </c>
      <c r="B173" s="37">
        <v>2016.0</v>
      </c>
      <c r="C173" s="69" t="s">
        <v>563</v>
      </c>
      <c r="D173" s="78"/>
      <c r="F173" s="74" t="str">
        <f t="shared" si="1"/>
        <v/>
      </c>
      <c r="G173" s="78"/>
      <c r="I173" s="74" t="str">
        <f t="shared" si="2"/>
        <v/>
      </c>
      <c r="J173" s="75" t="str">
        <f t="shared" si="3"/>
        <v>YES</v>
      </c>
      <c r="K173" s="37" t="s">
        <v>91</v>
      </c>
      <c r="M173" s="76"/>
      <c r="N173" s="75" t="str">
        <f t="shared" si="4"/>
        <v>NO</v>
      </c>
      <c r="O173" s="76"/>
      <c r="P173" s="76"/>
      <c r="Q173" s="75" t="str">
        <f t="shared" si="5"/>
        <v/>
      </c>
      <c r="R173" s="75" t="str">
        <f t="shared" si="6"/>
        <v>NO</v>
      </c>
      <c r="S173" s="75"/>
      <c r="T173" s="75"/>
      <c r="U173" s="75" t="str">
        <f t="shared" si="7"/>
        <v/>
      </c>
      <c r="V173" s="76"/>
      <c r="W173" s="14"/>
    </row>
    <row r="174">
      <c r="A174" s="37" t="s">
        <v>564</v>
      </c>
      <c r="B174" s="37">
        <v>2016.0</v>
      </c>
      <c r="C174" s="69" t="s">
        <v>565</v>
      </c>
      <c r="D174" s="78"/>
      <c r="E174" s="13" t="s">
        <v>247</v>
      </c>
      <c r="F174" s="74" t="str">
        <f t="shared" si="1"/>
        <v>YES</v>
      </c>
      <c r="G174" s="78"/>
      <c r="H174" s="13" t="s">
        <v>247</v>
      </c>
      <c r="I174" s="74" t="str">
        <f t="shared" si="2"/>
        <v>YES</v>
      </c>
      <c r="J174" s="75" t="str">
        <f t="shared" si="3"/>
        <v>YES</v>
      </c>
      <c r="K174" s="37" t="s">
        <v>130</v>
      </c>
      <c r="L174" s="13" t="s">
        <v>7</v>
      </c>
      <c r="M174" s="75" t="s">
        <v>142</v>
      </c>
      <c r="N174" s="75" t="str">
        <f t="shared" si="4"/>
        <v>YES</v>
      </c>
      <c r="O174" s="75" t="s">
        <v>131</v>
      </c>
      <c r="P174" s="76"/>
      <c r="Q174" s="75" t="str">
        <f t="shared" si="5"/>
        <v/>
      </c>
      <c r="R174" s="75" t="str">
        <f t="shared" si="6"/>
        <v>YES</v>
      </c>
      <c r="S174" s="75"/>
      <c r="T174" s="75"/>
      <c r="U174" s="75" t="str">
        <f t="shared" si="7"/>
        <v/>
      </c>
      <c r="V174" s="76"/>
      <c r="W174" s="14"/>
    </row>
    <row r="175">
      <c r="A175" s="37" t="s">
        <v>567</v>
      </c>
      <c r="B175" s="37">
        <v>2016.0</v>
      </c>
      <c r="C175" s="69" t="s">
        <v>568</v>
      </c>
      <c r="D175" s="78"/>
      <c r="E175" s="13" t="s">
        <v>247</v>
      </c>
      <c r="F175" s="74" t="str">
        <f t="shared" si="1"/>
        <v>YES</v>
      </c>
      <c r="G175" s="78"/>
      <c r="H175" s="13" t="s">
        <v>247</v>
      </c>
      <c r="I175" s="74" t="str">
        <f t="shared" si="2"/>
        <v>YES</v>
      </c>
      <c r="J175" s="75" t="str">
        <f t="shared" si="3"/>
        <v>YES</v>
      </c>
      <c r="K175" s="37" t="s">
        <v>199</v>
      </c>
      <c r="M175" s="76"/>
      <c r="N175" s="75" t="str">
        <f t="shared" si="4"/>
        <v>YES</v>
      </c>
      <c r="O175" s="75" t="s">
        <v>149</v>
      </c>
      <c r="P175" s="76"/>
      <c r="Q175" s="75" t="str">
        <f t="shared" si="5"/>
        <v/>
      </c>
      <c r="R175" s="75" t="str">
        <f t="shared" si="6"/>
        <v>NO</v>
      </c>
      <c r="S175" s="75"/>
      <c r="T175" s="75"/>
      <c r="U175" s="75" t="str">
        <f t="shared" si="7"/>
        <v/>
      </c>
      <c r="V175" s="76"/>
      <c r="W175" s="14"/>
    </row>
    <row r="176">
      <c r="A176" s="37" t="s">
        <v>569</v>
      </c>
      <c r="B176" s="37">
        <v>2016.0</v>
      </c>
      <c r="C176" s="69" t="s">
        <v>570</v>
      </c>
      <c r="D176" s="78"/>
      <c r="F176" s="74" t="str">
        <f t="shared" si="1"/>
        <v/>
      </c>
      <c r="G176" s="78"/>
      <c r="I176" s="74" t="str">
        <f t="shared" si="2"/>
        <v/>
      </c>
      <c r="J176" s="75" t="str">
        <f t="shared" si="3"/>
        <v>YES</v>
      </c>
      <c r="K176" s="37" t="s">
        <v>91</v>
      </c>
      <c r="M176" s="76"/>
      <c r="N176" s="75" t="str">
        <f t="shared" si="4"/>
        <v>NO</v>
      </c>
      <c r="O176" s="76"/>
      <c r="P176" s="76"/>
      <c r="Q176" s="75" t="str">
        <f t="shared" si="5"/>
        <v/>
      </c>
      <c r="R176" s="75" t="str">
        <f t="shared" si="6"/>
        <v>NO</v>
      </c>
      <c r="S176" s="75"/>
      <c r="T176" s="75"/>
      <c r="U176" s="75" t="str">
        <f t="shared" si="7"/>
        <v/>
      </c>
      <c r="V176" s="76"/>
      <c r="W176" s="14"/>
    </row>
    <row r="177">
      <c r="A177" s="37" t="s">
        <v>571</v>
      </c>
      <c r="B177" s="37">
        <v>2016.0</v>
      </c>
      <c r="C177" s="69" t="s">
        <v>572</v>
      </c>
      <c r="D177" s="78"/>
      <c r="F177" s="74" t="str">
        <f t="shared" si="1"/>
        <v/>
      </c>
      <c r="G177" s="78"/>
      <c r="I177" s="74" t="str">
        <f t="shared" si="2"/>
        <v/>
      </c>
      <c r="J177" s="75" t="str">
        <f t="shared" si="3"/>
        <v>YES</v>
      </c>
      <c r="K177" s="37" t="s">
        <v>130</v>
      </c>
      <c r="M177" s="76"/>
      <c r="N177" s="75" t="str">
        <f t="shared" si="4"/>
        <v>YES</v>
      </c>
      <c r="O177" s="75" t="s">
        <v>149</v>
      </c>
      <c r="P177" s="76"/>
      <c r="Q177" s="75" t="str">
        <f t="shared" si="5"/>
        <v/>
      </c>
      <c r="R177" s="75" t="str">
        <f t="shared" si="6"/>
        <v>NO</v>
      </c>
      <c r="S177" s="75"/>
      <c r="T177" s="75"/>
      <c r="U177" s="75" t="str">
        <f t="shared" si="7"/>
        <v/>
      </c>
      <c r="V177" s="76"/>
      <c r="W177" s="14"/>
    </row>
    <row r="178">
      <c r="A178" s="37" t="s">
        <v>573</v>
      </c>
      <c r="B178" s="37">
        <v>2016.0</v>
      </c>
      <c r="C178" s="69" t="s">
        <v>574</v>
      </c>
      <c r="D178" s="78"/>
      <c r="E178" s="13" t="s">
        <v>247</v>
      </c>
      <c r="F178" s="74" t="str">
        <f t="shared" si="1"/>
        <v>YES</v>
      </c>
      <c r="G178" s="78"/>
      <c r="H178" s="13" t="s">
        <v>247</v>
      </c>
      <c r="I178" s="74" t="str">
        <f t="shared" si="2"/>
        <v>YES</v>
      </c>
      <c r="J178" s="75" t="str">
        <f t="shared" si="3"/>
        <v>YES</v>
      </c>
      <c r="K178" s="37" t="s">
        <v>130</v>
      </c>
      <c r="M178" s="76"/>
      <c r="N178" s="75" t="str">
        <f t="shared" si="4"/>
        <v>YES</v>
      </c>
      <c r="O178" s="75" t="s">
        <v>131</v>
      </c>
      <c r="P178" s="76"/>
      <c r="Q178" s="75" t="str">
        <f t="shared" si="5"/>
        <v/>
      </c>
      <c r="R178" s="75" t="str">
        <f t="shared" si="6"/>
        <v>YES</v>
      </c>
      <c r="S178" s="75"/>
      <c r="T178" s="75"/>
      <c r="U178" s="75" t="str">
        <f t="shared" si="7"/>
        <v/>
      </c>
      <c r="V178" s="76"/>
      <c r="W178" s="14"/>
    </row>
    <row r="179">
      <c r="A179" s="37" t="s">
        <v>576</v>
      </c>
      <c r="B179" s="37">
        <v>2016.0</v>
      </c>
      <c r="C179" s="69" t="s">
        <v>577</v>
      </c>
      <c r="D179" s="78"/>
      <c r="F179" s="74" t="str">
        <f t="shared" si="1"/>
        <v/>
      </c>
      <c r="G179" s="78"/>
      <c r="I179" s="74" t="str">
        <f t="shared" si="2"/>
        <v/>
      </c>
      <c r="J179" s="75" t="str">
        <f t="shared" si="3"/>
        <v>YES</v>
      </c>
      <c r="K179" s="37" t="s">
        <v>86</v>
      </c>
      <c r="M179" s="76"/>
      <c r="N179" s="75" t="str">
        <f t="shared" si="4"/>
        <v>NO</v>
      </c>
      <c r="O179" s="76"/>
      <c r="P179" s="76"/>
      <c r="Q179" s="75" t="str">
        <f t="shared" si="5"/>
        <v/>
      </c>
      <c r="R179" s="75" t="str">
        <f t="shared" si="6"/>
        <v>NO</v>
      </c>
      <c r="S179" s="75"/>
      <c r="T179" s="75"/>
      <c r="U179" s="75" t="str">
        <f t="shared" si="7"/>
        <v/>
      </c>
      <c r="V179" s="76"/>
      <c r="W179" s="14"/>
    </row>
    <row r="180">
      <c r="A180" s="37" t="s">
        <v>578</v>
      </c>
      <c r="B180" s="37">
        <v>2016.0</v>
      </c>
      <c r="C180" s="69" t="s">
        <v>579</v>
      </c>
      <c r="D180" s="78"/>
      <c r="F180" s="74" t="str">
        <f t="shared" si="1"/>
        <v/>
      </c>
      <c r="G180" s="78"/>
      <c r="I180" s="74" t="str">
        <f t="shared" si="2"/>
        <v/>
      </c>
      <c r="J180" s="75" t="str">
        <f t="shared" si="3"/>
        <v>YES</v>
      </c>
      <c r="K180" s="37" t="s">
        <v>130</v>
      </c>
      <c r="M180" s="76"/>
      <c r="N180" s="75" t="str">
        <f t="shared" si="4"/>
        <v>YES</v>
      </c>
      <c r="O180" s="75" t="s">
        <v>149</v>
      </c>
      <c r="P180" s="76"/>
      <c r="Q180" s="75" t="str">
        <f t="shared" si="5"/>
        <v/>
      </c>
      <c r="R180" s="75" t="str">
        <f t="shared" si="6"/>
        <v>NO</v>
      </c>
      <c r="S180" s="75"/>
      <c r="T180" s="75"/>
      <c r="U180" s="75" t="str">
        <f t="shared" si="7"/>
        <v/>
      </c>
      <c r="V180" s="76"/>
      <c r="W180" s="14"/>
    </row>
    <row r="181">
      <c r="A181" s="37" t="s">
        <v>580</v>
      </c>
      <c r="B181" s="37">
        <v>2016.0</v>
      </c>
      <c r="C181" s="69" t="s">
        <v>581</v>
      </c>
      <c r="D181" s="78"/>
      <c r="E181" s="13" t="s">
        <v>247</v>
      </c>
      <c r="F181" s="74" t="str">
        <f t="shared" si="1"/>
        <v>YES</v>
      </c>
      <c r="G181" s="78"/>
      <c r="H181" s="13" t="s">
        <v>247</v>
      </c>
      <c r="I181" s="74" t="str">
        <f t="shared" si="2"/>
        <v>YES</v>
      </c>
      <c r="J181" s="75" t="str">
        <f t="shared" si="3"/>
        <v>YES</v>
      </c>
      <c r="K181" s="37" t="s">
        <v>91</v>
      </c>
      <c r="M181" s="76"/>
      <c r="N181" s="75" t="str">
        <f t="shared" si="4"/>
        <v>NO</v>
      </c>
      <c r="O181" s="76"/>
      <c r="P181" s="76"/>
      <c r="Q181" s="75" t="str">
        <f t="shared" si="5"/>
        <v/>
      </c>
      <c r="R181" s="75" t="str">
        <f t="shared" si="6"/>
        <v>NO</v>
      </c>
      <c r="S181" s="75"/>
      <c r="T181" s="75"/>
      <c r="U181" s="75" t="str">
        <f t="shared" si="7"/>
        <v/>
      </c>
      <c r="V181" s="76"/>
      <c r="W181" s="14"/>
    </row>
    <row r="182">
      <c r="A182" s="37" t="s">
        <v>582</v>
      </c>
      <c r="B182" s="37">
        <v>2016.0</v>
      </c>
      <c r="C182" s="69" t="s">
        <v>583</v>
      </c>
      <c r="D182" s="78"/>
      <c r="E182" s="13" t="s">
        <v>247</v>
      </c>
      <c r="F182" s="74" t="str">
        <f t="shared" si="1"/>
        <v>YES</v>
      </c>
      <c r="G182" s="78"/>
      <c r="H182" s="13" t="s">
        <v>247</v>
      </c>
      <c r="I182" s="74" t="str">
        <f t="shared" si="2"/>
        <v>YES</v>
      </c>
      <c r="J182" s="75" t="str">
        <f t="shared" si="3"/>
        <v>YES</v>
      </c>
      <c r="K182" s="37" t="s">
        <v>91</v>
      </c>
      <c r="M182" s="76"/>
      <c r="N182" s="75" t="str">
        <f t="shared" si="4"/>
        <v>NO</v>
      </c>
      <c r="O182" s="76"/>
      <c r="P182" s="76"/>
      <c r="Q182" s="75" t="str">
        <f t="shared" si="5"/>
        <v/>
      </c>
      <c r="R182" s="75" t="str">
        <f t="shared" si="6"/>
        <v>NO</v>
      </c>
      <c r="S182" s="75"/>
      <c r="T182" s="75"/>
      <c r="U182" s="75" t="str">
        <f t="shared" si="7"/>
        <v/>
      </c>
      <c r="V182" s="76"/>
      <c r="W182" s="14"/>
    </row>
    <row r="183">
      <c r="A183" s="37" t="s">
        <v>584</v>
      </c>
      <c r="B183" s="37">
        <v>2016.0</v>
      </c>
      <c r="C183" s="69" t="s">
        <v>585</v>
      </c>
      <c r="D183" s="78"/>
      <c r="F183" s="74" t="str">
        <f t="shared" si="1"/>
        <v/>
      </c>
      <c r="G183" s="78"/>
      <c r="I183" s="74" t="str">
        <f t="shared" si="2"/>
        <v/>
      </c>
      <c r="J183" s="75" t="str">
        <f t="shared" si="3"/>
        <v>YES</v>
      </c>
      <c r="K183" s="37" t="s">
        <v>130</v>
      </c>
      <c r="M183" s="76"/>
      <c r="N183" s="75" t="str">
        <f t="shared" si="4"/>
        <v>YES</v>
      </c>
      <c r="O183" s="75" t="s">
        <v>149</v>
      </c>
      <c r="P183" s="75" t="s">
        <v>149</v>
      </c>
      <c r="Q183" s="75" t="str">
        <f t="shared" si="5"/>
        <v>YES</v>
      </c>
      <c r="R183" s="75" t="str">
        <f t="shared" si="6"/>
        <v>NO</v>
      </c>
      <c r="S183" s="75"/>
      <c r="T183" s="75"/>
      <c r="U183" s="75" t="str">
        <f t="shared" si="7"/>
        <v/>
      </c>
      <c r="V183" s="76"/>
      <c r="W183" s="14"/>
    </row>
    <row r="184">
      <c r="A184" s="37" t="s">
        <v>586</v>
      </c>
      <c r="B184" s="37">
        <v>2016.0</v>
      </c>
      <c r="C184" s="69" t="s">
        <v>587</v>
      </c>
      <c r="D184" s="78"/>
      <c r="F184" s="74" t="str">
        <f t="shared" si="1"/>
        <v/>
      </c>
      <c r="G184" s="78"/>
      <c r="I184" s="74" t="str">
        <f t="shared" si="2"/>
        <v/>
      </c>
      <c r="J184" s="75" t="str">
        <f t="shared" si="3"/>
        <v>YES</v>
      </c>
      <c r="K184" s="37" t="s">
        <v>199</v>
      </c>
      <c r="M184" s="76"/>
      <c r="N184" s="75" t="str">
        <f t="shared" si="4"/>
        <v>YES</v>
      </c>
      <c r="O184" s="75" t="s">
        <v>149</v>
      </c>
      <c r="P184" s="76"/>
      <c r="Q184" s="75" t="str">
        <f t="shared" si="5"/>
        <v/>
      </c>
      <c r="R184" s="75" t="str">
        <f t="shared" si="6"/>
        <v>NO</v>
      </c>
      <c r="S184" s="75"/>
      <c r="T184" s="75"/>
      <c r="U184" s="75" t="str">
        <f t="shared" si="7"/>
        <v/>
      </c>
      <c r="V184" s="76"/>
      <c r="W184" s="14"/>
    </row>
    <row r="185">
      <c r="A185" s="46" t="s">
        <v>588</v>
      </c>
      <c r="B185" s="37">
        <v>2016.0</v>
      </c>
      <c r="C185" s="69" t="s">
        <v>589</v>
      </c>
      <c r="D185" s="78"/>
      <c r="E185" s="13" t="s">
        <v>247</v>
      </c>
      <c r="F185" s="74" t="str">
        <f t="shared" si="1"/>
        <v>YES</v>
      </c>
      <c r="G185" s="78"/>
      <c r="H185" s="13" t="s">
        <v>247</v>
      </c>
      <c r="I185" s="74" t="str">
        <f t="shared" si="2"/>
        <v>YES</v>
      </c>
      <c r="J185" s="75" t="str">
        <f t="shared" si="3"/>
        <v>YES</v>
      </c>
      <c r="K185" s="37" t="s">
        <v>130</v>
      </c>
      <c r="M185" s="76"/>
      <c r="N185" s="75" t="str">
        <f t="shared" si="4"/>
        <v>YES</v>
      </c>
      <c r="O185" s="75" t="s">
        <v>131</v>
      </c>
      <c r="P185" s="75" t="s">
        <v>131</v>
      </c>
      <c r="Q185" s="75" t="str">
        <f t="shared" si="5"/>
        <v>YES</v>
      </c>
      <c r="R185" s="75" t="str">
        <f t="shared" si="6"/>
        <v>YES</v>
      </c>
      <c r="S185" s="75"/>
      <c r="T185" s="75"/>
      <c r="U185" s="75" t="str">
        <f t="shared" si="7"/>
        <v/>
      </c>
      <c r="V185" s="76"/>
      <c r="W185" s="14"/>
    </row>
    <row r="186">
      <c r="A186" s="37" t="s">
        <v>592</v>
      </c>
      <c r="B186" s="37">
        <v>2016.0</v>
      </c>
      <c r="C186" s="69" t="s">
        <v>593</v>
      </c>
      <c r="D186" s="78"/>
      <c r="F186" s="74" t="str">
        <f t="shared" si="1"/>
        <v/>
      </c>
      <c r="G186" s="78"/>
      <c r="I186" s="74" t="str">
        <f t="shared" si="2"/>
        <v/>
      </c>
      <c r="J186" s="75" t="str">
        <f t="shared" si="3"/>
        <v>YES</v>
      </c>
      <c r="K186" s="37" t="s">
        <v>86</v>
      </c>
      <c r="M186" s="76"/>
      <c r="N186" s="75" t="str">
        <f t="shared" si="4"/>
        <v>NO</v>
      </c>
      <c r="O186" s="76"/>
      <c r="P186" s="76"/>
      <c r="Q186" s="75" t="str">
        <f t="shared" si="5"/>
        <v/>
      </c>
      <c r="R186" s="75" t="str">
        <f t="shared" si="6"/>
        <v>NO</v>
      </c>
      <c r="S186" s="75"/>
      <c r="T186" s="75"/>
      <c r="U186" s="75" t="str">
        <f t="shared" si="7"/>
        <v/>
      </c>
      <c r="V186" s="76"/>
      <c r="W186" s="14"/>
    </row>
    <row r="187">
      <c r="A187" s="37" t="s">
        <v>595</v>
      </c>
      <c r="B187" s="37">
        <v>2016.0</v>
      </c>
      <c r="C187" s="69" t="s">
        <v>596</v>
      </c>
      <c r="D187" s="78"/>
      <c r="F187" s="74" t="str">
        <f t="shared" si="1"/>
        <v/>
      </c>
      <c r="G187" s="78"/>
      <c r="I187" s="74" t="str">
        <f t="shared" si="2"/>
        <v/>
      </c>
      <c r="J187" s="75" t="str">
        <f t="shared" si="3"/>
        <v>YES</v>
      </c>
      <c r="K187" s="37" t="s">
        <v>130</v>
      </c>
      <c r="M187" s="76"/>
      <c r="N187" s="75" t="str">
        <f t="shared" si="4"/>
        <v>YES</v>
      </c>
      <c r="O187" s="75" t="s">
        <v>131</v>
      </c>
      <c r="P187" s="76"/>
      <c r="Q187" s="75" t="str">
        <f t="shared" si="5"/>
        <v/>
      </c>
      <c r="R187" s="75" t="str">
        <f t="shared" si="6"/>
        <v>YES</v>
      </c>
      <c r="S187" s="75" t="s">
        <v>131</v>
      </c>
      <c r="T187" s="75" t="s">
        <v>131</v>
      </c>
      <c r="U187" s="75" t="str">
        <f t="shared" si="7"/>
        <v>YES</v>
      </c>
      <c r="V187" s="75" t="s">
        <v>285</v>
      </c>
      <c r="W187" s="14"/>
    </row>
    <row r="188">
      <c r="A188" s="37" t="s">
        <v>600</v>
      </c>
      <c r="B188" s="37">
        <v>2016.0</v>
      </c>
      <c r="C188" s="69" t="s">
        <v>601</v>
      </c>
      <c r="D188" s="78"/>
      <c r="F188" s="74" t="str">
        <f t="shared" si="1"/>
        <v/>
      </c>
      <c r="G188" s="78"/>
      <c r="I188" s="74" t="str">
        <f t="shared" si="2"/>
        <v/>
      </c>
      <c r="J188" s="75" t="str">
        <f t="shared" si="3"/>
        <v>YES</v>
      </c>
      <c r="K188" s="37" t="s">
        <v>130</v>
      </c>
      <c r="L188" s="13" t="s">
        <v>7</v>
      </c>
      <c r="M188" s="75" t="s">
        <v>142</v>
      </c>
      <c r="N188" s="75" t="str">
        <f t="shared" si="4"/>
        <v>YES</v>
      </c>
      <c r="O188" s="75" t="s">
        <v>149</v>
      </c>
      <c r="P188" s="75"/>
      <c r="Q188" s="75" t="str">
        <f t="shared" si="5"/>
        <v/>
      </c>
      <c r="R188" s="75" t="str">
        <f t="shared" si="6"/>
        <v>NO</v>
      </c>
      <c r="S188" s="75"/>
      <c r="T188" s="75"/>
      <c r="U188" s="75" t="str">
        <f t="shared" si="7"/>
        <v/>
      </c>
      <c r="V188" s="76"/>
      <c r="W188" s="14"/>
    </row>
    <row r="189">
      <c r="A189" s="37" t="s">
        <v>602</v>
      </c>
      <c r="B189" s="37">
        <v>2016.0</v>
      </c>
      <c r="C189" s="69" t="s">
        <v>603</v>
      </c>
      <c r="D189" s="78"/>
      <c r="F189" s="74" t="str">
        <f t="shared" si="1"/>
        <v/>
      </c>
      <c r="G189" s="78"/>
      <c r="I189" s="74" t="str">
        <f t="shared" si="2"/>
        <v/>
      </c>
      <c r="J189" s="75" t="str">
        <f t="shared" si="3"/>
        <v>YES</v>
      </c>
      <c r="K189" s="37" t="s">
        <v>86</v>
      </c>
      <c r="M189" s="76"/>
      <c r="N189" s="75" t="str">
        <f t="shared" si="4"/>
        <v>NO</v>
      </c>
      <c r="O189" s="76"/>
      <c r="P189" s="76"/>
      <c r="Q189" s="75" t="str">
        <f t="shared" si="5"/>
        <v/>
      </c>
      <c r="R189" s="75" t="str">
        <f t="shared" si="6"/>
        <v>NO</v>
      </c>
      <c r="S189" s="75"/>
      <c r="T189" s="75"/>
      <c r="U189" s="75" t="str">
        <f t="shared" si="7"/>
        <v/>
      </c>
      <c r="V189" s="76"/>
      <c r="W189" s="14"/>
    </row>
    <row r="190">
      <c r="A190" s="37" t="s">
        <v>604</v>
      </c>
      <c r="B190" s="37">
        <v>2016.0</v>
      </c>
      <c r="C190" s="69" t="s">
        <v>605</v>
      </c>
      <c r="D190" s="78"/>
      <c r="F190" s="74" t="str">
        <f t="shared" si="1"/>
        <v/>
      </c>
      <c r="G190" s="78"/>
      <c r="I190" s="74" t="str">
        <f t="shared" si="2"/>
        <v/>
      </c>
      <c r="J190" s="75" t="str">
        <f t="shared" si="3"/>
        <v>YES</v>
      </c>
      <c r="K190" s="37" t="s">
        <v>86</v>
      </c>
      <c r="M190" s="76"/>
      <c r="N190" s="75" t="str">
        <f t="shared" si="4"/>
        <v>NO</v>
      </c>
      <c r="O190" s="76"/>
      <c r="P190" s="76"/>
      <c r="Q190" s="75" t="str">
        <f t="shared" si="5"/>
        <v/>
      </c>
      <c r="R190" s="75" t="str">
        <f t="shared" si="6"/>
        <v>NO</v>
      </c>
      <c r="S190" s="75"/>
      <c r="T190" s="75"/>
      <c r="U190" s="75" t="str">
        <f t="shared" si="7"/>
        <v/>
      </c>
      <c r="V190" s="76"/>
      <c r="W190" s="14"/>
    </row>
    <row r="191">
      <c r="A191" s="37" t="s">
        <v>606</v>
      </c>
      <c r="B191" s="37">
        <v>2015.0</v>
      </c>
      <c r="C191" s="69" t="s">
        <v>607</v>
      </c>
      <c r="D191" s="78"/>
      <c r="F191" s="74" t="str">
        <f t="shared" si="1"/>
        <v/>
      </c>
      <c r="G191" s="78"/>
      <c r="I191" s="74" t="str">
        <f t="shared" si="2"/>
        <v/>
      </c>
      <c r="J191" s="75" t="str">
        <f t="shared" si="3"/>
        <v>YES</v>
      </c>
      <c r="K191" s="37" t="s">
        <v>187</v>
      </c>
      <c r="M191" s="76"/>
      <c r="N191" s="75" t="str">
        <f t="shared" si="4"/>
        <v>NO</v>
      </c>
      <c r="O191" s="76"/>
      <c r="P191" s="76"/>
      <c r="Q191" s="75" t="str">
        <f t="shared" si="5"/>
        <v/>
      </c>
      <c r="R191" s="75" t="str">
        <f t="shared" si="6"/>
        <v>NO</v>
      </c>
      <c r="S191" s="75"/>
      <c r="T191" s="75"/>
      <c r="U191" s="75" t="str">
        <f t="shared" si="7"/>
        <v/>
      </c>
      <c r="V191" s="76"/>
      <c r="W191" s="14"/>
    </row>
    <row r="192">
      <c r="A192" s="37" t="s">
        <v>609</v>
      </c>
      <c r="B192" s="37">
        <v>2015.0</v>
      </c>
      <c r="C192" s="69" t="s">
        <v>610</v>
      </c>
      <c r="D192" s="78"/>
      <c r="F192" s="74" t="str">
        <f t="shared" si="1"/>
        <v/>
      </c>
      <c r="G192" s="78"/>
      <c r="I192" s="74" t="str">
        <f t="shared" si="2"/>
        <v/>
      </c>
      <c r="J192" s="75" t="str">
        <f t="shared" si="3"/>
        <v>YES</v>
      </c>
      <c r="K192" s="37" t="s">
        <v>91</v>
      </c>
      <c r="M192" s="76"/>
      <c r="N192" s="75" t="str">
        <f t="shared" si="4"/>
        <v>NO</v>
      </c>
      <c r="O192" s="76"/>
      <c r="P192" s="76"/>
      <c r="Q192" s="75" t="str">
        <f t="shared" si="5"/>
        <v/>
      </c>
      <c r="R192" s="75" t="str">
        <f t="shared" si="6"/>
        <v>NO</v>
      </c>
      <c r="S192" s="75"/>
      <c r="T192" s="75"/>
      <c r="U192" s="75" t="str">
        <f t="shared" si="7"/>
        <v/>
      </c>
      <c r="V192" s="76"/>
      <c r="W192" s="14"/>
    </row>
    <row r="193">
      <c r="A193" s="37" t="s">
        <v>611</v>
      </c>
      <c r="B193" s="37">
        <v>2015.0</v>
      </c>
      <c r="C193" s="69" t="s">
        <v>612</v>
      </c>
      <c r="D193" s="78"/>
      <c r="F193" s="74" t="str">
        <f t="shared" si="1"/>
        <v/>
      </c>
      <c r="G193" s="78"/>
      <c r="I193" s="74" t="str">
        <f t="shared" si="2"/>
        <v/>
      </c>
      <c r="J193" s="75" t="str">
        <f t="shared" si="3"/>
        <v>YES</v>
      </c>
      <c r="K193" s="37" t="s">
        <v>86</v>
      </c>
      <c r="M193" s="76"/>
      <c r="N193" s="75" t="str">
        <f t="shared" si="4"/>
        <v>NO</v>
      </c>
      <c r="O193" s="76"/>
      <c r="P193" s="76"/>
      <c r="Q193" s="75" t="str">
        <f t="shared" si="5"/>
        <v/>
      </c>
      <c r="R193" s="75" t="str">
        <f t="shared" si="6"/>
        <v>NO</v>
      </c>
      <c r="S193" s="75"/>
      <c r="T193" s="75"/>
      <c r="U193" s="75" t="str">
        <f t="shared" si="7"/>
        <v/>
      </c>
      <c r="V193" s="76"/>
      <c r="W193" s="14"/>
    </row>
    <row r="194">
      <c r="A194" s="37" t="s">
        <v>613</v>
      </c>
      <c r="B194" s="37">
        <v>2015.0</v>
      </c>
      <c r="C194" s="69" t="s">
        <v>614</v>
      </c>
      <c r="D194" s="78"/>
      <c r="F194" s="74" t="str">
        <f t="shared" si="1"/>
        <v/>
      </c>
      <c r="G194" s="78"/>
      <c r="I194" s="74" t="str">
        <f t="shared" si="2"/>
        <v/>
      </c>
      <c r="J194" s="75" t="str">
        <f t="shared" si="3"/>
        <v>YES</v>
      </c>
      <c r="K194" s="37" t="s">
        <v>199</v>
      </c>
      <c r="M194" s="76"/>
      <c r="N194" s="75" t="str">
        <f t="shared" si="4"/>
        <v>YES</v>
      </c>
      <c r="O194" s="75" t="s">
        <v>149</v>
      </c>
      <c r="P194" s="76"/>
      <c r="Q194" s="75" t="str">
        <f t="shared" si="5"/>
        <v/>
      </c>
      <c r="R194" s="75" t="str">
        <f t="shared" si="6"/>
        <v>NO</v>
      </c>
      <c r="S194" s="75"/>
      <c r="T194" s="75"/>
      <c r="U194" s="75" t="str">
        <f t="shared" si="7"/>
        <v/>
      </c>
      <c r="V194" s="76"/>
      <c r="W194" s="14"/>
    </row>
    <row r="195">
      <c r="A195" s="37" t="s">
        <v>616</v>
      </c>
      <c r="B195" s="37">
        <v>2015.0</v>
      </c>
      <c r="C195" s="69" t="s">
        <v>617</v>
      </c>
      <c r="D195" s="78"/>
      <c r="E195" s="13" t="s">
        <v>247</v>
      </c>
      <c r="F195" s="74" t="str">
        <f t="shared" si="1"/>
        <v>YES</v>
      </c>
      <c r="G195" s="78"/>
      <c r="H195" s="13" t="s">
        <v>247</v>
      </c>
      <c r="I195" s="74" t="str">
        <f t="shared" si="2"/>
        <v>YES</v>
      </c>
      <c r="J195" s="75" t="str">
        <f t="shared" si="3"/>
        <v>YES</v>
      </c>
      <c r="K195" s="37" t="s">
        <v>130</v>
      </c>
      <c r="M195" s="76"/>
      <c r="N195" s="75" t="str">
        <f t="shared" si="4"/>
        <v>YES</v>
      </c>
      <c r="O195" s="75" t="s">
        <v>131</v>
      </c>
      <c r="P195" s="76"/>
      <c r="Q195" s="75" t="str">
        <f t="shared" si="5"/>
        <v/>
      </c>
      <c r="R195" s="75" t="str">
        <f t="shared" si="6"/>
        <v>YES</v>
      </c>
      <c r="S195" s="75" t="s">
        <v>131</v>
      </c>
      <c r="T195" s="75" t="s">
        <v>131</v>
      </c>
      <c r="U195" s="75" t="str">
        <f t="shared" si="7"/>
        <v>YES</v>
      </c>
      <c r="V195" s="75" t="s">
        <v>285</v>
      </c>
      <c r="W195" s="14"/>
    </row>
    <row r="196">
      <c r="A196" s="37" t="s">
        <v>621</v>
      </c>
      <c r="B196" s="37">
        <v>2015.0</v>
      </c>
      <c r="C196" s="69" t="s">
        <v>622</v>
      </c>
      <c r="D196" s="78"/>
      <c r="F196" s="74" t="str">
        <f t="shared" si="1"/>
        <v/>
      </c>
      <c r="G196" s="78"/>
      <c r="I196" s="74" t="str">
        <f t="shared" si="2"/>
        <v/>
      </c>
      <c r="J196" s="75" t="str">
        <f t="shared" si="3"/>
        <v>YES</v>
      </c>
      <c r="K196" s="37" t="s">
        <v>130</v>
      </c>
      <c r="L196" s="13" t="s">
        <v>7</v>
      </c>
      <c r="M196" s="75" t="s">
        <v>142</v>
      </c>
      <c r="N196" s="75" t="str">
        <f t="shared" si="4"/>
        <v>YES</v>
      </c>
      <c r="O196" s="75" t="s">
        <v>149</v>
      </c>
      <c r="P196" s="75" t="s">
        <v>149</v>
      </c>
      <c r="Q196" s="75" t="str">
        <f t="shared" si="5"/>
        <v>YES</v>
      </c>
      <c r="R196" s="75" t="str">
        <f t="shared" si="6"/>
        <v>NO</v>
      </c>
      <c r="S196" s="75"/>
      <c r="T196" s="75"/>
      <c r="U196" s="75" t="str">
        <f t="shared" si="7"/>
        <v/>
      </c>
      <c r="V196" s="76"/>
      <c r="W196" s="14"/>
    </row>
    <row r="197">
      <c r="A197" s="37" t="s">
        <v>623</v>
      </c>
      <c r="B197" s="37">
        <v>2015.0</v>
      </c>
      <c r="C197" s="69" t="s">
        <v>1120</v>
      </c>
      <c r="D197" s="78"/>
      <c r="F197" s="74" t="str">
        <f t="shared" si="1"/>
        <v/>
      </c>
      <c r="G197" s="78"/>
      <c r="I197" s="74" t="str">
        <f t="shared" si="2"/>
        <v/>
      </c>
      <c r="J197" s="75" t="str">
        <f t="shared" si="3"/>
        <v>YES</v>
      </c>
      <c r="K197" s="37" t="s">
        <v>130</v>
      </c>
      <c r="M197" s="76"/>
      <c r="N197" s="75" t="str">
        <f t="shared" si="4"/>
        <v>YES</v>
      </c>
      <c r="O197" s="75" t="s">
        <v>149</v>
      </c>
      <c r="P197" s="76"/>
      <c r="Q197" s="75" t="str">
        <f t="shared" si="5"/>
        <v/>
      </c>
      <c r="R197" s="75" t="str">
        <f t="shared" si="6"/>
        <v>NO</v>
      </c>
      <c r="S197" s="75"/>
      <c r="T197" s="75"/>
      <c r="U197" s="75" t="str">
        <f t="shared" si="7"/>
        <v/>
      </c>
      <c r="V197" s="76"/>
      <c r="W197" s="14"/>
    </row>
    <row r="198">
      <c r="A198" s="37" t="s">
        <v>625</v>
      </c>
      <c r="B198" s="37">
        <v>2015.0</v>
      </c>
      <c r="C198" s="69" t="s">
        <v>626</v>
      </c>
      <c r="D198" s="78"/>
      <c r="F198" s="74" t="str">
        <f t="shared" si="1"/>
        <v/>
      </c>
      <c r="G198" s="78"/>
      <c r="I198" s="74" t="str">
        <f t="shared" si="2"/>
        <v/>
      </c>
      <c r="J198" s="75" t="str">
        <f t="shared" si="3"/>
        <v>YES</v>
      </c>
      <c r="K198" s="37" t="s">
        <v>91</v>
      </c>
      <c r="M198" s="76"/>
      <c r="N198" s="75" t="str">
        <f t="shared" si="4"/>
        <v>NO</v>
      </c>
      <c r="O198" s="76"/>
      <c r="P198" s="76"/>
      <c r="Q198" s="75" t="str">
        <f t="shared" si="5"/>
        <v/>
      </c>
      <c r="R198" s="75" t="str">
        <f t="shared" si="6"/>
        <v>NO</v>
      </c>
      <c r="S198" s="75"/>
      <c r="T198" s="75"/>
      <c r="U198" s="75" t="str">
        <f t="shared" si="7"/>
        <v/>
      </c>
      <c r="V198" s="76"/>
      <c r="W198" s="14"/>
    </row>
    <row r="199">
      <c r="A199" s="37" t="s">
        <v>627</v>
      </c>
      <c r="B199" s="37">
        <v>2015.0</v>
      </c>
      <c r="C199" s="69" t="s">
        <v>628</v>
      </c>
      <c r="D199" s="78"/>
      <c r="F199" s="74" t="str">
        <f t="shared" si="1"/>
        <v/>
      </c>
      <c r="G199" s="78"/>
      <c r="I199" s="74" t="str">
        <f t="shared" si="2"/>
        <v/>
      </c>
      <c r="J199" s="75" t="str">
        <f t="shared" si="3"/>
        <v>YES</v>
      </c>
      <c r="K199" s="37" t="s">
        <v>130</v>
      </c>
      <c r="M199" s="76"/>
      <c r="N199" s="75" t="str">
        <f t="shared" si="4"/>
        <v>YES</v>
      </c>
      <c r="O199" s="75" t="s">
        <v>131</v>
      </c>
      <c r="P199" s="76"/>
      <c r="Q199" s="75" t="str">
        <f t="shared" si="5"/>
        <v/>
      </c>
      <c r="R199" s="75" t="str">
        <f t="shared" si="6"/>
        <v>YES</v>
      </c>
      <c r="S199" s="75"/>
      <c r="T199" s="75"/>
      <c r="U199" s="75" t="str">
        <f t="shared" si="7"/>
        <v/>
      </c>
      <c r="V199" s="76"/>
      <c r="W199" s="14"/>
    </row>
    <row r="200">
      <c r="A200" s="37" t="s">
        <v>630</v>
      </c>
      <c r="B200" s="37">
        <v>2015.0</v>
      </c>
      <c r="C200" s="69" t="s">
        <v>631</v>
      </c>
      <c r="D200" s="78"/>
      <c r="F200" s="74" t="str">
        <f t="shared" si="1"/>
        <v/>
      </c>
      <c r="G200" s="71" t="s">
        <v>95</v>
      </c>
      <c r="I200" s="74" t="str">
        <f t="shared" si="2"/>
        <v/>
      </c>
      <c r="J200" s="75" t="str">
        <f t="shared" si="3"/>
        <v>NO</v>
      </c>
      <c r="K200" s="20"/>
      <c r="M200" s="76"/>
      <c r="N200" s="75" t="str">
        <f t="shared" si="4"/>
        <v>NO</v>
      </c>
      <c r="O200" s="76"/>
      <c r="P200" s="76"/>
      <c r="Q200" s="75" t="str">
        <f t="shared" si="5"/>
        <v/>
      </c>
      <c r="R200" s="75" t="str">
        <f t="shared" si="6"/>
        <v>NO</v>
      </c>
      <c r="S200" s="75"/>
      <c r="T200" s="75"/>
      <c r="U200" s="75" t="str">
        <f t="shared" si="7"/>
        <v/>
      </c>
      <c r="V200" s="76"/>
      <c r="W200" s="14"/>
    </row>
    <row r="201">
      <c r="A201" s="37" t="s">
        <v>632</v>
      </c>
      <c r="B201" s="37">
        <v>2015.0</v>
      </c>
      <c r="C201" s="69" t="s">
        <v>633</v>
      </c>
      <c r="D201" s="78"/>
      <c r="F201" s="74" t="str">
        <f t="shared" si="1"/>
        <v/>
      </c>
      <c r="G201" s="78"/>
      <c r="I201" s="74" t="str">
        <f t="shared" si="2"/>
        <v/>
      </c>
      <c r="J201" s="75" t="str">
        <f t="shared" si="3"/>
        <v>YES</v>
      </c>
      <c r="K201" s="37" t="s">
        <v>86</v>
      </c>
      <c r="M201" s="76"/>
      <c r="N201" s="75" t="str">
        <f t="shared" si="4"/>
        <v>NO</v>
      </c>
      <c r="O201" s="76"/>
      <c r="P201" s="76"/>
      <c r="Q201" s="75" t="str">
        <f t="shared" si="5"/>
        <v/>
      </c>
      <c r="R201" s="75" t="str">
        <f t="shared" si="6"/>
        <v>NO</v>
      </c>
      <c r="S201" s="75"/>
      <c r="T201" s="75"/>
      <c r="U201" s="75" t="str">
        <f t="shared" si="7"/>
        <v/>
      </c>
      <c r="V201" s="76"/>
      <c r="W201" s="14"/>
    </row>
    <row r="202">
      <c r="A202" s="37" t="s">
        <v>634</v>
      </c>
      <c r="B202" s="37">
        <v>2015.0</v>
      </c>
      <c r="C202" s="69" t="s">
        <v>635</v>
      </c>
      <c r="D202" s="78"/>
      <c r="E202" s="13" t="s">
        <v>247</v>
      </c>
      <c r="F202" s="74" t="str">
        <f t="shared" si="1"/>
        <v>YES</v>
      </c>
      <c r="G202" s="78"/>
      <c r="H202" s="13" t="s">
        <v>247</v>
      </c>
      <c r="I202" s="74" t="str">
        <f t="shared" si="2"/>
        <v>YES</v>
      </c>
      <c r="J202" s="75" t="str">
        <f t="shared" si="3"/>
        <v>YES</v>
      </c>
      <c r="K202" s="37" t="s">
        <v>86</v>
      </c>
      <c r="M202" s="76"/>
      <c r="N202" s="75" t="str">
        <f t="shared" si="4"/>
        <v>NO</v>
      </c>
      <c r="O202" s="76"/>
      <c r="P202" s="76"/>
      <c r="Q202" s="75" t="str">
        <f t="shared" si="5"/>
        <v/>
      </c>
      <c r="R202" s="75" t="str">
        <f t="shared" si="6"/>
        <v>NO</v>
      </c>
      <c r="S202" s="75"/>
      <c r="T202" s="75"/>
      <c r="U202" s="75" t="str">
        <f t="shared" si="7"/>
        <v/>
      </c>
      <c r="V202" s="76"/>
      <c r="W202" s="14"/>
    </row>
    <row r="203">
      <c r="A203" s="37" t="s">
        <v>636</v>
      </c>
      <c r="B203" s="37">
        <v>2015.0</v>
      </c>
      <c r="C203" s="69" t="s">
        <v>637</v>
      </c>
      <c r="D203" s="78"/>
      <c r="F203" s="74" t="str">
        <f t="shared" si="1"/>
        <v/>
      </c>
      <c r="G203" s="78"/>
      <c r="I203" s="74" t="str">
        <f t="shared" si="2"/>
        <v/>
      </c>
      <c r="J203" s="75" t="str">
        <f t="shared" si="3"/>
        <v>YES</v>
      </c>
      <c r="K203" s="37" t="s">
        <v>130</v>
      </c>
      <c r="M203" s="76"/>
      <c r="N203" s="75" t="str">
        <f t="shared" si="4"/>
        <v>YES</v>
      </c>
      <c r="O203" s="75" t="s">
        <v>131</v>
      </c>
      <c r="P203" s="75" t="s">
        <v>131</v>
      </c>
      <c r="Q203" s="75" t="str">
        <f t="shared" si="5"/>
        <v>YES</v>
      </c>
      <c r="R203" s="75" t="str">
        <f t="shared" si="6"/>
        <v>YES</v>
      </c>
      <c r="S203" s="75"/>
      <c r="T203" s="75"/>
      <c r="U203" s="75" t="str">
        <f t="shared" si="7"/>
        <v/>
      </c>
      <c r="V203" s="76"/>
      <c r="W203" s="14"/>
    </row>
    <row r="204">
      <c r="A204" s="37" t="s">
        <v>640</v>
      </c>
      <c r="B204" s="37">
        <v>2015.0</v>
      </c>
      <c r="C204" s="69" t="s">
        <v>641</v>
      </c>
      <c r="D204" s="78"/>
      <c r="F204" s="74" t="str">
        <f t="shared" si="1"/>
        <v/>
      </c>
      <c r="G204" s="78"/>
      <c r="I204" s="74" t="str">
        <f t="shared" si="2"/>
        <v/>
      </c>
      <c r="J204" s="75" t="str">
        <f t="shared" si="3"/>
        <v>YES</v>
      </c>
      <c r="K204" s="37" t="s">
        <v>199</v>
      </c>
      <c r="L204" s="13" t="s">
        <v>7</v>
      </c>
      <c r="M204" s="75" t="s">
        <v>142</v>
      </c>
      <c r="N204" s="75" t="str">
        <f t="shared" si="4"/>
        <v>YES</v>
      </c>
      <c r="O204" s="75" t="s">
        <v>149</v>
      </c>
      <c r="P204" s="75"/>
      <c r="Q204" s="75" t="str">
        <f t="shared" si="5"/>
        <v/>
      </c>
      <c r="R204" s="75" t="str">
        <f t="shared" si="6"/>
        <v>NO</v>
      </c>
      <c r="S204" s="75"/>
      <c r="T204" s="75"/>
      <c r="U204" s="75" t="str">
        <f t="shared" si="7"/>
        <v/>
      </c>
      <c r="V204" s="76"/>
      <c r="W204" s="14"/>
    </row>
    <row r="205">
      <c r="A205" s="37" t="s">
        <v>642</v>
      </c>
      <c r="B205" s="37">
        <v>2015.0</v>
      </c>
      <c r="C205" s="69" t="s">
        <v>643</v>
      </c>
      <c r="D205" s="78"/>
      <c r="F205" s="74" t="str">
        <f t="shared" si="1"/>
        <v/>
      </c>
      <c r="G205" s="78"/>
      <c r="I205" s="74" t="str">
        <f t="shared" si="2"/>
        <v/>
      </c>
      <c r="J205" s="75" t="str">
        <f t="shared" si="3"/>
        <v>YES</v>
      </c>
      <c r="K205" s="37" t="s">
        <v>199</v>
      </c>
      <c r="M205" s="76"/>
      <c r="N205" s="75" t="str">
        <f t="shared" si="4"/>
        <v>YES</v>
      </c>
      <c r="O205" s="75" t="s">
        <v>149</v>
      </c>
      <c r="P205" s="76"/>
      <c r="Q205" s="75" t="str">
        <f t="shared" si="5"/>
        <v/>
      </c>
      <c r="R205" s="75" t="str">
        <f t="shared" si="6"/>
        <v>NO</v>
      </c>
      <c r="S205" s="75"/>
      <c r="T205" s="75"/>
      <c r="U205" s="75" t="str">
        <f t="shared" si="7"/>
        <v/>
      </c>
      <c r="V205" s="76"/>
      <c r="W205" s="14"/>
    </row>
    <row r="206">
      <c r="A206" s="37" t="s">
        <v>644</v>
      </c>
      <c r="B206" s="37">
        <v>2015.0</v>
      </c>
      <c r="C206" s="69" t="s">
        <v>645</v>
      </c>
      <c r="D206" s="78"/>
      <c r="E206" s="13" t="s">
        <v>247</v>
      </c>
      <c r="F206" s="74" t="str">
        <f t="shared" si="1"/>
        <v>YES</v>
      </c>
      <c r="G206" s="78"/>
      <c r="H206" s="13" t="s">
        <v>247</v>
      </c>
      <c r="I206" s="74" t="str">
        <f t="shared" si="2"/>
        <v>YES</v>
      </c>
      <c r="J206" s="75" t="str">
        <f t="shared" si="3"/>
        <v>YES</v>
      </c>
      <c r="K206" s="37" t="s">
        <v>130</v>
      </c>
      <c r="M206" s="76"/>
      <c r="N206" s="75" t="str">
        <f t="shared" si="4"/>
        <v>YES</v>
      </c>
      <c r="O206" s="75" t="s">
        <v>149</v>
      </c>
      <c r="P206" s="76"/>
      <c r="Q206" s="75" t="str">
        <f t="shared" si="5"/>
        <v/>
      </c>
      <c r="R206" s="75" t="str">
        <f t="shared" si="6"/>
        <v>NO</v>
      </c>
      <c r="S206" s="75"/>
      <c r="T206" s="75"/>
      <c r="U206" s="75" t="str">
        <f t="shared" si="7"/>
        <v/>
      </c>
      <c r="V206" s="76"/>
      <c r="W206" s="14"/>
    </row>
    <row r="207">
      <c r="A207" s="37" t="s">
        <v>646</v>
      </c>
      <c r="B207" s="37">
        <v>2015.0</v>
      </c>
      <c r="C207" s="69" t="s">
        <v>647</v>
      </c>
      <c r="D207" s="78"/>
      <c r="F207" s="74" t="str">
        <f t="shared" si="1"/>
        <v/>
      </c>
      <c r="G207" s="78"/>
      <c r="I207" s="74" t="str">
        <f t="shared" si="2"/>
        <v/>
      </c>
      <c r="J207" s="75" t="str">
        <f t="shared" si="3"/>
        <v>YES</v>
      </c>
      <c r="K207" s="37" t="s">
        <v>199</v>
      </c>
      <c r="L207" s="13" t="s">
        <v>7</v>
      </c>
      <c r="M207" s="75" t="s">
        <v>142</v>
      </c>
      <c r="N207" s="75" t="str">
        <f t="shared" si="4"/>
        <v>YES</v>
      </c>
      <c r="O207" s="75" t="s">
        <v>149</v>
      </c>
      <c r="P207" s="75"/>
      <c r="Q207" s="75" t="str">
        <f t="shared" si="5"/>
        <v/>
      </c>
      <c r="R207" s="75" t="str">
        <f t="shared" si="6"/>
        <v>NO</v>
      </c>
      <c r="S207" s="75"/>
      <c r="T207" s="75"/>
      <c r="U207" s="75" t="str">
        <f t="shared" si="7"/>
        <v/>
      </c>
      <c r="V207" s="76"/>
      <c r="W207" s="14"/>
    </row>
    <row r="208">
      <c r="A208" s="37" t="s">
        <v>648</v>
      </c>
      <c r="B208" s="37">
        <v>2015.0</v>
      </c>
      <c r="C208" s="69" t="s">
        <v>649</v>
      </c>
      <c r="D208" s="78"/>
      <c r="E208" s="13" t="s">
        <v>247</v>
      </c>
      <c r="F208" s="74" t="str">
        <f t="shared" si="1"/>
        <v>YES</v>
      </c>
      <c r="G208" s="78"/>
      <c r="H208" s="13" t="s">
        <v>247</v>
      </c>
      <c r="I208" s="74" t="str">
        <f t="shared" si="2"/>
        <v>YES</v>
      </c>
      <c r="J208" s="75" t="str">
        <f t="shared" si="3"/>
        <v>YES</v>
      </c>
      <c r="K208" s="37" t="s">
        <v>130</v>
      </c>
      <c r="M208" s="76"/>
      <c r="N208" s="75" t="str">
        <f t="shared" si="4"/>
        <v>YES</v>
      </c>
      <c r="O208" s="75" t="s">
        <v>131</v>
      </c>
      <c r="P208" s="76"/>
      <c r="Q208" s="75" t="str">
        <f t="shared" si="5"/>
        <v/>
      </c>
      <c r="R208" s="75" t="str">
        <f t="shared" si="6"/>
        <v>YES</v>
      </c>
      <c r="S208" s="75" t="s">
        <v>131</v>
      </c>
      <c r="T208" s="75" t="s">
        <v>131</v>
      </c>
      <c r="U208" s="75" t="s">
        <v>142</v>
      </c>
      <c r="V208" s="75" t="s">
        <v>285</v>
      </c>
      <c r="W208" s="14"/>
    </row>
    <row r="209">
      <c r="A209" s="37" t="s">
        <v>650</v>
      </c>
      <c r="B209" s="37">
        <v>2015.0</v>
      </c>
      <c r="C209" s="69" t="s">
        <v>651</v>
      </c>
      <c r="D209" s="78"/>
      <c r="F209" s="74" t="str">
        <f t="shared" si="1"/>
        <v/>
      </c>
      <c r="G209" s="78"/>
      <c r="I209" s="74" t="str">
        <f t="shared" si="2"/>
        <v/>
      </c>
      <c r="J209" s="75" t="str">
        <f t="shared" si="3"/>
        <v>YES</v>
      </c>
      <c r="K209" s="37" t="s">
        <v>91</v>
      </c>
      <c r="M209" s="76"/>
      <c r="N209" s="75" t="str">
        <f t="shared" si="4"/>
        <v>NO</v>
      </c>
      <c r="O209" s="76"/>
      <c r="P209" s="76"/>
      <c r="Q209" s="75" t="str">
        <f t="shared" si="5"/>
        <v/>
      </c>
      <c r="R209" s="75" t="str">
        <f t="shared" si="6"/>
        <v>NO</v>
      </c>
      <c r="S209" s="75"/>
      <c r="T209" s="75"/>
      <c r="U209" s="75" t="str">
        <f t="shared" ref="U209:U557" si="8">IF(T209 = "", "", IF(S209 = T209, "YES", "NO"))</f>
        <v/>
      </c>
      <c r="V209" s="76"/>
      <c r="W209" s="14"/>
    </row>
    <row r="210">
      <c r="A210" s="37" t="s">
        <v>652</v>
      </c>
      <c r="B210" s="37">
        <v>2015.0</v>
      </c>
      <c r="C210" s="69" t="s">
        <v>653</v>
      </c>
      <c r="D210" s="78"/>
      <c r="F210" s="74" t="str">
        <f t="shared" si="1"/>
        <v/>
      </c>
      <c r="G210" s="78"/>
      <c r="I210" s="74" t="str">
        <f t="shared" si="2"/>
        <v/>
      </c>
      <c r="J210" s="75" t="str">
        <f t="shared" si="3"/>
        <v>YES</v>
      </c>
      <c r="K210" s="37" t="s">
        <v>130</v>
      </c>
      <c r="L210" s="13" t="s">
        <v>7</v>
      </c>
      <c r="M210" s="75" t="s">
        <v>142</v>
      </c>
      <c r="N210" s="75" t="str">
        <f t="shared" si="4"/>
        <v>YES</v>
      </c>
      <c r="O210" s="75" t="s">
        <v>131</v>
      </c>
      <c r="P210" s="75" t="s">
        <v>131</v>
      </c>
      <c r="Q210" s="75" t="str">
        <f t="shared" si="5"/>
        <v>YES</v>
      </c>
      <c r="R210" s="75" t="str">
        <f t="shared" si="6"/>
        <v>YES</v>
      </c>
      <c r="S210" s="75"/>
      <c r="T210" s="75"/>
      <c r="U210" s="75" t="str">
        <f t="shared" si="8"/>
        <v/>
      </c>
      <c r="V210" s="76"/>
      <c r="W210" s="14"/>
    </row>
    <row r="211">
      <c r="A211" s="37" t="s">
        <v>656</v>
      </c>
      <c r="B211" s="37">
        <v>2014.0</v>
      </c>
      <c r="C211" s="69" t="s">
        <v>1179</v>
      </c>
      <c r="D211" s="78"/>
      <c r="F211" s="74" t="str">
        <f t="shared" si="1"/>
        <v/>
      </c>
      <c r="G211" s="78"/>
      <c r="I211" s="74" t="str">
        <f t="shared" si="2"/>
        <v/>
      </c>
      <c r="J211" s="75" t="str">
        <f t="shared" si="3"/>
        <v>YES</v>
      </c>
      <c r="K211" s="37" t="s">
        <v>130</v>
      </c>
      <c r="L211" s="13" t="s">
        <v>7</v>
      </c>
      <c r="M211" s="75" t="s">
        <v>142</v>
      </c>
      <c r="N211" s="75" t="str">
        <f t="shared" si="4"/>
        <v>YES</v>
      </c>
      <c r="O211" s="75" t="s">
        <v>131</v>
      </c>
      <c r="P211" s="75" t="s">
        <v>131</v>
      </c>
      <c r="Q211" s="75" t="str">
        <f t="shared" si="5"/>
        <v>YES</v>
      </c>
      <c r="R211" s="75" t="str">
        <f t="shared" si="6"/>
        <v>YES</v>
      </c>
      <c r="S211" s="75"/>
      <c r="T211" s="75"/>
      <c r="U211" s="75" t="str">
        <f t="shared" si="8"/>
        <v/>
      </c>
      <c r="V211" s="76"/>
      <c r="W211" s="14"/>
    </row>
    <row r="212">
      <c r="A212" s="37" t="s">
        <v>661</v>
      </c>
      <c r="B212" s="37">
        <v>2014.0</v>
      </c>
      <c r="C212" s="69" t="s">
        <v>662</v>
      </c>
      <c r="D212" s="78"/>
      <c r="E212" s="13" t="s">
        <v>247</v>
      </c>
      <c r="F212" s="74" t="str">
        <f t="shared" si="1"/>
        <v>YES</v>
      </c>
      <c r="G212" s="78"/>
      <c r="H212" s="13" t="s">
        <v>247</v>
      </c>
      <c r="I212" s="74" t="str">
        <f t="shared" si="2"/>
        <v>YES</v>
      </c>
      <c r="J212" s="75" t="str">
        <f t="shared" si="3"/>
        <v>YES</v>
      </c>
      <c r="K212" s="37" t="s">
        <v>130</v>
      </c>
      <c r="M212" s="76"/>
      <c r="N212" s="75" t="str">
        <f t="shared" si="4"/>
        <v>YES</v>
      </c>
      <c r="O212" s="75" t="s">
        <v>131</v>
      </c>
      <c r="P212" s="76"/>
      <c r="Q212" s="75" t="str">
        <f t="shared" si="5"/>
        <v/>
      </c>
      <c r="R212" s="75" t="str">
        <f t="shared" si="6"/>
        <v>YES</v>
      </c>
      <c r="S212" s="75"/>
      <c r="T212" s="75"/>
      <c r="U212" s="75" t="str">
        <f t="shared" si="8"/>
        <v/>
      </c>
      <c r="V212" s="76"/>
      <c r="W212" s="14"/>
    </row>
    <row r="213">
      <c r="A213" s="37" t="s">
        <v>665</v>
      </c>
      <c r="B213" s="37">
        <v>2014.0</v>
      </c>
      <c r="C213" s="69" t="s">
        <v>666</v>
      </c>
      <c r="D213" s="78"/>
      <c r="F213" s="74" t="str">
        <f t="shared" si="1"/>
        <v/>
      </c>
      <c r="G213" s="78"/>
      <c r="I213" s="74" t="str">
        <f t="shared" si="2"/>
        <v/>
      </c>
      <c r="J213" s="75" t="str">
        <f t="shared" si="3"/>
        <v>YES</v>
      </c>
      <c r="K213" s="37" t="s">
        <v>130</v>
      </c>
      <c r="M213" s="76"/>
      <c r="N213" s="75" t="str">
        <f t="shared" si="4"/>
        <v>YES</v>
      </c>
      <c r="O213" s="75" t="s">
        <v>131</v>
      </c>
      <c r="P213" s="76"/>
      <c r="Q213" s="75" t="str">
        <f t="shared" si="5"/>
        <v/>
      </c>
      <c r="R213" s="75" t="str">
        <f t="shared" si="6"/>
        <v>YES</v>
      </c>
      <c r="S213" s="75"/>
      <c r="T213" s="75"/>
      <c r="U213" s="75" t="str">
        <f t="shared" si="8"/>
        <v/>
      </c>
      <c r="V213" s="76"/>
      <c r="W213" s="14"/>
    </row>
    <row r="214">
      <c r="A214" s="37" t="s">
        <v>669</v>
      </c>
      <c r="B214" s="37">
        <v>2014.0</v>
      </c>
      <c r="C214" s="69" t="s">
        <v>670</v>
      </c>
      <c r="D214" s="78"/>
      <c r="F214" s="74" t="str">
        <f t="shared" si="1"/>
        <v/>
      </c>
      <c r="G214" s="78"/>
      <c r="I214" s="74" t="str">
        <f t="shared" si="2"/>
        <v/>
      </c>
      <c r="J214" s="75" t="str">
        <f t="shared" si="3"/>
        <v>YES</v>
      </c>
      <c r="K214" s="37" t="s">
        <v>86</v>
      </c>
      <c r="M214" s="76"/>
      <c r="N214" s="75" t="str">
        <f t="shared" si="4"/>
        <v>NO</v>
      </c>
      <c r="O214" s="76"/>
      <c r="P214" s="75"/>
      <c r="Q214" s="75" t="str">
        <f t="shared" si="5"/>
        <v/>
      </c>
      <c r="R214" s="75" t="str">
        <f t="shared" si="6"/>
        <v>NO</v>
      </c>
      <c r="S214" s="75"/>
      <c r="T214" s="75"/>
      <c r="U214" s="75" t="str">
        <f t="shared" si="8"/>
        <v/>
      </c>
      <c r="V214" s="76"/>
      <c r="W214" s="14"/>
    </row>
    <row r="215">
      <c r="A215" s="37" t="s">
        <v>672</v>
      </c>
      <c r="B215" s="37">
        <v>2014.0</v>
      </c>
      <c r="C215" s="69" t="s">
        <v>673</v>
      </c>
      <c r="D215" s="78"/>
      <c r="E215" s="13" t="s">
        <v>247</v>
      </c>
      <c r="F215" s="74" t="str">
        <f t="shared" si="1"/>
        <v>YES</v>
      </c>
      <c r="G215" s="78"/>
      <c r="H215" s="13" t="s">
        <v>247</v>
      </c>
      <c r="I215" s="74" t="str">
        <f t="shared" si="2"/>
        <v>YES</v>
      </c>
      <c r="J215" s="75" t="str">
        <f t="shared" si="3"/>
        <v>YES</v>
      </c>
      <c r="K215" s="37" t="s">
        <v>130</v>
      </c>
      <c r="M215" s="76"/>
      <c r="N215" s="75" t="str">
        <f t="shared" si="4"/>
        <v>YES</v>
      </c>
      <c r="O215" s="75" t="s">
        <v>149</v>
      </c>
      <c r="P215" s="76"/>
      <c r="Q215" s="75" t="str">
        <f t="shared" si="5"/>
        <v/>
      </c>
      <c r="R215" s="75" t="str">
        <f t="shared" si="6"/>
        <v>NO</v>
      </c>
      <c r="S215" s="75"/>
      <c r="T215" s="75"/>
      <c r="U215" s="75" t="str">
        <f t="shared" si="8"/>
        <v/>
      </c>
      <c r="V215" s="76"/>
      <c r="W215" s="14"/>
    </row>
    <row r="216">
      <c r="A216" s="37" t="s">
        <v>674</v>
      </c>
      <c r="B216" s="37">
        <v>2014.0</v>
      </c>
      <c r="C216" s="69" t="s">
        <v>675</v>
      </c>
      <c r="D216" s="78"/>
      <c r="E216" s="13" t="s">
        <v>247</v>
      </c>
      <c r="F216" s="74" t="str">
        <f t="shared" si="1"/>
        <v>YES</v>
      </c>
      <c r="G216" s="78"/>
      <c r="H216" s="13" t="s">
        <v>247</v>
      </c>
      <c r="I216" s="74" t="str">
        <f t="shared" si="2"/>
        <v>YES</v>
      </c>
      <c r="J216" s="75" t="str">
        <f t="shared" si="3"/>
        <v>YES</v>
      </c>
      <c r="K216" s="37" t="s">
        <v>199</v>
      </c>
      <c r="M216" s="76"/>
      <c r="N216" s="75" t="str">
        <f t="shared" si="4"/>
        <v>YES</v>
      </c>
      <c r="O216" s="75" t="s">
        <v>149</v>
      </c>
      <c r="P216" s="76"/>
      <c r="Q216" s="75" t="str">
        <f t="shared" si="5"/>
        <v/>
      </c>
      <c r="R216" s="75" t="str">
        <f t="shared" si="6"/>
        <v>NO</v>
      </c>
      <c r="S216" s="75"/>
      <c r="T216" s="75"/>
      <c r="U216" s="75" t="str">
        <f t="shared" si="8"/>
        <v/>
      </c>
      <c r="V216" s="76"/>
      <c r="W216" s="14"/>
    </row>
    <row r="217">
      <c r="A217" s="37" t="s">
        <v>676</v>
      </c>
      <c r="B217" s="37">
        <v>2014.0</v>
      </c>
      <c r="C217" s="69" t="s">
        <v>677</v>
      </c>
      <c r="D217" s="78"/>
      <c r="F217" s="74" t="str">
        <f t="shared" si="1"/>
        <v/>
      </c>
      <c r="G217" s="78"/>
      <c r="I217" s="74" t="str">
        <f t="shared" si="2"/>
        <v/>
      </c>
      <c r="J217" s="75" t="str">
        <f t="shared" si="3"/>
        <v>YES</v>
      </c>
      <c r="K217" s="37" t="s">
        <v>130</v>
      </c>
      <c r="M217" s="76"/>
      <c r="N217" s="75" t="str">
        <f t="shared" si="4"/>
        <v>YES</v>
      </c>
      <c r="O217" s="75" t="s">
        <v>131</v>
      </c>
      <c r="P217" s="76"/>
      <c r="Q217" s="75" t="str">
        <f t="shared" si="5"/>
        <v/>
      </c>
      <c r="R217" s="75" t="str">
        <f t="shared" si="6"/>
        <v>YES</v>
      </c>
      <c r="S217" s="75"/>
      <c r="T217" s="75"/>
      <c r="U217" s="75" t="str">
        <f t="shared" si="8"/>
        <v/>
      </c>
      <c r="V217" s="76"/>
      <c r="W217" s="14"/>
    </row>
    <row r="218">
      <c r="A218" s="37" t="s">
        <v>679</v>
      </c>
      <c r="B218" s="37">
        <v>2014.0</v>
      </c>
      <c r="C218" s="69" t="s">
        <v>680</v>
      </c>
      <c r="D218" s="78"/>
      <c r="F218" s="74" t="str">
        <f t="shared" si="1"/>
        <v/>
      </c>
      <c r="G218" s="78"/>
      <c r="I218" s="74" t="str">
        <f t="shared" si="2"/>
        <v/>
      </c>
      <c r="J218" s="75" t="str">
        <f t="shared" si="3"/>
        <v>YES</v>
      </c>
      <c r="K218" s="96" t="s">
        <v>130</v>
      </c>
      <c r="L218" s="13" t="s">
        <v>7</v>
      </c>
      <c r="M218" s="75" t="s">
        <v>142</v>
      </c>
      <c r="N218" s="75" t="str">
        <f t="shared" si="4"/>
        <v>YES</v>
      </c>
      <c r="O218" s="75" t="s">
        <v>131</v>
      </c>
      <c r="P218" s="75" t="s">
        <v>131</v>
      </c>
      <c r="Q218" s="75" t="str">
        <f t="shared" si="5"/>
        <v>YES</v>
      </c>
      <c r="R218" s="75" t="str">
        <f t="shared" si="6"/>
        <v>YES</v>
      </c>
      <c r="S218" s="75"/>
      <c r="T218" s="75"/>
      <c r="U218" s="75" t="str">
        <f t="shared" si="8"/>
        <v/>
      </c>
      <c r="V218" s="76"/>
      <c r="W218" s="14"/>
    </row>
    <row r="219">
      <c r="A219" s="37" t="s">
        <v>682</v>
      </c>
      <c r="B219" s="37">
        <v>2014.0</v>
      </c>
      <c r="C219" s="69" t="s">
        <v>683</v>
      </c>
      <c r="D219" s="78"/>
      <c r="F219" s="74" t="str">
        <f t="shared" si="1"/>
        <v/>
      </c>
      <c r="G219" s="78"/>
      <c r="I219" s="74" t="str">
        <f t="shared" si="2"/>
        <v/>
      </c>
      <c r="J219" s="75" t="str">
        <f t="shared" si="3"/>
        <v>YES</v>
      </c>
      <c r="K219" s="96" t="s">
        <v>130</v>
      </c>
      <c r="L219" s="13" t="s">
        <v>7</v>
      </c>
      <c r="M219" s="75" t="s">
        <v>142</v>
      </c>
      <c r="N219" s="75" t="str">
        <f t="shared" si="4"/>
        <v>YES</v>
      </c>
      <c r="O219" s="75" t="s">
        <v>131</v>
      </c>
      <c r="P219" s="75"/>
      <c r="Q219" s="75" t="str">
        <f t="shared" si="5"/>
        <v/>
      </c>
      <c r="R219" s="75" t="str">
        <f t="shared" si="6"/>
        <v>YES</v>
      </c>
      <c r="S219" s="75"/>
      <c r="T219" s="75"/>
      <c r="U219" s="75" t="str">
        <f t="shared" si="8"/>
        <v/>
      </c>
      <c r="V219" s="76"/>
      <c r="W219" s="14"/>
    </row>
    <row r="220">
      <c r="A220" s="37" t="s">
        <v>684</v>
      </c>
      <c r="B220" s="37">
        <v>2014.0</v>
      </c>
      <c r="C220" s="69" t="s">
        <v>685</v>
      </c>
      <c r="D220" s="78"/>
      <c r="E220" s="13" t="s">
        <v>247</v>
      </c>
      <c r="F220" s="74" t="str">
        <f t="shared" si="1"/>
        <v>YES</v>
      </c>
      <c r="G220" s="78"/>
      <c r="H220" s="13" t="s">
        <v>247</v>
      </c>
      <c r="I220" s="74" t="str">
        <f t="shared" si="2"/>
        <v>YES</v>
      </c>
      <c r="J220" s="75" t="str">
        <f t="shared" si="3"/>
        <v>YES</v>
      </c>
      <c r="K220" s="96" t="s">
        <v>130</v>
      </c>
      <c r="M220" s="76"/>
      <c r="N220" s="75" t="str">
        <f t="shared" si="4"/>
        <v>YES</v>
      </c>
      <c r="O220" s="75" t="s">
        <v>131</v>
      </c>
      <c r="P220" s="76"/>
      <c r="Q220" s="75" t="str">
        <f t="shared" si="5"/>
        <v/>
      </c>
      <c r="R220" s="75" t="str">
        <f t="shared" si="6"/>
        <v>YES</v>
      </c>
      <c r="S220" s="75"/>
      <c r="T220" s="75"/>
      <c r="U220" s="75" t="str">
        <f t="shared" si="8"/>
        <v/>
      </c>
      <c r="V220" s="76"/>
      <c r="W220" s="14"/>
    </row>
    <row r="221">
      <c r="A221" s="37" t="s">
        <v>1221</v>
      </c>
      <c r="B221" s="37">
        <v>2014.0</v>
      </c>
      <c r="C221" s="69" t="s">
        <v>687</v>
      </c>
      <c r="D221" s="78"/>
      <c r="E221" s="13" t="s">
        <v>247</v>
      </c>
      <c r="F221" s="74" t="str">
        <f t="shared" si="1"/>
        <v>YES</v>
      </c>
      <c r="G221" s="78"/>
      <c r="H221" s="13" t="s">
        <v>247</v>
      </c>
      <c r="I221" s="74" t="str">
        <f t="shared" si="2"/>
        <v>YES</v>
      </c>
      <c r="J221" s="75" t="str">
        <f t="shared" si="3"/>
        <v>YES</v>
      </c>
      <c r="K221" s="96" t="s">
        <v>130</v>
      </c>
      <c r="L221" s="13" t="s">
        <v>7</v>
      </c>
      <c r="M221" s="75" t="s">
        <v>142</v>
      </c>
      <c r="N221" s="75" t="str">
        <f t="shared" si="4"/>
        <v>YES</v>
      </c>
      <c r="O221" s="75" t="s">
        <v>131</v>
      </c>
      <c r="P221" s="75"/>
      <c r="Q221" s="75" t="str">
        <f t="shared" si="5"/>
        <v/>
      </c>
      <c r="R221" s="75" t="str">
        <f t="shared" si="6"/>
        <v>YES</v>
      </c>
      <c r="S221" s="75"/>
      <c r="T221" s="75"/>
      <c r="U221" s="75" t="str">
        <f t="shared" si="8"/>
        <v/>
      </c>
      <c r="V221" s="76"/>
      <c r="W221" s="14"/>
    </row>
    <row r="222">
      <c r="A222" s="37" t="s">
        <v>689</v>
      </c>
      <c r="B222" s="37">
        <v>2014.0</v>
      </c>
      <c r="C222" s="69" t="s">
        <v>690</v>
      </c>
      <c r="D222" s="78"/>
      <c r="F222" s="74" t="str">
        <f t="shared" si="1"/>
        <v/>
      </c>
      <c r="G222" s="78"/>
      <c r="I222" s="74" t="str">
        <f t="shared" si="2"/>
        <v/>
      </c>
      <c r="J222" s="75" t="str">
        <f t="shared" si="3"/>
        <v>YES</v>
      </c>
      <c r="K222" s="96" t="s">
        <v>130</v>
      </c>
      <c r="M222" s="76"/>
      <c r="N222" s="75" t="str">
        <f t="shared" si="4"/>
        <v>YES</v>
      </c>
      <c r="O222" s="75" t="s">
        <v>131</v>
      </c>
      <c r="P222" s="75" t="s">
        <v>131</v>
      </c>
      <c r="Q222" s="75" t="str">
        <f t="shared" si="5"/>
        <v>YES</v>
      </c>
      <c r="R222" s="75" t="str">
        <f t="shared" si="6"/>
        <v>YES</v>
      </c>
      <c r="S222" s="75" t="s">
        <v>131</v>
      </c>
      <c r="T222" s="75" t="s">
        <v>131</v>
      </c>
      <c r="U222" s="75" t="str">
        <f t="shared" si="8"/>
        <v>YES</v>
      </c>
      <c r="V222" s="75" t="s">
        <v>285</v>
      </c>
      <c r="W222" s="14"/>
    </row>
    <row r="223">
      <c r="A223" s="37" t="s">
        <v>691</v>
      </c>
      <c r="B223" s="37">
        <v>2014.0</v>
      </c>
      <c r="C223" s="69" t="s">
        <v>692</v>
      </c>
      <c r="D223" s="78"/>
      <c r="F223" s="74" t="str">
        <f t="shared" si="1"/>
        <v/>
      </c>
      <c r="G223" s="78"/>
      <c r="I223" s="74" t="str">
        <f t="shared" si="2"/>
        <v/>
      </c>
      <c r="J223" s="75" t="str">
        <f t="shared" si="3"/>
        <v>YES</v>
      </c>
      <c r="K223" s="96" t="s">
        <v>130</v>
      </c>
      <c r="M223" s="76"/>
      <c r="N223" s="75" t="str">
        <f t="shared" si="4"/>
        <v>YES</v>
      </c>
      <c r="O223" s="75" t="s">
        <v>131</v>
      </c>
      <c r="P223" s="75" t="s">
        <v>131</v>
      </c>
      <c r="Q223" s="75" t="str">
        <f t="shared" si="5"/>
        <v>YES</v>
      </c>
      <c r="R223" s="75" t="str">
        <f t="shared" si="6"/>
        <v>YES</v>
      </c>
      <c r="S223" s="75" t="s">
        <v>131</v>
      </c>
      <c r="T223" s="75" t="s">
        <v>131</v>
      </c>
      <c r="U223" s="75" t="str">
        <f t="shared" si="8"/>
        <v>YES</v>
      </c>
      <c r="V223" s="75" t="s">
        <v>285</v>
      </c>
      <c r="W223" s="14"/>
    </row>
    <row r="224">
      <c r="A224" s="37" t="s">
        <v>693</v>
      </c>
      <c r="B224" s="37">
        <v>2014.0</v>
      </c>
      <c r="C224" s="69" t="s">
        <v>694</v>
      </c>
      <c r="D224" s="78"/>
      <c r="E224" s="13" t="s">
        <v>247</v>
      </c>
      <c r="F224" s="74" t="str">
        <f t="shared" si="1"/>
        <v>YES</v>
      </c>
      <c r="G224" s="78"/>
      <c r="H224" s="13" t="s">
        <v>247</v>
      </c>
      <c r="I224" s="74" t="str">
        <f t="shared" si="2"/>
        <v>YES</v>
      </c>
      <c r="J224" s="75" t="str">
        <f t="shared" si="3"/>
        <v>YES</v>
      </c>
      <c r="K224" s="96" t="s">
        <v>130</v>
      </c>
      <c r="L224" s="13" t="s">
        <v>7</v>
      </c>
      <c r="M224" s="75" t="s">
        <v>142</v>
      </c>
      <c r="N224" s="75" t="str">
        <f t="shared" si="4"/>
        <v>YES</v>
      </c>
      <c r="O224" s="75" t="s">
        <v>131</v>
      </c>
      <c r="P224" s="75"/>
      <c r="Q224" s="75" t="str">
        <f t="shared" si="5"/>
        <v/>
      </c>
      <c r="R224" s="75" t="str">
        <f t="shared" si="6"/>
        <v>YES</v>
      </c>
      <c r="S224" s="75"/>
      <c r="T224" s="75"/>
      <c r="U224" s="75" t="str">
        <f t="shared" si="8"/>
        <v/>
      </c>
      <c r="V224" s="76"/>
      <c r="W224" s="14"/>
    </row>
    <row r="225">
      <c r="A225" s="37" t="s">
        <v>695</v>
      </c>
      <c r="B225" s="37">
        <v>2014.0</v>
      </c>
      <c r="C225" s="69" t="s">
        <v>696</v>
      </c>
      <c r="D225" s="78"/>
      <c r="F225" s="74" t="str">
        <f t="shared" si="1"/>
        <v/>
      </c>
      <c r="G225" s="78"/>
      <c r="I225" s="74" t="str">
        <f t="shared" si="2"/>
        <v/>
      </c>
      <c r="J225" s="75" t="str">
        <f t="shared" si="3"/>
        <v>YES</v>
      </c>
      <c r="K225" s="96" t="s">
        <v>130</v>
      </c>
      <c r="M225" s="76"/>
      <c r="N225" s="75" t="str">
        <f t="shared" si="4"/>
        <v>YES</v>
      </c>
      <c r="O225" s="75" t="s">
        <v>131</v>
      </c>
      <c r="P225" s="76"/>
      <c r="Q225" s="75" t="str">
        <f t="shared" si="5"/>
        <v/>
      </c>
      <c r="R225" s="75" t="str">
        <f t="shared" si="6"/>
        <v>YES</v>
      </c>
      <c r="S225" s="75"/>
      <c r="T225" s="75"/>
      <c r="U225" s="75" t="str">
        <f t="shared" si="8"/>
        <v/>
      </c>
      <c r="V225" s="76"/>
      <c r="W225" s="14"/>
    </row>
    <row r="226">
      <c r="A226" s="37" t="s">
        <v>698</v>
      </c>
      <c r="B226" s="37">
        <v>2014.0</v>
      </c>
      <c r="C226" s="69" t="s">
        <v>699</v>
      </c>
      <c r="D226" s="78"/>
      <c r="F226" s="74" t="str">
        <f t="shared" si="1"/>
        <v/>
      </c>
      <c r="G226" s="78"/>
      <c r="I226" s="74" t="str">
        <f t="shared" si="2"/>
        <v/>
      </c>
      <c r="J226" s="75" t="str">
        <f t="shared" si="3"/>
        <v>YES</v>
      </c>
      <c r="K226" s="37" t="s">
        <v>199</v>
      </c>
      <c r="M226" s="76"/>
      <c r="N226" s="75" t="str">
        <f t="shared" si="4"/>
        <v>YES</v>
      </c>
      <c r="O226" s="75" t="s">
        <v>149</v>
      </c>
      <c r="P226" s="76"/>
      <c r="Q226" s="75" t="str">
        <f t="shared" si="5"/>
        <v/>
      </c>
      <c r="R226" s="75" t="str">
        <f t="shared" si="6"/>
        <v>NO</v>
      </c>
      <c r="S226" s="75"/>
      <c r="T226" s="75"/>
      <c r="U226" s="75" t="str">
        <f t="shared" si="8"/>
        <v/>
      </c>
      <c r="V226" s="76"/>
      <c r="W226" s="14"/>
    </row>
    <row r="227">
      <c r="A227" s="37" t="s">
        <v>700</v>
      </c>
      <c r="B227" s="37">
        <v>2014.0</v>
      </c>
      <c r="C227" s="69" t="s">
        <v>701</v>
      </c>
      <c r="D227" s="78"/>
      <c r="E227" s="13" t="s">
        <v>247</v>
      </c>
      <c r="F227" s="74" t="str">
        <f t="shared" si="1"/>
        <v>YES</v>
      </c>
      <c r="G227" s="78"/>
      <c r="H227" s="13" t="s">
        <v>247</v>
      </c>
      <c r="I227" s="74" t="str">
        <f t="shared" si="2"/>
        <v>YES</v>
      </c>
      <c r="J227" s="75" t="str">
        <f t="shared" si="3"/>
        <v>YES</v>
      </c>
      <c r="K227" s="96" t="s">
        <v>130</v>
      </c>
      <c r="M227" s="76"/>
      <c r="N227" s="75" t="str">
        <f t="shared" si="4"/>
        <v>YES</v>
      </c>
      <c r="O227" s="75" t="s">
        <v>131</v>
      </c>
      <c r="P227" s="75" t="s">
        <v>131</v>
      </c>
      <c r="Q227" s="75" t="str">
        <f t="shared" si="5"/>
        <v>YES</v>
      </c>
      <c r="R227" s="75" t="str">
        <f t="shared" si="6"/>
        <v>YES</v>
      </c>
      <c r="S227" s="75"/>
      <c r="T227" s="75"/>
      <c r="U227" s="75" t="str">
        <f t="shared" si="8"/>
        <v/>
      </c>
      <c r="V227" s="76"/>
      <c r="W227" s="14"/>
    </row>
    <row r="228">
      <c r="A228" s="37" t="s">
        <v>702</v>
      </c>
      <c r="B228" s="37">
        <v>2014.0</v>
      </c>
      <c r="C228" s="69" t="s">
        <v>703</v>
      </c>
      <c r="D228" s="78"/>
      <c r="F228" s="74" t="str">
        <f t="shared" si="1"/>
        <v/>
      </c>
      <c r="G228" s="78"/>
      <c r="I228" s="74" t="str">
        <f t="shared" si="2"/>
        <v/>
      </c>
      <c r="J228" s="75" t="str">
        <f t="shared" si="3"/>
        <v>YES</v>
      </c>
      <c r="K228" s="96" t="s">
        <v>130</v>
      </c>
      <c r="M228" s="76"/>
      <c r="N228" s="75" t="str">
        <f t="shared" si="4"/>
        <v>YES</v>
      </c>
      <c r="O228" s="75" t="s">
        <v>131</v>
      </c>
      <c r="P228" s="75" t="s">
        <v>131</v>
      </c>
      <c r="Q228" s="75" t="str">
        <f t="shared" si="5"/>
        <v>YES</v>
      </c>
      <c r="R228" s="75" t="str">
        <f t="shared" si="6"/>
        <v>YES</v>
      </c>
      <c r="S228" s="75"/>
      <c r="T228" s="75"/>
      <c r="U228" s="75" t="str">
        <f t="shared" si="8"/>
        <v/>
      </c>
      <c r="V228" s="76"/>
      <c r="W228" s="14"/>
    </row>
    <row r="229">
      <c r="A229" s="37" t="s">
        <v>705</v>
      </c>
      <c r="B229" s="37">
        <v>2014.0</v>
      </c>
      <c r="C229" s="69" t="s">
        <v>706</v>
      </c>
      <c r="D229" s="78"/>
      <c r="F229" s="74" t="str">
        <f t="shared" si="1"/>
        <v/>
      </c>
      <c r="G229" s="78"/>
      <c r="I229" s="74" t="str">
        <f t="shared" si="2"/>
        <v/>
      </c>
      <c r="J229" s="75" t="str">
        <f t="shared" si="3"/>
        <v>YES</v>
      </c>
      <c r="K229" s="37" t="s">
        <v>91</v>
      </c>
      <c r="M229" s="76"/>
      <c r="N229" s="75" t="str">
        <f t="shared" si="4"/>
        <v>NO</v>
      </c>
      <c r="O229" s="76"/>
      <c r="P229" s="76"/>
      <c r="Q229" s="75" t="str">
        <f t="shared" si="5"/>
        <v/>
      </c>
      <c r="R229" s="75" t="str">
        <f t="shared" si="6"/>
        <v>NO</v>
      </c>
      <c r="S229" s="75"/>
      <c r="T229" s="75"/>
      <c r="U229" s="75" t="str">
        <f t="shared" si="8"/>
        <v/>
      </c>
      <c r="V229" s="76"/>
      <c r="W229" s="14"/>
    </row>
    <row r="230">
      <c r="A230" s="37" t="s">
        <v>707</v>
      </c>
      <c r="B230" s="37">
        <v>2014.0</v>
      </c>
      <c r="C230" s="69" t="s">
        <v>708</v>
      </c>
      <c r="D230" s="78"/>
      <c r="F230" s="74" t="str">
        <f t="shared" si="1"/>
        <v/>
      </c>
      <c r="G230" s="78"/>
      <c r="I230" s="74" t="str">
        <f t="shared" si="2"/>
        <v/>
      </c>
      <c r="J230" s="75" t="str">
        <f t="shared" si="3"/>
        <v>YES</v>
      </c>
      <c r="K230" s="96" t="s">
        <v>130</v>
      </c>
      <c r="L230" s="13" t="s">
        <v>7</v>
      </c>
      <c r="M230" s="75" t="s">
        <v>142</v>
      </c>
      <c r="N230" s="75" t="str">
        <f t="shared" si="4"/>
        <v>YES</v>
      </c>
      <c r="O230" s="75" t="s">
        <v>131</v>
      </c>
      <c r="P230" s="75"/>
      <c r="Q230" s="75" t="str">
        <f t="shared" si="5"/>
        <v/>
      </c>
      <c r="R230" s="75" t="str">
        <f t="shared" si="6"/>
        <v>YES</v>
      </c>
      <c r="S230" s="75" t="s">
        <v>131</v>
      </c>
      <c r="T230" s="75" t="s">
        <v>131</v>
      </c>
      <c r="U230" s="75" t="str">
        <f t="shared" si="8"/>
        <v>YES</v>
      </c>
      <c r="V230" s="75" t="s">
        <v>285</v>
      </c>
      <c r="W230" s="14"/>
    </row>
    <row r="231">
      <c r="A231" s="37" t="s">
        <v>710</v>
      </c>
      <c r="B231" s="37">
        <v>2014.0</v>
      </c>
      <c r="C231" s="69" t="s">
        <v>711</v>
      </c>
      <c r="D231" s="78"/>
      <c r="F231" s="74" t="str">
        <f t="shared" si="1"/>
        <v/>
      </c>
      <c r="G231" s="78"/>
      <c r="I231" s="74" t="str">
        <f t="shared" si="2"/>
        <v/>
      </c>
      <c r="J231" s="75" t="str">
        <f t="shared" si="3"/>
        <v>YES</v>
      </c>
      <c r="K231" s="96" t="s">
        <v>130</v>
      </c>
      <c r="M231" s="76"/>
      <c r="N231" s="75" t="str">
        <f t="shared" si="4"/>
        <v>YES</v>
      </c>
      <c r="O231" s="75" t="s">
        <v>149</v>
      </c>
      <c r="P231" s="76"/>
      <c r="Q231" s="75" t="str">
        <f t="shared" si="5"/>
        <v/>
      </c>
      <c r="R231" s="75" t="str">
        <f t="shared" si="6"/>
        <v>NO</v>
      </c>
      <c r="S231" s="75"/>
      <c r="T231" s="75"/>
      <c r="U231" s="75" t="str">
        <f t="shared" si="8"/>
        <v/>
      </c>
      <c r="V231" s="76"/>
      <c r="W231" s="14"/>
    </row>
    <row r="232">
      <c r="A232" s="37" t="s">
        <v>712</v>
      </c>
      <c r="B232" s="37">
        <v>2014.0</v>
      </c>
      <c r="C232" s="69" t="s">
        <v>713</v>
      </c>
      <c r="D232" s="78"/>
      <c r="F232" s="74" t="str">
        <f t="shared" si="1"/>
        <v/>
      </c>
      <c r="G232" s="78"/>
      <c r="I232" s="74" t="str">
        <f t="shared" si="2"/>
        <v/>
      </c>
      <c r="J232" s="75" t="str">
        <f t="shared" si="3"/>
        <v>YES</v>
      </c>
      <c r="K232" s="96" t="s">
        <v>130</v>
      </c>
      <c r="M232" s="76"/>
      <c r="N232" s="75" t="str">
        <f t="shared" si="4"/>
        <v>YES</v>
      </c>
      <c r="O232" s="75" t="s">
        <v>131</v>
      </c>
      <c r="P232" s="76"/>
      <c r="Q232" s="75" t="str">
        <f t="shared" si="5"/>
        <v/>
      </c>
      <c r="R232" s="75" t="str">
        <f t="shared" si="6"/>
        <v>YES</v>
      </c>
      <c r="S232" s="75"/>
      <c r="T232" s="75"/>
      <c r="U232" s="75" t="str">
        <f t="shared" si="8"/>
        <v/>
      </c>
      <c r="V232" s="76"/>
      <c r="W232" s="14"/>
    </row>
    <row r="233">
      <c r="A233" s="37" t="s">
        <v>714</v>
      </c>
      <c r="B233" s="37">
        <v>2014.0</v>
      </c>
      <c r="C233" s="69" t="s">
        <v>715</v>
      </c>
      <c r="D233" s="78"/>
      <c r="E233" s="13" t="s">
        <v>247</v>
      </c>
      <c r="F233" s="74" t="str">
        <f t="shared" si="1"/>
        <v>YES</v>
      </c>
      <c r="G233" s="78"/>
      <c r="H233" s="13" t="s">
        <v>247</v>
      </c>
      <c r="I233" s="74" t="str">
        <f t="shared" si="2"/>
        <v>YES</v>
      </c>
      <c r="J233" s="75" t="str">
        <f t="shared" si="3"/>
        <v>YES</v>
      </c>
      <c r="K233" s="37" t="s">
        <v>86</v>
      </c>
      <c r="L233" s="13" t="s">
        <v>32</v>
      </c>
      <c r="M233" s="75" t="s">
        <v>142</v>
      </c>
      <c r="N233" s="75" t="str">
        <f t="shared" si="4"/>
        <v>NO</v>
      </c>
      <c r="O233" s="76"/>
      <c r="P233" s="75"/>
      <c r="Q233" s="75" t="str">
        <f t="shared" si="5"/>
        <v/>
      </c>
      <c r="R233" s="75" t="str">
        <f t="shared" si="6"/>
        <v>NO</v>
      </c>
      <c r="S233" s="75"/>
      <c r="T233" s="75"/>
      <c r="U233" s="75" t="str">
        <f t="shared" si="8"/>
        <v/>
      </c>
      <c r="V233" s="76"/>
      <c r="W233" s="14"/>
    </row>
    <row r="234">
      <c r="A234" s="37" t="s">
        <v>717</v>
      </c>
      <c r="B234" s="37">
        <v>2014.0</v>
      </c>
      <c r="C234" s="69" t="s">
        <v>718</v>
      </c>
      <c r="D234" s="78"/>
      <c r="E234" s="13" t="s">
        <v>247</v>
      </c>
      <c r="F234" s="74" t="str">
        <f t="shared" si="1"/>
        <v>YES</v>
      </c>
      <c r="G234" s="78"/>
      <c r="H234" s="13" t="s">
        <v>247</v>
      </c>
      <c r="I234" s="74" t="str">
        <f t="shared" si="2"/>
        <v>YES</v>
      </c>
      <c r="J234" s="75" t="str">
        <f t="shared" si="3"/>
        <v>YES</v>
      </c>
      <c r="K234" s="96" t="s">
        <v>130</v>
      </c>
      <c r="M234" s="76"/>
      <c r="N234" s="75" t="str">
        <f t="shared" si="4"/>
        <v>YES</v>
      </c>
      <c r="O234" s="75" t="s">
        <v>131</v>
      </c>
      <c r="P234" s="76"/>
      <c r="Q234" s="75" t="str">
        <f t="shared" si="5"/>
        <v/>
      </c>
      <c r="R234" s="75" t="str">
        <f t="shared" si="6"/>
        <v>YES</v>
      </c>
      <c r="S234" s="75"/>
      <c r="T234" s="75"/>
      <c r="U234" s="75" t="str">
        <f t="shared" si="8"/>
        <v/>
      </c>
      <c r="V234" s="76"/>
      <c r="W234" s="14"/>
    </row>
    <row r="235">
      <c r="A235" s="37" t="s">
        <v>721</v>
      </c>
      <c r="B235" s="37">
        <v>2014.0</v>
      </c>
      <c r="C235" s="69" t="s">
        <v>722</v>
      </c>
      <c r="D235" s="78"/>
      <c r="F235" s="74" t="str">
        <f t="shared" si="1"/>
        <v/>
      </c>
      <c r="G235" s="78"/>
      <c r="I235" s="74" t="str">
        <f t="shared" si="2"/>
        <v/>
      </c>
      <c r="J235" s="75" t="str">
        <f t="shared" si="3"/>
        <v>YES</v>
      </c>
      <c r="K235" s="37" t="s">
        <v>86</v>
      </c>
      <c r="M235" s="76"/>
      <c r="N235" s="75" t="str">
        <f t="shared" si="4"/>
        <v>NO</v>
      </c>
      <c r="O235" s="76"/>
      <c r="P235" s="76"/>
      <c r="Q235" s="75" t="str">
        <f t="shared" si="5"/>
        <v/>
      </c>
      <c r="R235" s="75" t="str">
        <f t="shared" si="6"/>
        <v>NO</v>
      </c>
      <c r="S235" s="75"/>
      <c r="T235" s="75"/>
      <c r="U235" s="75" t="str">
        <f t="shared" si="8"/>
        <v/>
      </c>
      <c r="V235" s="76"/>
      <c r="W235" s="14"/>
    </row>
    <row r="236">
      <c r="A236" s="37" t="s">
        <v>723</v>
      </c>
      <c r="B236" s="37">
        <v>2014.0</v>
      </c>
      <c r="C236" s="69" t="s">
        <v>724</v>
      </c>
      <c r="D236" s="78"/>
      <c r="F236" s="74" t="str">
        <f t="shared" si="1"/>
        <v/>
      </c>
      <c r="G236" s="78"/>
      <c r="I236" s="74" t="str">
        <f t="shared" si="2"/>
        <v/>
      </c>
      <c r="J236" s="75" t="str">
        <f t="shared" si="3"/>
        <v>YES</v>
      </c>
      <c r="K236" s="37" t="s">
        <v>199</v>
      </c>
      <c r="M236" s="76"/>
      <c r="N236" s="75" t="str">
        <f t="shared" si="4"/>
        <v>YES</v>
      </c>
      <c r="O236" s="75" t="s">
        <v>149</v>
      </c>
      <c r="P236" s="75" t="s">
        <v>149</v>
      </c>
      <c r="Q236" s="75" t="str">
        <f t="shared" si="5"/>
        <v>YES</v>
      </c>
      <c r="R236" s="75" t="str">
        <f t="shared" si="6"/>
        <v>NO</v>
      </c>
      <c r="S236" s="75"/>
      <c r="T236" s="75"/>
      <c r="U236" s="75" t="str">
        <f t="shared" si="8"/>
        <v/>
      </c>
      <c r="V236" s="76"/>
      <c r="W236" s="14"/>
    </row>
    <row r="237">
      <c r="A237" s="37" t="s">
        <v>725</v>
      </c>
      <c r="B237" s="37">
        <v>2013.0</v>
      </c>
      <c r="C237" s="69" t="s">
        <v>726</v>
      </c>
      <c r="D237" s="78"/>
      <c r="F237" s="74" t="str">
        <f t="shared" si="1"/>
        <v/>
      </c>
      <c r="G237" s="78"/>
      <c r="I237" s="74" t="str">
        <f t="shared" si="2"/>
        <v/>
      </c>
      <c r="J237" s="75" t="str">
        <f t="shared" si="3"/>
        <v>YES</v>
      </c>
      <c r="K237" s="96" t="s">
        <v>130</v>
      </c>
      <c r="M237" s="76"/>
      <c r="N237" s="75" t="str">
        <f t="shared" si="4"/>
        <v>YES</v>
      </c>
      <c r="O237" s="75" t="s">
        <v>131</v>
      </c>
      <c r="P237" s="76"/>
      <c r="Q237" s="75" t="str">
        <f t="shared" si="5"/>
        <v/>
      </c>
      <c r="R237" s="75" t="str">
        <f t="shared" si="6"/>
        <v>YES</v>
      </c>
      <c r="S237" s="75"/>
      <c r="T237" s="75"/>
      <c r="U237" s="75" t="str">
        <f t="shared" si="8"/>
        <v/>
      </c>
      <c r="V237" s="76"/>
      <c r="W237" s="14"/>
    </row>
    <row r="238">
      <c r="A238" s="37" t="s">
        <v>729</v>
      </c>
      <c r="B238" s="37">
        <v>2013.0</v>
      </c>
      <c r="C238" s="69" t="s">
        <v>730</v>
      </c>
      <c r="D238" s="78"/>
      <c r="F238" s="74" t="str">
        <f t="shared" si="1"/>
        <v/>
      </c>
      <c r="G238" s="78"/>
      <c r="I238" s="74" t="str">
        <f t="shared" si="2"/>
        <v/>
      </c>
      <c r="J238" s="75" t="str">
        <f t="shared" si="3"/>
        <v>YES</v>
      </c>
      <c r="K238" s="96" t="s">
        <v>86</v>
      </c>
      <c r="M238" s="76"/>
      <c r="N238" s="75" t="str">
        <f t="shared" si="4"/>
        <v>NO</v>
      </c>
      <c r="O238" s="76"/>
      <c r="P238" s="76"/>
      <c r="Q238" s="75" t="str">
        <f t="shared" si="5"/>
        <v/>
      </c>
      <c r="R238" s="75" t="str">
        <f t="shared" si="6"/>
        <v>NO</v>
      </c>
      <c r="S238" s="75"/>
      <c r="T238" s="75"/>
      <c r="U238" s="75" t="str">
        <f t="shared" si="8"/>
        <v/>
      </c>
      <c r="V238" s="76"/>
      <c r="W238" s="14"/>
    </row>
    <row r="239">
      <c r="A239" s="37" t="s">
        <v>731</v>
      </c>
      <c r="B239" s="37">
        <v>2013.0</v>
      </c>
      <c r="C239" s="69" t="s">
        <v>732</v>
      </c>
      <c r="D239" s="78"/>
      <c r="F239" s="74" t="str">
        <f t="shared" si="1"/>
        <v/>
      </c>
      <c r="G239" s="78"/>
      <c r="I239" s="74" t="str">
        <f t="shared" si="2"/>
        <v/>
      </c>
      <c r="J239" s="75" t="str">
        <f t="shared" si="3"/>
        <v>YES</v>
      </c>
      <c r="K239" s="96" t="s">
        <v>130</v>
      </c>
      <c r="M239" s="76"/>
      <c r="N239" s="75" t="str">
        <f t="shared" si="4"/>
        <v>YES</v>
      </c>
      <c r="O239" s="75" t="s">
        <v>131</v>
      </c>
      <c r="P239" s="75" t="s">
        <v>131</v>
      </c>
      <c r="Q239" s="75" t="str">
        <f t="shared" si="5"/>
        <v>YES</v>
      </c>
      <c r="R239" s="75" t="str">
        <f t="shared" si="6"/>
        <v>YES</v>
      </c>
      <c r="S239" s="75"/>
      <c r="T239" s="75"/>
      <c r="U239" s="75" t="str">
        <f t="shared" si="8"/>
        <v/>
      </c>
      <c r="V239" s="76"/>
      <c r="W239" s="14"/>
    </row>
    <row r="240">
      <c r="A240" s="37" t="s">
        <v>734</v>
      </c>
      <c r="B240" s="37">
        <v>2012.0</v>
      </c>
      <c r="C240" s="69" t="s">
        <v>735</v>
      </c>
      <c r="D240" s="78"/>
      <c r="F240" s="74" t="str">
        <f t="shared" si="1"/>
        <v/>
      </c>
      <c r="G240" s="71"/>
      <c r="I240" s="74" t="str">
        <f t="shared" si="2"/>
        <v/>
      </c>
      <c r="J240" s="75" t="str">
        <f t="shared" si="3"/>
        <v>YES</v>
      </c>
      <c r="K240" s="37" t="s">
        <v>37</v>
      </c>
      <c r="M240" s="76"/>
      <c r="N240" s="75" t="str">
        <f t="shared" si="4"/>
        <v>NO</v>
      </c>
      <c r="O240" s="76"/>
      <c r="P240" s="76"/>
      <c r="Q240" s="75" t="str">
        <f t="shared" si="5"/>
        <v/>
      </c>
      <c r="R240" s="75" t="str">
        <f t="shared" si="6"/>
        <v>NO</v>
      </c>
      <c r="S240" s="75"/>
      <c r="T240" s="75"/>
      <c r="U240" s="75" t="str">
        <f t="shared" si="8"/>
        <v/>
      </c>
      <c r="V240" s="76"/>
      <c r="W240" s="14"/>
    </row>
    <row r="241">
      <c r="A241" s="37" t="s">
        <v>736</v>
      </c>
      <c r="B241" s="37">
        <v>2012.0</v>
      </c>
      <c r="C241" s="69" t="s">
        <v>737</v>
      </c>
      <c r="D241" s="78"/>
      <c r="F241" s="74" t="str">
        <f t="shared" si="1"/>
        <v/>
      </c>
      <c r="G241" s="78"/>
      <c r="I241" s="74" t="str">
        <f t="shared" si="2"/>
        <v/>
      </c>
      <c r="J241" s="75" t="str">
        <f t="shared" si="3"/>
        <v>YES</v>
      </c>
      <c r="K241" s="96" t="s">
        <v>130</v>
      </c>
      <c r="M241" s="76"/>
      <c r="N241" s="75" t="str">
        <f t="shared" si="4"/>
        <v>YES</v>
      </c>
      <c r="O241" s="75" t="s">
        <v>131</v>
      </c>
      <c r="P241" s="76"/>
      <c r="Q241" s="75" t="str">
        <f t="shared" si="5"/>
        <v/>
      </c>
      <c r="R241" s="75" t="str">
        <f t="shared" si="6"/>
        <v>YES</v>
      </c>
      <c r="S241" s="75" t="s">
        <v>131</v>
      </c>
      <c r="T241" s="75" t="s">
        <v>131</v>
      </c>
      <c r="U241" s="75" t="str">
        <f t="shared" si="8"/>
        <v>YES</v>
      </c>
      <c r="V241" s="75" t="s">
        <v>285</v>
      </c>
      <c r="W241" s="14"/>
    </row>
    <row r="242">
      <c r="A242" s="37" t="s">
        <v>740</v>
      </c>
      <c r="B242" s="37">
        <v>2014.0</v>
      </c>
      <c r="C242" s="69" t="s">
        <v>741</v>
      </c>
      <c r="D242" s="78"/>
      <c r="F242" s="74" t="str">
        <f t="shared" si="1"/>
        <v/>
      </c>
      <c r="G242" s="78"/>
      <c r="I242" s="74" t="str">
        <f t="shared" si="2"/>
        <v/>
      </c>
      <c r="J242" s="75" t="str">
        <f t="shared" si="3"/>
        <v>YES</v>
      </c>
      <c r="K242" s="37" t="s">
        <v>91</v>
      </c>
      <c r="L242" s="13" t="s">
        <v>32</v>
      </c>
      <c r="M242" s="75" t="s">
        <v>142</v>
      </c>
      <c r="N242" s="75" t="str">
        <f t="shared" si="4"/>
        <v>NO</v>
      </c>
      <c r="O242" s="76"/>
      <c r="P242" s="75"/>
      <c r="Q242" s="75" t="str">
        <f t="shared" si="5"/>
        <v/>
      </c>
      <c r="R242" s="75" t="str">
        <f t="shared" si="6"/>
        <v>NO</v>
      </c>
      <c r="S242" s="75"/>
      <c r="T242" s="75"/>
      <c r="U242" s="75" t="str">
        <f t="shared" si="8"/>
        <v/>
      </c>
      <c r="V242" s="76"/>
      <c r="W242" s="14"/>
    </row>
    <row r="243">
      <c r="A243" s="37" t="s">
        <v>742</v>
      </c>
      <c r="B243" s="37">
        <v>2016.0</v>
      </c>
      <c r="C243" s="69" t="s">
        <v>743</v>
      </c>
      <c r="D243" s="71" t="s">
        <v>95</v>
      </c>
      <c r="E243" s="13"/>
      <c r="F243" s="74" t="str">
        <f t="shared" si="1"/>
        <v/>
      </c>
      <c r="G243" s="78"/>
      <c r="H243" s="13"/>
      <c r="I243" s="74" t="str">
        <f t="shared" si="2"/>
        <v/>
      </c>
      <c r="J243" s="75" t="str">
        <f t="shared" si="3"/>
        <v>NO</v>
      </c>
      <c r="K243" s="20"/>
      <c r="M243" s="76"/>
      <c r="N243" s="75" t="str">
        <f t="shared" si="4"/>
        <v>NO</v>
      </c>
      <c r="O243" s="76"/>
      <c r="P243" s="76"/>
      <c r="Q243" s="75" t="str">
        <f t="shared" si="5"/>
        <v/>
      </c>
      <c r="R243" s="75" t="str">
        <f t="shared" si="6"/>
        <v>NO</v>
      </c>
      <c r="S243" s="75"/>
      <c r="T243" s="75"/>
      <c r="U243" s="75" t="str">
        <f t="shared" si="8"/>
        <v/>
      </c>
      <c r="V243" s="76"/>
      <c r="W243" s="14"/>
    </row>
    <row r="244">
      <c r="A244" s="37" t="s">
        <v>744</v>
      </c>
      <c r="B244" s="37">
        <v>2016.0</v>
      </c>
      <c r="C244" s="69" t="s">
        <v>745</v>
      </c>
      <c r="D244" s="78"/>
      <c r="F244" s="74" t="str">
        <f t="shared" si="1"/>
        <v/>
      </c>
      <c r="G244" s="71" t="s">
        <v>95</v>
      </c>
      <c r="I244" s="74" t="str">
        <f t="shared" si="2"/>
        <v/>
      </c>
      <c r="J244" s="75" t="str">
        <f t="shared" si="3"/>
        <v>NO</v>
      </c>
      <c r="K244" s="20"/>
      <c r="M244" s="76"/>
      <c r="N244" s="75" t="str">
        <f t="shared" si="4"/>
        <v>NO</v>
      </c>
      <c r="O244" s="76"/>
      <c r="P244" s="76"/>
      <c r="Q244" s="75" t="str">
        <f t="shared" si="5"/>
        <v/>
      </c>
      <c r="R244" s="75" t="str">
        <f t="shared" si="6"/>
        <v>NO</v>
      </c>
      <c r="S244" s="75"/>
      <c r="T244" s="75"/>
      <c r="U244" s="75" t="str">
        <f t="shared" si="8"/>
        <v/>
      </c>
      <c r="V244" s="76"/>
      <c r="W244" s="14"/>
    </row>
    <row r="245">
      <c r="A245" s="37" t="s">
        <v>746</v>
      </c>
      <c r="B245" s="37">
        <v>2016.0</v>
      </c>
      <c r="C245" s="69" t="s">
        <v>747</v>
      </c>
      <c r="D245" s="71" t="s">
        <v>95</v>
      </c>
      <c r="E245" s="13"/>
      <c r="F245" s="74" t="str">
        <f t="shared" si="1"/>
        <v/>
      </c>
      <c r="G245" s="78"/>
      <c r="H245" s="13"/>
      <c r="I245" s="74" t="str">
        <f t="shared" si="2"/>
        <v/>
      </c>
      <c r="J245" s="75" t="str">
        <f t="shared" si="3"/>
        <v>NO</v>
      </c>
      <c r="K245" s="20"/>
      <c r="M245" s="76"/>
      <c r="N245" s="75" t="str">
        <f t="shared" si="4"/>
        <v>NO</v>
      </c>
      <c r="O245" s="76"/>
      <c r="P245" s="76"/>
      <c r="Q245" s="75" t="str">
        <f t="shared" si="5"/>
        <v/>
      </c>
      <c r="R245" s="75" t="str">
        <f t="shared" si="6"/>
        <v>NO</v>
      </c>
      <c r="S245" s="75"/>
      <c r="T245" s="75"/>
      <c r="U245" s="75" t="str">
        <f t="shared" si="8"/>
        <v/>
      </c>
      <c r="V245" s="76"/>
      <c r="W245" s="14"/>
    </row>
    <row r="246">
      <c r="A246" s="37" t="s">
        <v>748</v>
      </c>
      <c r="B246" s="37">
        <v>2016.0</v>
      </c>
      <c r="C246" s="69" t="s">
        <v>749</v>
      </c>
      <c r="D246" s="71" t="s">
        <v>95</v>
      </c>
      <c r="E246" s="13" t="s">
        <v>95</v>
      </c>
      <c r="F246" s="74" t="str">
        <f t="shared" si="1"/>
        <v>YES</v>
      </c>
      <c r="G246" s="78"/>
      <c r="H246" s="13" t="s">
        <v>247</v>
      </c>
      <c r="I246" s="74" t="str">
        <f t="shared" si="2"/>
        <v>YES</v>
      </c>
      <c r="J246" s="75" t="str">
        <f t="shared" si="3"/>
        <v>NO</v>
      </c>
      <c r="K246" s="20"/>
      <c r="M246" s="76"/>
      <c r="N246" s="75" t="str">
        <f t="shared" si="4"/>
        <v>NO</v>
      </c>
      <c r="O246" s="76"/>
      <c r="P246" s="76"/>
      <c r="Q246" s="75" t="str">
        <f t="shared" si="5"/>
        <v/>
      </c>
      <c r="R246" s="75" t="str">
        <f t="shared" si="6"/>
        <v>NO</v>
      </c>
      <c r="S246" s="75"/>
      <c r="T246" s="75"/>
      <c r="U246" s="75" t="str">
        <f t="shared" si="8"/>
        <v/>
      </c>
      <c r="V246" s="76"/>
      <c r="W246" s="14"/>
    </row>
    <row r="247">
      <c r="A247" s="37" t="s">
        <v>750</v>
      </c>
      <c r="B247" s="37">
        <v>2016.0</v>
      </c>
      <c r="C247" s="69" t="s">
        <v>751</v>
      </c>
      <c r="D247" s="71"/>
      <c r="E247" s="13"/>
      <c r="F247" s="74" t="str">
        <f t="shared" si="1"/>
        <v/>
      </c>
      <c r="G247" s="71" t="s">
        <v>95</v>
      </c>
      <c r="H247" s="13"/>
      <c r="I247" s="74" t="str">
        <f t="shared" si="2"/>
        <v/>
      </c>
      <c r="J247" s="75" t="str">
        <f t="shared" si="3"/>
        <v>NO</v>
      </c>
      <c r="K247" s="20"/>
      <c r="M247" s="76"/>
      <c r="N247" s="75" t="str">
        <f t="shared" si="4"/>
        <v>NO</v>
      </c>
      <c r="O247" s="76"/>
      <c r="P247" s="76"/>
      <c r="Q247" s="75" t="str">
        <f t="shared" si="5"/>
        <v/>
      </c>
      <c r="R247" s="75" t="str">
        <f t="shared" si="6"/>
        <v>NO</v>
      </c>
      <c r="S247" s="75"/>
      <c r="T247" s="75"/>
      <c r="U247" s="75" t="str">
        <f t="shared" si="8"/>
        <v/>
      </c>
      <c r="V247" s="76"/>
      <c r="W247" s="14"/>
    </row>
    <row r="248">
      <c r="A248" s="37" t="s">
        <v>752</v>
      </c>
      <c r="B248" s="37">
        <v>2016.0</v>
      </c>
      <c r="C248" s="69" t="s">
        <v>753</v>
      </c>
      <c r="D248" s="71" t="s">
        <v>95</v>
      </c>
      <c r="E248" s="13"/>
      <c r="F248" s="74" t="str">
        <f t="shared" si="1"/>
        <v/>
      </c>
      <c r="G248" s="78"/>
      <c r="H248" s="13"/>
      <c r="I248" s="74" t="str">
        <f t="shared" si="2"/>
        <v/>
      </c>
      <c r="J248" s="75" t="str">
        <f t="shared" si="3"/>
        <v>NO</v>
      </c>
      <c r="K248" s="20"/>
      <c r="M248" s="76"/>
      <c r="N248" s="75" t="str">
        <f t="shared" si="4"/>
        <v>NO</v>
      </c>
      <c r="O248" s="76"/>
      <c r="P248" s="76"/>
      <c r="Q248" s="75" t="str">
        <f t="shared" si="5"/>
        <v/>
      </c>
      <c r="R248" s="75" t="str">
        <f t="shared" si="6"/>
        <v>NO</v>
      </c>
      <c r="S248" s="75"/>
      <c r="T248" s="75"/>
      <c r="U248" s="75" t="str">
        <f t="shared" si="8"/>
        <v/>
      </c>
      <c r="V248" s="76"/>
      <c r="W248" s="14"/>
    </row>
    <row r="249">
      <c r="A249" s="37" t="s">
        <v>754</v>
      </c>
      <c r="B249" s="37">
        <v>2016.0</v>
      </c>
      <c r="C249" s="69" t="s">
        <v>755</v>
      </c>
      <c r="D249" s="71" t="s">
        <v>95</v>
      </c>
      <c r="E249" s="13" t="s">
        <v>95</v>
      </c>
      <c r="F249" s="74" t="str">
        <f t="shared" si="1"/>
        <v>YES</v>
      </c>
      <c r="G249" s="78"/>
      <c r="H249" s="13" t="s">
        <v>247</v>
      </c>
      <c r="I249" s="74" t="str">
        <f t="shared" si="2"/>
        <v>YES</v>
      </c>
      <c r="J249" s="75" t="str">
        <f t="shared" si="3"/>
        <v>NO</v>
      </c>
      <c r="K249" s="20"/>
      <c r="M249" s="76"/>
      <c r="N249" s="75" t="str">
        <f t="shared" si="4"/>
        <v>NO</v>
      </c>
      <c r="O249" s="76"/>
      <c r="P249" s="76"/>
      <c r="Q249" s="75" t="str">
        <f t="shared" si="5"/>
        <v/>
      </c>
      <c r="R249" s="75" t="str">
        <f t="shared" si="6"/>
        <v>NO</v>
      </c>
      <c r="S249" s="75"/>
      <c r="T249" s="75"/>
      <c r="U249" s="75" t="str">
        <f t="shared" si="8"/>
        <v/>
      </c>
      <c r="V249" s="76"/>
      <c r="W249" s="14"/>
    </row>
    <row r="250">
      <c r="A250" s="37" t="s">
        <v>756</v>
      </c>
      <c r="B250" s="37">
        <v>2015.0</v>
      </c>
      <c r="C250" s="69" t="s">
        <v>757</v>
      </c>
      <c r="D250" s="78"/>
      <c r="F250" s="74" t="str">
        <f t="shared" si="1"/>
        <v/>
      </c>
      <c r="G250" s="78"/>
      <c r="I250" s="74" t="str">
        <f t="shared" si="2"/>
        <v/>
      </c>
      <c r="J250" s="75" t="str">
        <f t="shared" si="3"/>
        <v>YES</v>
      </c>
      <c r="K250" s="37" t="s">
        <v>130</v>
      </c>
      <c r="L250" s="13" t="s">
        <v>32</v>
      </c>
      <c r="M250" s="75" t="s">
        <v>158</v>
      </c>
      <c r="N250" s="75" t="str">
        <f t="shared" si="4"/>
        <v>YES</v>
      </c>
      <c r="O250" s="75" t="s">
        <v>149</v>
      </c>
      <c r="P250" s="75"/>
      <c r="Q250" s="75" t="str">
        <f t="shared" si="5"/>
        <v/>
      </c>
      <c r="R250" s="75" t="str">
        <f t="shared" si="6"/>
        <v>NO</v>
      </c>
      <c r="S250" s="75"/>
      <c r="T250" s="75"/>
      <c r="U250" s="75" t="str">
        <f t="shared" si="8"/>
        <v/>
      </c>
      <c r="V250" s="76"/>
      <c r="W250" s="14"/>
    </row>
    <row r="251">
      <c r="A251" s="37" t="s">
        <v>758</v>
      </c>
      <c r="B251" s="37">
        <v>2016.0</v>
      </c>
      <c r="C251" s="69" t="s">
        <v>759</v>
      </c>
      <c r="D251" s="71" t="s">
        <v>95</v>
      </c>
      <c r="E251" s="13"/>
      <c r="F251" s="74" t="str">
        <f t="shared" si="1"/>
        <v/>
      </c>
      <c r="G251" s="78"/>
      <c r="H251" s="13"/>
      <c r="I251" s="74" t="str">
        <f t="shared" si="2"/>
        <v/>
      </c>
      <c r="J251" s="75" t="str">
        <f t="shared" si="3"/>
        <v>NO</v>
      </c>
      <c r="K251" s="20"/>
      <c r="M251" s="76"/>
      <c r="N251" s="75" t="str">
        <f t="shared" si="4"/>
        <v>NO</v>
      </c>
      <c r="O251" s="76"/>
      <c r="P251" s="76"/>
      <c r="Q251" s="75" t="str">
        <f t="shared" si="5"/>
        <v/>
      </c>
      <c r="R251" s="75" t="str">
        <f t="shared" si="6"/>
        <v>NO</v>
      </c>
      <c r="S251" s="75"/>
      <c r="T251" s="75"/>
      <c r="U251" s="75" t="str">
        <f t="shared" si="8"/>
        <v/>
      </c>
      <c r="V251" s="76"/>
      <c r="W251" s="14"/>
    </row>
    <row r="252">
      <c r="A252" s="37" t="s">
        <v>760</v>
      </c>
      <c r="B252" s="37">
        <v>2016.0</v>
      </c>
      <c r="C252" s="69" t="s">
        <v>761</v>
      </c>
      <c r="D252" s="71" t="s">
        <v>95</v>
      </c>
      <c r="E252" s="13"/>
      <c r="F252" s="74" t="str">
        <f t="shared" si="1"/>
        <v/>
      </c>
      <c r="G252" s="78"/>
      <c r="H252" s="13"/>
      <c r="I252" s="74" t="str">
        <f t="shared" si="2"/>
        <v/>
      </c>
      <c r="J252" s="75" t="str">
        <f t="shared" si="3"/>
        <v>NO</v>
      </c>
      <c r="K252" s="20"/>
      <c r="M252" s="76"/>
      <c r="N252" s="75" t="str">
        <f t="shared" si="4"/>
        <v>NO</v>
      </c>
      <c r="O252" s="76"/>
      <c r="P252" s="76"/>
      <c r="Q252" s="75" t="str">
        <f t="shared" si="5"/>
        <v/>
      </c>
      <c r="R252" s="75" t="str">
        <f t="shared" si="6"/>
        <v>NO</v>
      </c>
      <c r="S252" s="75"/>
      <c r="T252" s="75"/>
      <c r="U252" s="75" t="str">
        <f t="shared" si="8"/>
        <v/>
      </c>
      <c r="V252" s="76"/>
      <c r="W252" s="14"/>
    </row>
    <row r="253">
      <c r="A253" s="37" t="s">
        <v>762</v>
      </c>
      <c r="B253" s="37">
        <v>2016.0</v>
      </c>
      <c r="C253" s="69" t="s">
        <v>763</v>
      </c>
      <c r="D253" s="71" t="s">
        <v>95</v>
      </c>
      <c r="E253" s="13"/>
      <c r="F253" s="74" t="str">
        <f t="shared" si="1"/>
        <v/>
      </c>
      <c r="G253" s="78"/>
      <c r="H253" s="13"/>
      <c r="I253" s="74" t="str">
        <f t="shared" si="2"/>
        <v/>
      </c>
      <c r="J253" s="75" t="str">
        <f t="shared" si="3"/>
        <v>NO</v>
      </c>
      <c r="K253" s="20"/>
      <c r="M253" s="76"/>
      <c r="N253" s="75" t="str">
        <f t="shared" si="4"/>
        <v>NO</v>
      </c>
      <c r="O253" s="76"/>
      <c r="P253" s="76"/>
      <c r="Q253" s="75" t="str">
        <f t="shared" si="5"/>
        <v/>
      </c>
      <c r="R253" s="75" t="str">
        <f t="shared" si="6"/>
        <v>NO</v>
      </c>
      <c r="S253" s="75"/>
      <c r="T253" s="75"/>
      <c r="U253" s="75" t="str">
        <f t="shared" si="8"/>
        <v/>
      </c>
      <c r="V253" s="76"/>
      <c r="W253" s="14"/>
    </row>
    <row r="254">
      <c r="A254" s="37" t="s">
        <v>764</v>
      </c>
      <c r="B254" s="37">
        <v>2016.0</v>
      </c>
      <c r="C254" s="69" t="s">
        <v>765</v>
      </c>
      <c r="D254" s="71" t="s">
        <v>95</v>
      </c>
      <c r="E254" s="13"/>
      <c r="F254" s="74" t="str">
        <f t="shared" si="1"/>
        <v/>
      </c>
      <c r="G254" s="78"/>
      <c r="H254" s="13"/>
      <c r="I254" s="74" t="str">
        <f t="shared" si="2"/>
        <v/>
      </c>
      <c r="J254" s="75" t="str">
        <f t="shared" si="3"/>
        <v>NO</v>
      </c>
      <c r="K254" s="20"/>
      <c r="M254" s="76"/>
      <c r="N254" s="75" t="str">
        <f t="shared" si="4"/>
        <v>NO</v>
      </c>
      <c r="O254" s="76"/>
      <c r="P254" s="76"/>
      <c r="Q254" s="75" t="str">
        <f t="shared" si="5"/>
        <v/>
      </c>
      <c r="R254" s="75" t="str">
        <f t="shared" si="6"/>
        <v>NO</v>
      </c>
      <c r="S254" s="75"/>
      <c r="T254" s="75"/>
      <c r="U254" s="75" t="str">
        <f t="shared" si="8"/>
        <v/>
      </c>
      <c r="V254" s="76"/>
      <c r="W254" s="14"/>
    </row>
    <row r="255">
      <c r="A255" s="37" t="s">
        <v>766</v>
      </c>
      <c r="B255" s="37">
        <v>2016.0</v>
      </c>
      <c r="C255" s="69" t="s">
        <v>767</v>
      </c>
      <c r="D255" s="71" t="s">
        <v>95</v>
      </c>
      <c r="E255" s="13" t="s">
        <v>95</v>
      </c>
      <c r="F255" s="74" t="str">
        <f t="shared" si="1"/>
        <v>YES</v>
      </c>
      <c r="G255" s="78"/>
      <c r="H255" s="13" t="s">
        <v>247</v>
      </c>
      <c r="I255" s="74" t="str">
        <f t="shared" si="2"/>
        <v>YES</v>
      </c>
      <c r="J255" s="75" t="str">
        <f t="shared" si="3"/>
        <v>NO</v>
      </c>
      <c r="K255" s="20"/>
      <c r="M255" s="76"/>
      <c r="N255" s="75" t="str">
        <f t="shared" si="4"/>
        <v>NO</v>
      </c>
      <c r="O255" s="76"/>
      <c r="P255" s="76"/>
      <c r="Q255" s="75" t="str">
        <f t="shared" si="5"/>
        <v/>
      </c>
      <c r="R255" s="75" t="str">
        <f t="shared" si="6"/>
        <v>NO</v>
      </c>
      <c r="S255" s="75"/>
      <c r="T255" s="75"/>
      <c r="U255" s="75" t="str">
        <f t="shared" si="8"/>
        <v/>
      </c>
      <c r="V255" s="76"/>
      <c r="W255" s="14"/>
    </row>
    <row r="256">
      <c r="A256" s="37" t="s">
        <v>768</v>
      </c>
      <c r="B256" s="37">
        <v>2016.0</v>
      </c>
      <c r="C256" s="69" t="s">
        <v>769</v>
      </c>
      <c r="D256" s="71" t="s">
        <v>95</v>
      </c>
      <c r="E256" s="13" t="s">
        <v>95</v>
      </c>
      <c r="F256" s="74" t="str">
        <f t="shared" si="1"/>
        <v>YES</v>
      </c>
      <c r="G256" s="78"/>
      <c r="H256" s="13" t="s">
        <v>247</v>
      </c>
      <c r="I256" s="74" t="str">
        <f t="shared" si="2"/>
        <v>YES</v>
      </c>
      <c r="J256" s="75" t="str">
        <f t="shared" si="3"/>
        <v>NO</v>
      </c>
      <c r="K256" s="20"/>
      <c r="M256" s="76"/>
      <c r="N256" s="75" t="str">
        <f t="shared" si="4"/>
        <v>NO</v>
      </c>
      <c r="O256" s="76"/>
      <c r="P256" s="76"/>
      <c r="Q256" s="75" t="str">
        <f t="shared" si="5"/>
        <v/>
      </c>
      <c r="R256" s="75" t="str">
        <f t="shared" si="6"/>
        <v>NO</v>
      </c>
      <c r="S256" s="75"/>
      <c r="T256" s="75"/>
      <c r="U256" s="75" t="str">
        <f t="shared" si="8"/>
        <v/>
      </c>
      <c r="V256" s="76"/>
      <c r="W256" s="14"/>
    </row>
    <row r="257">
      <c r="A257" s="37" t="s">
        <v>770</v>
      </c>
      <c r="B257" s="37">
        <v>2016.0</v>
      </c>
      <c r="C257" s="69" t="s">
        <v>771</v>
      </c>
      <c r="D257" s="71" t="s">
        <v>95</v>
      </c>
      <c r="E257" s="13"/>
      <c r="F257" s="74" t="str">
        <f t="shared" si="1"/>
        <v/>
      </c>
      <c r="G257" s="78"/>
      <c r="H257" s="13"/>
      <c r="I257" s="74" t="str">
        <f t="shared" si="2"/>
        <v/>
      </c>
      <c r="J257" s="75" t="str">
        <f t="shared" si="3"/>
        <v>NO</v>
      </c>
      <c r="K257" s="20"/>
      <c r="M257" s="76"/>
      <c r="N257" s="75" t="str">
        <f t="shared" si="4"/>
        <v>NO</v>
      </c>
      <c r="O257" s="76"/>
      <c r="P257" s="76"/>
      <c r="Q257" s="75" t="str">
        <f t="shared" si="5"/>
        <v/>
      </c>
      <c r="R257" s="75" t="str">
        <f t="shared" si="6"/>
        <v>NO</v>
      </c>
      <c r="S257" s="75"/>
      <c r="T257" s="75"/>
      <c r="U257" s="75" t="str">
        <f t="shared" si="8"/>
        <v/>
      </c>
      <c r="V257" s="76"/>
      <c r="W257" s="14"/>
    </row>
    <row r="258">
      <c r="A258" s="37" t="s">
        <v>772</v>
      </c>
      <c r="B258" s="37">
        <v>2016.0</v>
      </c>
      <c r="C258" s="69" t="s">
        <v>773</v>
      </c>
      <c r="D258" s="71" t="s">
        <v>95</v>
      </c>
      <c r="E258" s="13"/>
      <c r="F258" s="74" t="str">
        <f t="shared" si="1"/>
        <v/>
      </c>
      <c r="G258" s="78"/>
      <c r="H258" s="13"/>
      <c r="I258" s="74" t="str">
        <f t="shared" si="2"/>
        <v/>
      </c>
      <c r="J258" s="75" t="str">
        <f t="shared" si="3"/>
        <v>NO</v>
      </c>
      <c r="K258" s="20"/>
      <c r="M258" s="76"/>
      <c r="N258" s="75" t="str">
        <f t="shared" si="4"/>
        <v>NO</v>
      </c>
      <c r="O258" s="76"/>
      <c r="P258" s="76"/>
      <c r="Q258" s="75" t="str">
        <f t="shared" si="5"/>
        <v/>
      </c>
      <c r="R258" s="75" t="str">
        <f t="shared" si="6"/>
        <v>NO</v>
      </c>
      <c r="S258" s="75"/>
      <c r="T258" s="75"/>
      <c r="U258" s="75" t="str">
        <f t="shared" si="8"/>
        <v/>
      </c>
      <c r="V258" s="76"/>
      <c r="W258" s="14"/>
    </row>
    <row r="259">
      <c r="A259" s="37" t="s">
        <v>774</v>
      </c>
      <c r="B259" s="37">
        <v>2015.0</v>
      </c>
      <c r="C259" s="69" t="s">
        <v>775</v>
      </c>
      <c r="D259" s="78"/>
      <c r="F259" s="74" t="str">
        <f t="shared" si="1"/>
        <v/>
      </c>
      <c r="G259" s="78"/>
      <c r="I259" s="74" t="str">
        <f t="shared" si="2"/>
        <v/>
      </c>
      <c r="J259" s="75" t="str">
        <f t="shared" si="3"/>
        <v>YES</v>
      </c>
      <c r="K259" s="37" t="s">
        <v>86</v>
      </c>
      <c r="L259" s="13" t="s">
        <v>37</v>
      </c>
      <c r="M259" s="75" t="s">
        <v>158</v>
      </c>
      <c r="N259" s="75" t="str">
        <f t="shared" si="4"/>
        <v>NO</v>
      </c>
      <c r="O259" s="76"/>
      <c r="P259" s="75"/>
      <c r="Q259" s="75" t="str">
        <f t="shared" si="5"/>
        <v/>
      </c>
      <c r="R259" s="75" t="str">
        <f t="shared" si="6"/>
        <v>NO</v>
      </c>
      <c r="S259" s="75"/>
      <c r="T259" s="75"/>
      <c r="U259" s="75" t="str">
        <f t="shared" si="8"/>
        <v/>
      </c>
      <c r="V259" s="76"/>
      <c r="W259" s="14"/>
    </row>
    <row r="260">
      <c r="A260" s="37" t="s">
        <v>776</v>
      </c>
      <c r="B260" s="37">
        <v>2015.0</v>
      </c>
      <c r="C260" s="69" t="s">
        <v>777</v>
      </c>
      <c r="D260" s="71" t="s">
        <v>95</v>
      </c>
      <c r="E260" s="13" t="s">
        <v>95</v>
      </c>
      <c r="F260" s="74" t="str">
        <f t="shared" si="1"/>
        <v>YES</v>
      </c>
      <c r="G260" s="78"/>
      <c r="H260" s="13" t="s">
        <v>247</v>
      </c>
      <c r="I260" s="74" t="str">
        <f t="shared" si="2"/>
        <v>YES</v>
      </c>
      <c r="J260" s="75" t="str">
        <f t="shared" si="3"/>
        <v>NO</v>
      </c>
      <c r="K260" s="20"/>
      <c r="M260" s="76"/>
      <c r="N260" s="75" t="str">
        <f t="shared" si="4"/>
        <v>NO</v>
      </c>
      <c r="O260" s="76"/>
      <c r="P260" s="76"/>
      <c r="Q260" s="75" t="str">
        <f t="shared" si="5"/>
        <v/>
      </c>
      <c r="R260" s="75" t="str">
        <f t="shared" si="6"/>
        <v>NO</v>
      </c>
      <c r="S260" s="75"/>
      <c r="T260" s="75"/>
      <c r="U260" s="75" t="str">
        <f t="shared" si="8"/>
        <v/>
      </c>
      <c r="V260" s="76"/>
      <c r="W260" s="14"/>
    </row>
    <row r="261">
      <c r="A261" s="37" t="s">
        <v>778</v>
      </c>
      <c r="B261" s="37">
        <v>2015.0</v>
      </c>
      <c r="C261" s="69" t="s">
        <v>779</v>
      </c>
      <c r="D261" s="71" t="s">
        <v>95</v>
      </c>
      <c r="E261" s="13"/>
      <c r="F261" s="74" t="str">
        <f t="shared" si="1"/>
        <v/>
      </c>
      <c r="G261" s="78"/>
      <c r="H261" s="13"/>
      <c r="I261" s="74" t="str">
        <f t="shared" si="2"/>
        <v/>
      </c>
      <c r="J261" s="75" t="str">
        <f t="shared" si="3"/>
        <v>NO</v>
      </c>
      <c r="K261" s="20"/>
      <c r="M261" s="76"/>
      <c r="N261" s="75" t="str">
        <f t="shared" si="4"/>
        <v>NO</v>
      </c>
      <c r="O261" s="76"/>
      <c r="P261" s="76"/>
      <c r="Q261" s="75" t="str">
        <f t="shared" si="5"/>
        <v/>
      </c>
      <c r="R261" s="75" t="str">
        <f t="shared" si="6"/>
        <v>NO</v>
      </c>
      <c r="S261" s="75"/>
      <c r="T261" s="75"/>
      <c r="U261" s="75" t="str">
        <f t="shared" si="8"/>
        <v/>
      </c>
      <c r="V261" s="76"/>
      <c r="W261" s="14"/>
    </row>
    <row r="262">
      <c r="A262" s="37" t="s">
        <v>780</v>
      </c>
      <c r="B262" s="37">
        <v>2016.0</v>
      </c>
      <c r="C262" s="69" t="s">
        <v>781</v>
      </c>
      <c r="D262" s="71" t="s">
        <v>95</v>
      </c>
      <c r="E262" s="13"/>
      <c r="F262" s="74" t="str">
        <f t="shared" si="1"/>
        <v/>
      </c>
      <c r="G262" s="78"/>
      <c r="H262" s="13"/>
      <c r="I262" s="74" t="str">
        <f t="shared" si="2"/>
        <v/>
      </c>
      <c r="J262" s="75" t="str">
        <f t="shared" si="3"/>
        <v>NO</v>
      </c>
      <c r="K262" s="20"/>
      <c r="M262" s="76"/>
      <c r="N262" s="75" t="str">
        <f t="shared" si="4"/>
        <v>NO</v>
      </c>
      <c r="O262" s="76"/>
      <c r="P262" s="76"/>
      <c r="Q262" s="75" t="str">
        <f t="shared" si="5"/>
        <v/>
      </c>
      <c r="R262" s="75" t="str">
        <f t="shared" si="6"/>
        <v>NO</v>
      </c>
      <c r="S262" s="75"/>
      <c r="T262" s="75"/>
      <c r="U262" s="75" t="str">
        <f t="shared" si="8"/>
        <v/>
      </c>
      <c r="V262" s="76"/>
      <c r="W262" s="14"/>
    </row>
    <row r="263">
      <c r="A263" s="37" t="s">
        <v>782</v>
      </c>
      <c r="B263" s="37">
        <v>2016.0</v>
      </c>
      <c r="C263" s="69" t="s">
        <v>783</v>
      </c>
      <c r="D263" s="71" t="s">
        <v>95</v>
      </c>
      <c r="E263" s="13"/>
      <c r="F263" s="74" t="str">
        <f t="shared" si="1"/>
        <v/>
      </c>
      <c r="G263" s="78"/>
      <c r="H263" s="13"/>
      <c r="I263" s="74" t="str">
        <f t="shared" si="2"/>
        <v/>
      </c>
      <c r="J263" s="75" t="str">
        <f t="shared" si="3"/>
        <v>NO</v>
      </c>
      <c r="K263" s="20"/>
      <c r="M263" s="76"/>
      <c r="N263" s="75" t="str">
        <f t="shared" si="4"/>
        <v>NO</v>
      </c>
      <c r="O263" s="76"/>
      <c r="P263" s="76"/>
      <c r="Q263" s="75" t="str">
        <f t="shared" si="5"/>
        <v/>
      </c>
      <c r="R263" s="75" t="str">
        <f t="shared" si="6"/>
        <v>NO</v>
      </c>
      <c r="S263" s="75"/>
      <c r="T263" s="75"/>
      <c r="U263" s="75" t="str">
        <f t="shared" si="8"/>
        <v/>
      </c>
      <c r="V263" s="76"/>
      <c r="W263" s="14"/>
    </row>
    <row r="264">
      <c r="A264" s="37" t="s">
        <v>784</v>
      </c>
      <c r="B264" s="37">
        <v>2013.0</v>
      </c>
      <c r="C264" s="69" t="s">
        <v>785</v>
      </c>
      <c r="D264" s="71" t="s">
        <v>95</v>
      </c>
      <c r="E264" s="13" t="s">
        <v>95</v>
      </c>
      <c r="F264" s="74" t="str">
        <f t="shared" si="1"/>
        <v>YES</v>
      </c>
      <c r="G264" s="78"/>
      <c r="H264" s="13" t="s">
        <v>247</v>
      </c>
      <c r="I264" s="74" t="str">
        <f t="shared" si="2"/>
        <v>YES</v>
      </c>
      <c r="J264" s="75" t="str">
        <f t="shared" si="3"/>
        <v>NO</v>
      </c>
      <c r="K264" s="20"/>
      <c r="M264" s="76"/>
      <c r="N264" s="75" t="str">
        <f t="shared" si="4"/>
        <v>NO</v>
      </c>
      <c r="O264" s="76"/>
      <c r="P264" s="76"/>
      <c r="Q264" s="75" t="str">
        <f t="shared" si="5"/>
        <v/>
      </c>
      <c r="R264" s="75" t="str">
        <f t="shared" si="6"/>
        <v>NO</v>
      </c>
      <c r="S264" s="75"/>
      <c r="T264" s="75"/>
      <c r="U264" s="75" t="str">
        <f t="shared" si="8"/>
        <v/>
      </c>
      <c r="V264" s="76"/>
      <c r="W264" s="14"/>
    </row>
    <row r="265">
      <c r="A265" s="37" t="s">
        <v>786</v>
      </c>
      <c r="B265" s="37">
        <v>2016.0</v>
      </c>
      <c r="C265" s="69" t="s">
        <v>787</v>
      </c>
      <c r="D265" s="71" t="s">
        <v>95</v>
      </c>
      <c r="E265" s="13" t="s">
        <v>95</v>
      </c>
      <c r="F265" s="74" t="str">
        <f t="shared" si="1"/>
        <v>YES</v>
      </c>
      <c r="G265" s="78"/>
      <c r="H265" s="13" t="s">
        <v>247</v>
      </c>
      <c r="I265" s="74" t="str">
        <f t="shared" si="2"/>
        <v>YES</v>
      </c>
      <c r="J265" s="75" t="str">
        <f t="shared" si="3"/>
        <v>NO</v>
      </c>
      <c r="K265" s="20"/>
      <c r="M265" s="76"/>
      <c r="N265" s="75" t="str">
        <f t="shared" si="4"/>
        <v>NO</v>
      </c>
      <c r="O265" s="76"/>
      <c r="P265" s="76"/>
      <c r="Q265" s="75" t="str">
        <f t="shared" si="5"/>
        <v/>
      </c>
      <c r="R265" s="75" t="str">
        <f t="shared" si="6"/>
        <v>NO</v>
      </c>
      <c r="S265" s="75"/>
      <c r="T265" s="75"/>
      <c r="U265" s="75" t="str">
        <f t="shared" si="8"/>
        <v/>
      </c>
      <c r="V265" s="76"/>
      <c r="W265" s="14"/>
    </row>
    <row r="266">
      <c r="A266" s="37" t="s">
        <v>788</v>
      </c>
      <c r="B266" s="37">
        <v>2016.0</v>
      </c>
      <c r="C266" s="69" t="s">
        <v>789</v>
      </c>
      <c r="D266" s="71" t="s">
        <v>95</v>
      </c>
      <c r="E266" s="13"/>
      <c r="F266" s="74" t="str">
        <f t="shared" si="1"/>
        <v/>
      </c>
      <c r="G266" s="78"/>
      <c r="H266" s="13"/>
      <c r="I266" s="74" t="str">
        <f t="shared" si="2"/>
        <v/>
      </c>
      <c r="J266" s="75" t="str">
        <f t="shared" si="3"/>
        <v>NO</v>
      </c>
      <c r="K266" s="20"/>
      <c r="M266" s="76"/>
      <c r="N266" s="75" t="str">
        <f t="shared" si="4"/>
        <v>NO</v>
      </c>
      <c r="O266" s="76"/>
      <c r="P266" s="76"/>
      <c r="Q266" s="75" t="str">
        <f t="shared" si="5"/>
        <v/>
      </c>
      <c r="R266" s="75" t="str">
        <f t="shared" si="6"/>
        <v>NO</v>
      </c>
      <c r="S266" s="75"/>
      <c r="T266" s="75"/>
      <c r="U266" s="75" t="str">
        <f t="shared" si="8"/>
        <v/>
      </c>
      <c r="V266" s="76"/>
      <c r="W266" s="14"/>
    </row>
    <row r="267">
      <c r="A267" s="37" t="s">
        <v>790</v>
      </c>
      <c r="B267" s="37">
        <v>2015.0</v>
      </c>
      <c r="C267" s="69" t="s">
        <v>791</v>
      </c>
      <c r="D267" s="71" t="s">
        <v>95</v>
      </c>
      <c r="E267" s="13"/>
      <c r="F267" s="74" t="str">
        <f t="shared" si="1"/>
        <v/>
      </c>
      <c r="G267" s="78"/>
      <c r="H267" s="13"/>
      <c r="I267" s="74" t="str">
        <f t="shared" si="2"/>
        <v/>
      </c>
      <c r="J267" s="75" t="str">
        <f t="shared" si="3"/>
        <v>NO</v>
      </c>
      <c r="K267" s="20"/>
      <c r="M267" s="76"/>
      <c r="N267" s="75" t="str">
        <f t="shared" si="4"/>
        <v>NO</v>
      </c>
      <c r="O267" s="76"/>
      <c r="P267" s="76"/>
      <c r="Q267" s="75" t="str">
        <f t="shared" si="5"/>
        <v/>
      </c>
      <c r="R267" s="75" t="str">
        <f t="shared" si="6"/>
        <v>NO</v>
      </c>
      <c r="S267" s="75"/>
      <c r="T267" s="75"/>
      <c r="U267" s="75" t="str">
        <f t="shared" si="8"/>
        <v/>
      </c>
      <c r="V267" s="76"/>
      <c r="W267" s="14"/>
    </row>
    <row r="268">
      <c r="A268" s="37" t="s">
        <v>792</v>
      </c>
      <c r="B268" s="37">
        <v>2016.0</v>
      </c>
      <c r="C268" s="69" t="s">
        <v>793</v>
      </c>
      <c r="D268" s="71" t="s">
        <v>95</v>
      </c>
      <c r="E268" s="13"/>
      <c r="F268" s="74" t="str">
        <f t="shared" si="1"/>
        <v/>
      </c>
      <c r="G268" s="78"/>
      <c r="H268" s="13"/>
      <c r="I268" s="74" t="str">
        <f t="shared" si="2"/>
        <v/>
      </c>
      <c r="J268" s="75" t="str">
        <f t="shared" si="3"/>
        <v>NO</v>
      </c>
      <c r="K268" s="20"/>
      <c r="M268" s="76"/>
      <c r="N268" s="75" t="str">
        <f t="shared" si="4"/>
        <v>NO</v>
      </c>
      <c r="O268" s="76"/>
      <c r="P268" s="76"/>
      <c r="Q268" s="75" t="str">
        <f t="shared" si="5"/>
        <v/>
      </c>
      <c r="R268" s="75" t="str">
        <f t="shared" si="6"/>
        <v>NO</v>
      </c>
      <c r="S268" s="75"/>
      <c r="T268" s="75"/>
      <c r="U268" s="75" t="str">
        <f t="shared" si="8"/>
        <v/>
      </c>
      <c r="V268" s="76"/>
      <c r="W268" s="14"/>
    </row>
    <row r="269">
      <c r="A269" s="37" t="s">
        <v>794</v>
      </c>
      <c r="B269" s="37">
        <v>2015.0</v>
      </c>
      <c r="C269" s="69" t="s">
        <v>795</v>
      </c>
      <c r="D269" s="71" t="s">
        <v>95</v>
      </c>
      <c r="E269" s="13" t="s">
        <v>95</v>
      </c>
      <c r="F269" s="74" t="str">
        <f t="shared" si="1"/>
        <v>YES</v>
      </c>
      <c r="G269" s="78"/>
      <c r="H269" s="13" t="s">
        <v>247</v>
      </c>
      <c r="I269" s="74" t="str">
        <f t="shared" si="2"/>
        <v>YES</v>
      </c>
      <c r="J269" s="75" t="str">
        <f t="shared" si="3"/>
        <v>NO</v>
      </c>
      <c r="K269" s="20"/>
      <c r="M269" s="76"/>
      <c r="N269" s="75" t="str">
        <f t="shared" si="4"/>
        <v>NO</v>
      </c>
      <c r="O269" s="76"/>
      <c r="P269" s="76"/>
      <c r="Q269" s="75" t="str">
        <f t="shared" si="5"/>
        <v/>
      </c>
      <c r="R269" s="75" t="str">
        <f t="shared" si="6"/>
        <v>NO</v>
      </c>
      <c r="S269" s="75"/>
      <c r="T269" s="75"/>
      <c r="U269" s="75" t="str">
        <f t="shared" si="8"/>
        <v/>
      </c>
      <c r="V269" s="76"/>
      <c r="W269" s="14"/>
    </row>
    <row r="270">
      <c r="A270" s="37" t="s">
        <v>796</v>
      </c>
      <c r="B270" s="37">
        <v>2015.0</v>
      </c>
      <c r="C270" s="69" t="s">
        <v>204</v>
      </c>
      <c r="D270" s="78"/>
      <c r="E270" s="13" t="s">
        <v>247</v>
      </c>
      <c r="F270" s="74" t="str">
        <f t="shared" si="1"/>
        <v>YES</v>
      </c>
      <c r="G270" s="78"/>
      <c r="H270" s="13" t="s">
        <v>247</v>
      </c>
      <c r="I270" s="74" t="str">
        <f t="shared" si="2"/>
        <v>YES</v>
      </c>
      <c r="J270" s="75" t="str">
        <f t="shared" si="3"/>
        <v>YES</v>
      </c>
      <c r="K270" s="37" t="s">
        <v>490</v>
      </c>
      <c r="L270" s="13"/>
      <c r="M270" s="76"/>
      <c r="N270" s="75" t="str">
        <f t="shared" si="4"/>
        <v>NO</v>
      </c>
      <c r="O270" s="76"/>
      <c r="P270" s="76"/>
      <c r="Q270" s="75" t="str">
        <f t="shared" si="5"/>
        <v/>
      </c>
      <c r="R270" s="75" t="str">
        <f t="shared" si="6"/>
        <v>NO</v>
      </c>
      <c r="S270" s="75"/>
      <c r="T270" s="75"/>
      <c r="U270" s="75" t="str">
        <f t="shared" si="8"/>
        <v/>
      </c>
      <c r="V270" s="76"/>
      <c r="W270" s="14"/>
    </row>
    <row r="271">
      <c r="A271" s="37" t="s">
        <v>797</v>
      </c>
      <c r="B271" s="37">
        <v>2016.0</v>
      </c>
      <c r="C271" s="69" t="s">
        <v>798</v>
      </c>
      <c r="D271" s="78"/>
      <c r="F271" s="74" t="str">
        <f t="shared" si="1"/>
        <v/>
      </c>
      <c r="G271" s="71" t="s">
        <v>95</v>
      </c>
      <c r="I271" s="74" t="str">
        <f t="shared" si="2"/>
        <v/>
      </c>
      <c r="J271" s="75" t="str">
        <f t="shared" si="3"/>
        <v>NO</v>
      </c>
      <c r="K271" s="20"/>
      <c r="M271" s="76"/>
      <c r="N271" s="75" t="str">
        <f t="shared" si="4"/>
        <v>NO</v>
      </c>
      <c r="O271" s="76"/>
      <c r="P271" s="76"/>
      <c r="Q271" s="75" t="str">
        <f t="shared" si="5"/>
        <v/>
      </c>
      <c r="R271" s="75" t="str">
        <f t="shared" si="6"/>
        <v>NO</v>
      </c>
      <c r="S271" s="75"/>
      <c r="T271" s="75"/>
      <c r="U271" s="75" t="str">
        <f t="shared" si="8"/>
        <v/>
      </c>
      <c r="V271" s="76"/>
      <c r="W271" s="14"/>
    </row>
    <row r="272">
      <c r="A272" s="37" t="s">
        <v>799</v>
      </c>
      <c r="B272" s="37">
        <v>2016.0</v>
      </c>
      <c r="C272" s="69" t="s">
        <v>800</v>
      </c>
      <c r="D272" s="71" t="s">
        <v>95</v>
      </c>
      <c r="E272" s="13"/>
      <c r="F272" s="74" t="str">
        <f t="shared" si="1"/>
        <v/>
      </c>
      <c r="G272" s="78"/>
      <c r="H272" s="13"/>
      <c r="I272" s="74" t="str">
        <f t="shared" si="2"/>
        <v/>
      </c>
      <c r="J272" s="75" t="str">
        <f t="shared" si="3"/>
        <v>NO</v>
      </c>
      <c r="K272" s="20"/>
      <c r="M272" s="76"/>
      <c r="N272" s="75" t="str">
        <f t="shared" si="4"/>
        <v>NO</v>
      </c>
      <c r="O272" s="76"/>
      <c r="P272" s="76"/>
      <c r="Q272" s="75" t="str">
        <f t="shared" si="5"/>
        <v/>
      </c>
      <c r="R272" s="75" t="str">
        <f t="shared" si="6"/>
        <v>NO</v>
      </c>
      <c r="S272" s="75"/>
      <c r="T272" s="75"/>
      <c r="U272" s="75" t="str">
        <f t="shared" si="8"/>
        <v/>
      </c>
      <c r="V272" s="76"/>
      <c r="W272" s="14"/>
    </row>
    <row r="273">
      <c r="A273" s="37" t="s">
        <v>801</v>
      </c>
      <c r="B273" s="37">
        <v>2016.0</v>
      </c>
      <c r="C273" s="69" t="s">
        <v>802</v>
      </c>
      <c r="D273" s="71" t="s">
        <v>95</v>
      </c>
      <c r="E273" s="13"/>
      <c r="F273" s="74" t="str">
        <f t="shared" si="1"/>
        <v/>
      </c>
      <c r="G273" s="78"/>
      <c r="H273" s="13"/>
      <c r="I273" s="74" t="str">
        <f t="shared" si="2"/>
        <v/>
      </c>
      <c r="J273" s="75" t="str">
        <f t="shared" si="3"/>
        <v>NO</v>
      </c>
      <c r="K273" s="20"/>
      <c r="M273" s="76"/>
      <c r="N273" s="75" t="str">
        <f t="shared" si="4"/>
        <v>NO</v>
      </c>
      <c r="O273" s="76"/>
      <c r="P273" s="76"/>
      <c r="Q273" s="75" t="str">
        <f t="shared" si="5"/>
        <v/>
      </c>
      <c r="R273" s="75" t="str">
        <f t="shared" si="6"/>
        <v>NO</v>
      </c>
      <c r="S273" s="75"/>
      <c r="T273" s="75"/>
      <c r="U273" s="75" t="str">
        <f t="shared" si="8"/>
        <v/>
      </c>
      <c r="V273" s="76"/>
      <c r="W273" s="14"/>
    </row>
    <row r="274">
      <c r="A274" s="37" t="s">
        <v>803</v>
      </c>
      <c r="B274" s="37">
        <v>2016.0</v>
      </c>
      <c r="C274" s="69" t="s">
        <v>804</v>
      </c>
      <c r="D274" s="71" t="s">
        <v>95</v>
      </c>
      <c r="E274" s="13"/>
      <c r="F274" s="74" t="str">
        <f t="shared" si="1"/>
        <v/>
      </c>
      <c r="G274" s="78"/>
      <c r="H274" s="13"/>
      <c r="I274" s="74" t="str">
        <f t="shared" si="2"/>
        <v/>
      </c>
      <c r="J274" s="75" t="str">
        <f t="shared" si="3"/>
        <v>NO</v>
      </c>
      <c r="K274" s="20"/>
      <c r="M274" s="76"/>
      <c r="N274" s="75" t="str">
        <f t="shared" si="4"/>
        <v>NO</v>
      </c>
      <c r="O274" s="76"/>
      <c r="P274" s="76"/>
      <c r="Q274" s="75" t="str">
        <f t="shared" si="5"/>
        <v/>
      </c>
      <c r="R274" s="75" t="str">
        <f t="shared" si="6"/>
        <v>NO</v>
      </c>
      <c r="S274" s="75"/>
      <c r="T274" s="75"/>
      <c r="U274" s="75" t="str">
        <f t="shared" si="8"/>
        <v/>
      </c>
      <c r="V274" s="76"/>
      <c r="W274" s="14"/>
    </row>
    <row r="275">
      <c r="A275" s="37" t="s">
        <v>805</v>
      </c>
      <c r="B275" s="37">
        <v>2014.0</v>
      </c>
      <c r="C275" s="69" t="s">
        <v>806</v>
      </c>
      <c r="D275" s="71" t="s">
        <v>95</v>
      </c>
      <c r="E275" s="13" t="s">
        <v>95</v>
      </c>
      <c r="F275" s="74" t="str">
        <f t="shared" si="1"/>
        <v>YES</v>
      </c>
      <c r="G275" s="78"/>
      <c r="H275" s="13" t="s">
        <v>247</v>
      </c>
      <c r="I275" s="74" t="str">
        <f t="shared" si="2"/>
        <v>YES</v>
      </c>
      <c r="J275" s="75" t="str">
        <f t="shared" si="3"/>
        <v>NO</v>
      </c>
      <c r="K275" s="20"/>
      <c r="M275" s="76"/>
      <c r="N275" s="75" t="str">
        <f t="shared" si="4"/>
        <v>NO</v>
      </c>
      <c r="O275" s="76"/>
      <c r="P275" s="76"/>
      <c r="Q275" s="75" t="str">
        <f t="shared" si="5"/>
        <v/>
      </c>
      <c r="R275" s="75" t="str">
        <f t="shared" si="6"/>
        <v>NO</v>
      </c>
      <c r="S275" s="75"/>
      <c r="T275" s="75"/>
      <c r="U275" s="75" t="str">
        <f t="shared" si="8"/>
        <v/>
      </c>
      <c r="V275" s="76"/>
      <c r="W275" s="14"/>
    </row>
    <row r="276">
      <c r="A276" s="37" t="s">
        <v>807</v>
      </c>
      <c r="B276" s="37">
        <v>2014.0</v>
      </c>
      <c r="C276" s="69" t="s">
        <v>808</v>
      </c>
      <c r="D276" s="71" t="s">
        <v>95</v>
      </c>
      <c r="E276" s="13" t="s">
        <v>95</v>
      </c>
      <c r="F276" s="74" t="str">
        <f t="shared" si="1"/>
        <v>YES</v>
      </c>
      <c r="G276" s="78"/>
      <c r="H276" s="13" t="s">
        <v>247</v>
      </c>
      <c r="I276" s="74" t="str">
        <f t="shared" si="2"/>
        <v>YES</v>
      </c>
      <c r="J276" s="75" t="str">
        <f t="shared" si="3"/>
        <v>NO</v>
      </c>
      <c r="K276" s="20"/>
      <c r="M276" s="76"/>
      <c r="N276" s="75" t="str">
        <f t="shared" si="4"/>
        <v>NO</v>
      </c>
      <c r="O276" s="76"/>
      <c r="P276" s="76"/>
      <c r="Q276" s="75" t="str">
        <f t="shared" si="5"/>
        <v/>
      </c>
      <c r="R276" s="75" t="str">
        <f t="shared" si="6"/>
        <v>NO</v>
      </c>
      <c r="S276" s="75"/>
      <c r="T276" s="75"/>
      <c r="U276" s="75" t="str">
        <f t="shared" si="8"/>
        <v/>
      </c>
      <c r="V276" s="76"/>
      <c r="W276" s="14"/>
    </row>
    <row r="277">
      <c r="A277" s="37" t="s">
        <v>809</v>
      </c>
      <c r="B277" s="37">
        <v>2016.0</v>
      </c>
      <c r="C277" s="69" t="s">
        <v>810</v>
      </c>
      <c r="D277" s="71" t="s">
        <v>95</v>
      </c>
      <c r="E277" s="13"/>
      <c r="F277" s="74" t="str">
        <f t="shared" si="1"/>
        <v/>
      </c>
      <c r="G277" s="78"/>
      <c r="H277" s="13"/>
      <c r="I277" s="74" t="str">
        <f t="shared" si="2"/>
        <v/>
      </c>
      <c r="J277" s="75" t="str">
        <f t="shared" si="3"/>
        <v>NO</v>
      </c>
      <c r="K277" s="20"/>
      <c r="M277" s="76"/>
      <c r="N277" s="75" t="str">
        <f t="shared" si="4"/>
        <v>NO</v>
      </c>
      <c r="O277" s="76"/>
      <c r="P277" s="76"/>
      <c r="Q277" s="75" t="str">
        <f t="shared" si="5"/>
        <v/>
      </c>
      <c r="R277" s="75" t="str">
        <f t="shared" si="6"/>
        <v>NO</v>
      </c>
      <c r="S277" s="75"/>
      <c r="T277" s="75"/>
      <c r="U277" s="75" t="str">
        <f t="shared" si="8"/>
        <v/>
      </c>
      <c r="V277" s="76"/>
      <c r="W277" s="14"/>
    </row>
    <row r="278">
      <c r="A278" s="37" t="s">
        <v>811</v>
      </c>
      <c r="B278" s="37">
        <v>2016.0</v>
      </c>
      <c r="C278" s="69" t="s">
        <v>812</v>
      </c>
      <c r="D278" s="78"/>
      <c r="F278" s="74" t="str">
        <f t="shared" si="1"/>
        <v/>
      </c>
      <c r="G278" s="78"/>
      <c r="I278" s="74" t="str">
        <f t="shared" si="2"/>
        <v/>
      </c>
      <c r="J278" s="75" t="str">
        <f t="shared" si="3"/>
        <v>YES</v>
      </c>
      <c r="K278" s="37" t="s">
        <v>91</v>
      </c>
      <c r="L278" s="13" t="s">
        <v>32</v>
      </c>
      <c r="M278" s="75" t="s">
        <v>142</v>
      </c>
      <c r="N278" s="75" t="str">
        <f t="shared" si="4"/>
        <v>NO</v>
      </c>
      <c r="O278" s="76"/>
      <c r="P278" s="75"/>
      <c r="Q278" s="75" t="str">
        <f t="shared" si="5"/>
        <v/>
      </c>
      <c r="R278" s="75" t="str">
        <f t="shared" si="6"/>
        <v>NO</v>
      </c>
      <c r="S278" s="75"/>
      <c r="T278" s="75"/>
      <c r="U278" s="75" t="str">
        <f t="shared" si="8"/>
        <v/>
      </c>
      <c r="V278" s="76"/>
      <c r="W278" s="14"/>
    </row>
    <row r="279">
      <c r="A279" s="37" t="s">
        <v>813</v>
      </c>
      <c r="B279" s="37">
        <v>2016.0</v>
      </c>
      <c r="C279" s="69" t="s">
        <v>814</v>
      </c>
      <c r="D279" s="71" t="s">
        <v>95</v>
      </c>
      <c r="E279" s="13" t="s">
        <v>95</v>
      </c>
      <c r="F279" s="74" t="str">
        <f t="shared" si="1"/>
        <v>YES</v>
      </c>
      <c r="G279" s="78"/>
      <c r="H279" s="13" t="s">
        <v>247</v>
      </c>
      <c r="I279" s="74" t="str">
        <f t="shared" si="2"/>
        <v>YES</v>
      </c>
      <c r="J279" s="75" t="str">
        <f t="shared" si="3"/>
        <v>NO</v>
      </c>
      <c r="K279" s="20"/>
      <c r="M279" s="76"/>
      <c r="N279" s="75" t="str">
        <f t="shared" si="4"/>
        <v>NO</v>
      </c>
      <c r="O279" s="76"/>
      <c r="P279" s="76"/>
      <c r="Q279" s="75" t="str">
        <f t="shared" si="5"/>
        <v/>
      </c>
      <c r="R279" s="75" t="str">
        <f t="shared" si="6"/>
        <v>NO</v>
      </c>
      <c r="S279" s="75"/>
      <c r="T279" s="75"/>
      <c r="U279" s="75" t="str">
        <f t="shared" si="8"/>
        <v/>
      </c>
      <c r="V279" s="76"/>
      <c r="W279" s="14"/>
    </row>
    <row r="280">
      <c r="A280" s="37" t="s">
        <v>815</v>
      </c>
      <c r="B280" s="37">
        <v>2013.0</v>
      </c>
      <c r="C280" s="69" t="s">
        <v>816</v>
      </c>
      <c r="D280" s="71" t="s">
        <v>95</v>
      </c>
      <c r="E280" s="13"/>
      <c r="F280" s="74" t="str">
        <f t="shared" si="1"/>
        <v/>
      </c>
      <c r="G280" s="78"/>
      <c r="H280" s="13"/>
      <c r="I280" s="74" t="str">
        <f t="shared" si="2"/>
        <v/>
      </c>
      <c r="J280" s="75" t="str">
        <f t="shared" si="3"/>
        <v>NO</v>
      </c>
      <c r="K280" s="20"/>
      <c r="M280" s="76"/>
      <c r="N280" s="75" t="str">
        <f t="shared" si="4"/>
        <v>NO</v>
      </c>
      <c r="O280" s="76"/>
      <c r="P280" s="76"/>
      <c r="Q280" s="75" t="str">
        <f t="shared" si="5"/>
        <v/>
      </c>
      <c r="R280" s="75" t="str">
        <f t="shared" si="6"/>
        <v>NO</v>
      </c>
      <c r="S280" s="75"/>
      <c r="T280" s="75"/>
      <c r="U280" s="75" t="str">
        <f t="shared" si="8"/>
        <v/>
      </c>
      <c r="V280" s="76"/>
      <c r="W280" s="14"/>
    </row>
    <row r="281">
      <c r="A281" s="37" t="s">
        <v>817</v>
      </c>
      <c r="B281" s="37">
        <v>2015.0</v>
      </c>
      <c r="C281" s="69" t="s">
        <v>818</v>
      </c>
      <c r="D281" s="78"/>
      <c r="F281" s="74" t="str">
        <f t="shared" si="1"/>
        <v/>
      </c>
      <c r="G281" s="71" t="s">
        <v>95</v>
      </c>
      <c r="I281" s="74" t="str">
        <f t="shared" si="2"/>
        <v/>
      </c>
      <c r="J281" s="75" t="str">
        <f t="shared" si="3"/>
        <v>NO</v>
      </c>
      <c r="K281" s="20"/>
      <c r="M281" s="76"/>
      <c r="N281" s="75" t="str">
        <f t="shared" si="4"/>
        <v>NO</v>
      </c>
      <c r="O281" s="76"/>
      <c r="P281" s="76"/>
      <c r="Q281" s="75" t="str">
        <f t="shared" si="5"/>
        <v/>
      </c>
      <c r="R281" s="75" t="str">
        <f t="shared" si="6"/>
        <v>NO</v>
      </c>
      <c r="S281" s="75"/>
      <c r="T281" s="75"/>
      <c r="U281" s="75" t="str">
        <f t="shared" si="8"/>
        <v/>
      </c>
      <c r="V281" s="76"/>
      <c r="W281" s="14"/>
    </row>
    <row r="282">
      <c r="A282" s="37" t="s">
        <v>819</v>
      </c>
      <c r="B282" s="37">
        <v>2016.0</v>
      </c>
      <c r="C282" s="69" t="s">
        <v>820</v>
      </c>
      <c r="D282" s="71" t="s">
        <v>95</v>
      </c>
      <c r="E282" s="13" t="s">
        <v>95</v>
      </c>
      <c r="F282" s="74" t="str">
        <f t="shared" si="1"/>
        <v>YES</v>
      </c>
      <c r="G282" s="78"/>
      <c r="H282" s="13" t="s">
        <v>247</v>
      </c>
      <c r="I282" s="74" t="str">
        <f t="shared" si="2"/>
        <v>YES</v>
      </c>
      <c r="J282" s="75" t="str">
        <f t="shared" si="3"/>
        <v>NO</v>
      </c>
      <c r="K282" s="20"/>
      <c r="M282" s="76"/>
      <c r="N282" s="75" t="str">
        <f t="shared" si="4"/>
        <v>NO</v>
      </c>
      <c r="O282" s="76"/>
      <c r="P282" s="76"/>
      <c r="Q282" s="75" t="str">
        <f t="shared" si="5"/>
        <v/>
      </c>
      <c r="R282" s="75" t="str">
        <f t="shared" si="6"/>
        <v>NO</v>
      </c>
      <c r="S282" s="75"/>
      <c r="T282" s="75"/>
      <c r="U282" s="75" t="str">
        <f t="shared" si="8"/>
        <v/>
      </c>
      <c r="V282" s="76"/>
      <c r="W282" s="14"/>
    </row>
    <row r="283">
      <c r="A283" s="37" t="s">
        <v>821</v>
      </c>
      <c r="B283" s="37">
        <v>2015.0</v>
      </c>
      <c r="C283" s="69" t="s">
        <v>822</v>
      </c>
      <c r="D283" s="71" t="s">
        <v>95</v>
      </c>
      <c r="E283" s="13"/>
      <c r="F283" s="74" t="str">
        <f t="shared" si="1"/>
        <v/>
      </c>
      <c r="G283" s="78"/>
      <c r="H283" s="13"/>
      <c r="I283" s="74" t="str">
        <f t="shared" si="2"/>
        <v/>
      </c>
      <c r="J283" s="75" t="str">
        <f t="shared" si="3"/>
        <v>NO</v>
      </c>
      <c r="K283" s="20"/>
      <c r="M283" s="76"/>
      <c r="N283" s="75" t="str">
        <f t="shared" si="4"/>
        <v>NO</v>
      </c>
      <c r="O283" s="76"/>
      <c r="P283" s="76"/>
      <c r="Q283" s="75" t="str">
        <f t="shared" si="5"/>
        <v/>
      </c>
      <c r="R283" s="75" t="str">
        <f t="shared" si="6"/>
        <v>NO</v>
      </c>
      <c r="S283" s="75"/>
      <c r="T283" s="75"/>
      <c r="U283" s="75" t="str">
        <f t="shared" si="8"/>
        <v/>
      </c>
      <c r="V283" s="76"/>
      <c r="W283" s="14"/>
    </row>
    <row r="284">
      <c r="A284" s="37" t="s">
        <v>823</v>
      </c>
      <c r="B284" s="37">
        <v>2016.0</v>
      </c>
      <c r="C284" s="69" t="s">
        <v>824</v>
      </c>
      <c r="D284" s="71" t="s">
        <v>95</v>
      </c>
      <c r="E284" s="13"/>
      <c r="F284" s="74" t="str">
        <f t="shared" si="1"/>
        <v/>
      </c>
      <c r="G284" s="78"/>
      <c r="H284" s="13"/>
      <c r="I284" s="74" t="str">
        <f t="shared" si="2"/>
        <v/>
      </c>
      <c r="J284" s="75" t="str">
        <f t="shared" si="3"/>
        <v>NO</v>
      </c>
      <c r="K284" s="20"/>
      <c r="M284" s="76"/>
      <c r="N284" s="75" t="str">
        <f t="shared" si="4"/>
        <v>NO</v>
      </c>
      <c r="O284" s="76"/>
      <c r="P284" s="76"/>
      <c r="Q284" s="75" t="str">
        <f t="shared" si="5"/>
        <v/>
      </c>
      <c r="R284" s="75" t="str">
        <f t="shared" si="6"/>
        <v>NO</v>
      </c>
      <c r="S284" s="75"/>
      <c r="T284" s="75"/>
      <c r="U284" s="75" t="str">
        <f t="shared" si="8"/>
        <v/>
      </c>
      <c r="V284" s="76"/>
      <c r="W284" s="14"/>
    </row>
    <row r="285">
      <c r="A285" s="37" t="s">
        <v>825</v>
      </c>
      <c r="B285" s="37">
        <v>2015.0</v>
      </c>
      <c r="C285" s="69" t="s">
        <v>826</v>
      </c>
      <c r="D285" s="71" t="s">
        <v>95</v>
      </c>
      <c r="E285" s="13"/>
      <c r="F285" s="74" t="str">
        <f t="shared" si="1"/>
        <v/>
      </c>
      <c r="G285" s="78"/>
      <c r="H285" s="13"/>
      <c r="I285" s="74" t="str">
        <f t="shared" si="2"/>
        <v/>
      </c>
      <c r="J285" s="75" t="str">
        <f t="shared" si="3"/>
        <v>NO</v>
      </c>
      <c r="K285" s="20"/>
      <c r="M285" s="76"/>
      <c r="N285" s="75" t="str">
        <f t="shared" si="4"/>
        <v>NO</v>
      </c>
      <c r="O285" s="76"/>
      <c r="P285" s="76"/>
      <c r="Q285" s="75" t="str">
        <f t="shared" si="5"/>
        <v/>
      </c>
      <c r="R285" s="75" t="str">
        <f t="shared" si="6"/>
        <v>NO</v>
      </c>
      <c r="S285" s="75"/>
      <c r="T285" s="75"/>
      <c r="U285" s="75" t="str">
        <f t="shared" si="8"/>
        <v/>
      </c>
      <c r="V285" s="76"/>
      <c r="W285" s="14"/>
    </row>
    <row r="286">
      <c r="A286" s="37" t="s">
        <v>827</v>
      </c>
      <c r="B286" s="37">
        <v>2015.0</v>
      </c>
      <c r="C286" s="69" t="s">
        <v>828</v>
      </c>
      <c r="D286" s="71" t="s">
        <v>95</v>
      </c>
      <c r="E286" s="13" t="s">
        <v>95</v>
      </c>
      <c r="F286" s="74" t="str">
        <f t="shared" si="1"/>
        <v>YES</v>
      </c>
      <c r="G286" s="78"/>
      <c r="H286" s="13" t="s">
        <v>247</v>
      </c>
      <c r="I286" s="74" t="str">
        <f t="shared" si="2"/>
        <v>YES</v>
      </c>
      <c r="J286" s="75" t="str">
        <f t="shared" si="3"/>
        <v>NO</v>
      </c>
      <c r="K286" s="20"/>
      <c r="M286" s="76"/>
      <c r="N286" s="75" t="str">
        <f t="shared" si="4"/>
        <v>NO</v>
      </c>
      <c r="O286" s="76"/>
      <c r="P286" s="76"/>
      <c r="Q286" s="75" t="str">
        <f t="shared" si="5"/>
        <v/>
      </c>
      <c r="R286" s="75" t="str">
        <f t="shared" si="6"/>
        <v>NO</v>
      </c>
      <c r="S286" s="75"/>
      <c r="T286" s="75"/>
      <c r="U286" s="75" t="str">
        <f t="shared" si="8"/>
        <v/>
      </c>
      <c r="V286" s="76"/>
      <c r="W286" s="14"/>
    </row>
    <row r="287">
      <c r="A287" s="37" t="s">
        <v>829</v>
      </c>
      <c r="B287" s="37">
        <v>2015.0</v>
      </c>
      <c r="C287" s="69" t="s">
        <v>830</v>
      </c>
      <c r="D287" s="71" t="s">
        <v>95</v>
      </c>
      <c r="E287" s="13"/>
      <c r="F287" s="74" t="str">
        <f t="shared" si="1"/>
        <v/>
      </c>
      <c r="G287" s="78"/>
      <c r="H287" s="13"/>
      <c r="I287" s="74" t="str">
        <f t="shared" si="2"/>
        <v/>
      </c>
      <c r="J287" s="75" t="str">
        <f t="shared" si="3"/>
        <v>NO</v>
      </c>
      <c r="K287" s="20"/>
      <c r="M287" s="76"/>
      <c r="N287" s="75" t="str">
        <f t="shared" si="4"/>
        <v>NO</v>
      </c>
      <c r="O287" s="76"/>
      <c r="P287" s="76"/>
      <c r="Q287" s="75" t="str">
        <f t="shared" si="5"/>
        <v/>
      </c>
      <c r="R287" s="75" t="str">
        <f t="shared" si="6"/>
        <v>NO</v>
      </c>
      <c r="S287" s="75"/>
      <c r="T287" s="75"/>
      <c r="U287" s="75" t="str">
        <f t="shared" si="8"/>
        <v/>
      </c>
      <c r="V287" s="76"/>
      <c r="W287" s="14"/>
    </row>
    <row r="288">
      <c r="A288" s="37" t="s">
        <v>831</v>
      </c>
      <c r="B288" s="37">
        <v>2016.0</v>
      </c>
      <c r="C288" s="69" t="s">
        <v>832</v>
      </c>
      <c r="D288" s="71" t="s">
        <v>95</v>
      </c>
      <c r="E288" s="13"/>
      <c r="F288" s="74" t="str">
        <f t="shared" si="1"/>
        <v/>
      </c>
      <c r="G288" s="78"/>
      <c r="H288" s="13"/>
      <c r="I288" s="74" t="str">
        <f t="shared" si="2"/>
        <v/>
      </c>
      <c r="J288" s="75" t="str">
        <f t="shared" si="3"/>
        <v>NO</v>
      </c>
      <c r="K288" s="20"/>
      <c r="M288" s="76"/>
      <c r="N288" s="75" t="str">
        <f t="shared" si="4"/>
        <v>NO</v>
      </c>
      <c r="O288" s="76"/>
      <c r="P288" s="76"/>
      <c r="Q288" s="75" t="str">
        <f t="shared" si="5"/>
        <v/>
      </c>
      <c r="R288" s="75" t="str">
        <f t="shared" si="6"/>
        <v>NO</v>
      </c>
      <c r="S288" s="75"/>
      <c r="T288" s="75"/>
      <c r="U288" s="75" t="str">
        <f t="shared" si="8"/>
        <v/>
      </c>
      <c r="V288" s="76"/>
      <c r="W288" s="14"/>
    </row>
    <row r="289">
      <c r="A289" s="37" t="s">
        <v>833</v>
      </c>
      <c r="B289" s="37">
        <v>2016.0</v>
      </c>
      <c r="C289" s="69" t="s">
        <v>834</v>
      </c>
      <c r="D289" s="71" t="s">
        <v>95</v>
      </c>
      <c r="E289" s="13"/>
      <c r="F289" s="74" t="str">
        <f t="shared" si="1"/>
        <v/>
      </c>
      <c r="G289" s="78"/>
      <c r="H289" s="13"/>
      <c r="I289" s="74" t="str">
        <f t="shared" si="2"/>
        <v/>
      </c>
      <c r="J289" s="75" t="str">
        <f t="shared" si="3"/>
        <v>NO</v>
      </c>
      <c r="K289" s="20"/>
      <c r="M289" s="76"/>
      <c r="N289" s="75" t="str">
        <f t="shared" si="4"/>
        <v>NO</v>
      </c>
      <c r="O289" s="76"/>
      <c r="P289" s="76"/>
      <c r="Q289" s="75" t="str">
        <f t="shared" si="5"/>
        <v/>
      </c>
      <c r="R289" s="75" t="str">
        <f t="shared" si="6"/>
        <v>NO</v>
      </c>
      <c r="S289" s="75"/>
      <c r="T289" s="75"/>
      <c r="U289" s="75" t="str">
        <f t="shared" si="8"/>
        <v/>
      </c>
      <c r="V289" s="76"/>
      <c r="W289" s="14"/>
    </row>
    <row r="290">
      <c r="A290" s="37" t="s">
        <v>835</v>
      </c>
      <c r="B290" s="37">
        <v>2016.0</v>
      </c>
      <c r="C290" s="69" t="s">
        <v>836</v>
      </c>
      <c r="D290" s="71" t="s">
        <v>95</v>
      </c>
      <c r="E290" s="13" t="s">
        <v>95</v>
      </c>
      <c r="F290" s="74" t="str">
        <f t="shared" si="1"/>
        <v>YES</v>
      </c>
      <c r="G290" s="78"/>
      <c r="H290" s="13" t="s">
        <v>247</v>
      </c>
      <c r="I290" s="74" t="str">
        <f t="shared" si="2"/>
        <v>YES</v>
      </c>
      <c r="J290" s="75" t="str">
        <f t="shared" si="3"/>
        <v>NO</v>
      </c>
      <c r="K290" s="20"/>
      <c r="M290" s="76"/>
      <c r="N290" s="75" t="str">
        <f t="shared" si="4"/>
        <v>NO</v>
      </c>
      <c r="O290" s="76"/>
      <c r="P290" s="76"/>
      <c r="Q290" s="75" t="str">
        <f t="shared" si="5"/>
        <v/>
      </c>
      <c r="R290" s="75" t="str">
        <f t="shared" si="6"/>
        <v>NO</v>
      </c>
      <c r="S290" s="75"/>
      <c r="T290" s="75"/>
      <c r="U290" s="75" t="str">
        <f t="shared" si="8"/>
        <v/>
      </c>
      <c r="V290" s="76"/>
      <c r="W290" s="14"/>
    </row>
    <row r="291">
      <c r="A291" s="37" t="s">
        <v>837</v>
      </c>
      <c r="B291" s="37">
        <v>2016.0</v>
      </c>
      <c r="C291" s="69" t="s">
        <v>838</v>
      </c>
      <c r="D291" s="71" t="s">
        <v>95</v>
      </c>
      <c r="E291" s="13"/>
      <c r="F291" s="74" t="str">
        <f t="shared" si="1"/>
        <v/>
      </c>
      <c r="G291" s="78"/>
      <c r="H291" s="13"/>
      <c r="I291" s="74" t="str">
        <f t="shared" si="2"/>
        <v/>
      </c>
      <c r="J291" s="75" t="str">
        <f t="shared" si="3"/>
        <v>NO</v>
      </c>
      <c r="K291" s="20"/>
      <c r="M291" s="76"/>
      <c r="N291" s="75" t="str">
        <f t="shared" si="4"/>
        <v>NO</v>
      </c>
      <c r="O291" s="76"/>
      <c r="P291" s="76"/>
      <c r="Q291" s="75" t="str">
        <f t="shared" si="5"/>
        <v/>
      </c>
      <c r="R291" s="75" t="str">
        <f t="shared" si="6"/>
        <v>NO</v>
      </c>
      <c r="S291" s="75"/>
      <c r="T291" s="75"/>
      <c r="U291" s="75" t="str">
        <f t="shared" si="8"/>
        <v/>
      </c>
      <c r="V291" s="76"/>
      <c r="W291" s="14"/>
    </row>
    <row r="292">
      <c r="A292" s="37" t="s">
        <v>839</v>
      </c>
      <c r="B292" s="37">
        <v>2015.0</v>
      </c>
      <c r="C292" s="69" t="s">
        <v>840</v>
      </c>
      <c r="D292" s="71" t="s">
        <v>95</v>
      </c>
      <c r="E292" s="13"/>
      <c r="F292" s="74" t="str">
        <f t="shared" si="1"/>
        <v/>
      </c>
      <c r="G292" s="78"/>
      <c r="H292" s="13"/>
      <c r="I292" s="74" t="str">
        <f t="shared" si="2"/>
        <v/>
      </c>
      <c r="J292" s="75" t="str">
        <f t="shared" si="3"/>
        <v>NO</v>
      </c>
      <c r="K292" s="20"/>
      <c r="M292" s="76"/>
      <c r="N292" s="75" t="str">
        <f t="shared" si="4"/>
        <v>NO</v>
      </c>
      <c r="O292" s="76"/>
      <c r="P292" s="76"/>
      <c r="Q292" s="75" t="str">
        <f t="shared" si="5"/>
        <v/>
      </c>
      <c r="R292" s="75" t="str">
        <f t="shared" si="6"/>
        <v>NO</v>
      </c>
      <c r="S292" s="75"/>
      <c r="T292" s="75"/>
      <c r="U292" s="75" t="str">
        <f t="shared" si="8"/>
        <v/>
      </c>
      <c r="V292" s="76"/>
      <c r="W292" s="14"/>
    </row>
    <row r="293">
      <c r="A293" s="37" t="s">
        <v>841</v>
      </c>
      <c r="B293" s="37">
        <v>2015.0</v>
      </c>
      <c r="C293" s="69" t="s">
        <v>842</v>
      </c>
      <c r="D293" s="71" t="s">
        <v>95</v>
      </c>
      <c r="E293" s="13"/>
      <c r="F293" s="74" t="str">
        <f t="shared" si="1"/>
        <v/>
      </c>
      <c r="G293" s="78"/>
      <c r="H293" s="13"/>
      <c r="I293" s="74" t="str">
        <f t="shared" si="2"/>
        <v/>
      </c>
      <c r="J293" s="75" t="str">
        <f t="shared" si="3"/>
        <v>NO</v>
      </c>
      <c r="K293" s="20"/>
      <c r="M293" s="76"/>
      <c r="N293" s="75" t="str">
        <f t="shared" si="4"/>
        <v>NO</v>
      </c>
      <c r="O293" s="76"/>
      <c r="P293" s="76"/>
      <c r="Q293" s="75" t="str">
        <f t="shared" si="5"/>
        <v/>
      </c>
      <c r="R293" s="75" t="str">
        <f t="shared" si="6"/>
        <v>NO</v>
      </c>
      <c r="S293" s="75"/>
      <c r="T293" s="75"/>
      <c r="U293" s="75" t="str">
        <f t="shared" si="8"/>
        <v/>
      </c>
      <c r="V293" s="76"/>
      <c r="W293" s="14"/>
    </row>
    <row r="294">
      <c r="A294" s="37" t="s">
        <v>843</v>
      </c>
      <c r="B294" s="37">
        <v>2014.0</v>
      </c>
      <c r="C294" s="69" t="s">
        <v>844</v>
      </c>
      <c r="D294" s="71" t="s">
        <v>95</v>
      </c>
      <c r="E294" s="13"/>
      <c r="F294" s="74" t="str">
        <f t="shared" si="1"/>
        <v/>
      </c>
      <c r="G294" s="78"/>
      <c r="H294" s="13"/>
      <c r="I294" s="74" t="str">
        <f t="shared" si="2"/>
        <v/>
      </c>
      <c r="J294" s="75" t="str">
        <f t="shared" si="3"/>
        <v>NO</v>
      </c>
      <c r="K294" s="20"/>
      <c r="M294" s="76"/>
      <c r="N294" s="75" t="str">
        <f t="shared" si="4"/>
        <v>NO</v>
      </c>
      <c r="O294" s="76"/>
      <c r="P294" s="76"/>
      <c r="Q294" s="75" t="str">
        <f t="shared" si="5"/>
        <v/>
      </c>
      <c r="R294" s="75" t="str">
        <f t="shared" si="6"/>
        <v>NO</v>
      </c>
      <c r="S294" s="75"/>
      <c r="T294" s="75"/>
      <c r="U294" s="75" t="str">
        <f t="shared" si="8"/>
        <v/>
      </c>
      <c r="V294" s="76"/>
      <c r="W294" s="14"/>
    </row>
    <row r="295">
      <c r="A295" s="37" t="s">
        <v>845</v>
      </c>
      <c r="B295" s="37">
        <v>2016.0</v>
      </c>
      <c r="C295" s="69" t="s">
        <v>846</v>
      </c>
      <c r="D295" s="71" t="s">
        <v>95</v>
      </c>
      <c r="E295" s="13" t="s">
        <v>95</v>
      </c>
      <c r="F295" s="74" t="str">
        <f t="shared" si="1"/>
        <v>YES</v>
      </c>
      <c r="G295" s="78"/>
      <c r="H295" s="13" t="s">
        <v>247</v>
      </c>
      <c r="I295" s="74" t="str">
        <f t="shared" si="2"/>
        <v>YES</v>
      </c>
      <c r="J295" s="75" t="str">
        <f t="shared" si="3"/>
        <v>NO</v>
      </c>
      <c r="K295" s="20"/>
      <c r="M295" s="76"/>
      <c r="N295" s="75" t="str">
        <f t="shared" si="4"/>
        <v>NO</v>
      </c>
      <c r="O295" s="76"/>
      <c r="P295" s="76"/>
      <c r="Q295" s="75" t="str">
        <f t="shared" si="5"/>
        <v/>
      </c>
      <c r="R295" s="75" t="str">
        <f t="shared" si="6"/>
        <v>NO</v>
      </c>
      <c r="S295" s="75"/>
      <c r="T295" s="75"/>
      <c r="U295" s="75" t="str">
        <f t="shared" si="8"/>
        <v/>
      </c>
      <c r="V295" s="76"/>
      <c r="W295" s="14"/>
    </row>
    <row r="296">
      <c r="A296" s="37" t="s">
        <v>847</v>
      </c>
      <c r="B296" s="37">
        <v>2014.0</v>
      </c>
      <c r="C296" s="69" t="s">
        <v>848</v>
      </c>
      <c r="D296" s="71" t="s">
        <v>95</v>
      </c>
      <c r="E296" s="13" t="s">
        <v>95</v>
      </c>
      <c r="F296" s="74" t="str">
        <f t="shared" si="1"/>
        <v>YES</v>
      </c>
      <c r="G296" s="78"/>
      <c r="H296" s="13" t="s">
        <v>247</v>
      </c>
      <c r="I296" s="74" t="str">
        <f t="shared" si="2"/>
        <v>YES</v>
      </c>
      <c r="J296" s="75" t="str">
        <f t="shared" si="3"/>
        <v>NO</v>
      </c>
      <c r="K296" s="20"/>
      <c r="M296" s="76"/>
      <c r="N296" s="75" t="str">
        <f t="shared" si="4"/>
        <v>NO</v>
      </c>
      <c r="O296" s="76"/>
      <c r="P296" s="76"/>
      <c r="Q296" s="75" t="str">
        <f t="shared" si="5"/>
        <v/>
      </c>
      <c r="R296" s="75" t="str">
        <f t="shared" si="6"/>
        <v>NO</v>
      </c>
      <c r="S296" s="75"/>
      <c r="T296" s="75"/>
      <c r="U296" s="75" t="str">
        <f t="shared" si="8"/>
        <v/>
      </c>
      <c r="V296" s="76"/>
      <c r="W296" s="14"/>
    </row>
    <row r="297">
      <c r="A297" s="37" t="s">
        <v>849</v>
      </c>
      <c r="B297" s="37">
        <v>2015.0</v>
      </c>
      <c r="C297" s="69" t="s">
        <v>850</v>
      </c>
      <c r="D297" s="71" t="s">
        <v>95</v>
      </c>
      <c r="E297" s="13"/>
      <c r="F297" s="74" t="str">
        <f t="shared" si="1"/>
        <v/>
      </c>
      <c r="G297" s="78"/>
      <c r="H297" s="13"/>
      <c r="I297" s="74" t="str">
        <f t="shared" si="2"/>
        <v/>
      </c>
      <c r="J297" s="75" t="str">
        <f t="shared" si="3"/>
        <v>NO</v>
      </c>
      <c r="K297" s="20"/>
      <c r="M297" s="76"/>
      <c r="N297" s="75" t="str">
        <f t="shared" si="4"/>
        <v>NO</v>
      </c>
      <c r="O297" s="76"/>
      <c r="P297" s="76"/>
      <c r="Q297" s="75" t="str">
        <f t="shared" si="5"/>
        <v/>
      </c>
      <c r="R297" s="75" t="str">
        <f t="shared" si="6"/>
        <v>NO</v>
      </c>
      <c r="S297" s="75"/>
      <c r="T297" s="75"/>
      <c r="U297" s="75" t="str">
        <f t="shared" si="8"/>
        <v/>
      </c>
      <c r="V297" s="76"/>
      <c r="W297" s="14"/>
    </row>
    <row r="298">
      <c r="A298" s="37" t="s">
        <v>851</v>
      </c>
      <c r="B298" s="37">
        <v>2013.0</v>
      </c>
      <c r="C298" s="69" t="s">
        <v>852</v>
      </c>
      <c r="D298" s="71" t="s">
        <v>95</v>
      </c>
      <c r="E298" s="13"/>
      <c r="F298" s="74" t="str">
        <f t="shared" si="1"/>
        <v/>
      </c>
      <c r="G298" s="78"/>
      <c r="H298" s="13"/>
      <c r="I298" s="74" t="str">
        <f t="shared" si="2"/>
        <v/>
      </c>
      <c r="J298" s="75" t="str">
        <f t="shared" si="3"/>
        <v>NO</v>
      </c>
      <c r="K298" s="20"/>
      <c r="M298" s="76"/>
      <c r="N298" s="75" t="str">
        <f t="shared" si="4"/>
        <v>NO</v>
      </c>
      <c r="O298" s="76"/>
      <c r="P298" s="76"/>
      <c r="Q298" s="75" t="str">
        <f t="shared" si="5"/>
        <v/>
      </c>
      <c r="R298" s="75" t="str">
        <f t="shared" si="6"/>
        <v>NO</v>
      </c>
      <c r="S298" s="75"/>
      <c r="T298" s="75"/>
      <c r="U298" s="75" t="str">
        <f t="shared" si="8"/>
        <v/>
      </c>
      <c r="V298" s="76"/>
      <c r="W298" s="14"/>
    </row>
    <row r="299">
      <c r="A299" s="37" t="s">
        <v>853</v>
      </c>
      <c r="B299" s="37">
        <v>2016.0</v>
      </c>
      <c r="C299" s="69" t="s">
        <v>854</v>
      </c>
      <c r="D299" s="71" t="s">
        <v>95</v>
      </c>
      <c r="E299" s="13" t="s">
        <v>95</v>
      </c>
      <c r="F299" s="74" t="str">
        <f t="shared" si="1"/>
        <v>YES</v>
      </c>
      <c r="G299" s="78"/>
      <c r="H299" s="13" t="s">
        <v>247</v>
      </c>
      <c r="I299" s="74" t="str">
        <f t="shared" si="2"/>
        <v>YES</v>
      </c>
      <c r="J299" s="75" t="str">
        <f t="shared" si="3"/>
        <v>NO</v>
      </c>
      <c r="K299" s="20"/>
      <c r="M299" s="76"/>
      <c r="N299" s="75" t="str">
        <f t="shared" si="4"/>
        <v>NO</v>
      </c>
      <c r="O299" s="76"/>
      <c r="P299" s="76"/>
      <c r="Q299" s="75" t="str">
        <f t="shared" si="5"/>
        <v/>
      </c>
      <c r="R299" s="75" t="str">
        <f t="shared" si="6"/>
        <v>NO</v>
      </c>
      <c r="S299" s="75"/>
      <c r="T299" s="75"/>
      <c r="U299" s="75" t="str">
        <f t="shared" si="8"/>
        <v/>
      </c>
      <c r="V299" s="76"/>
      <c r="W299" s="14"/>
    </row>
    <row r="300">
      <c r="A300" s="37" t="s">
        <v>855</v>
      </c>
      <c r="B300" s="37">
        <v>2016.0</v>
      </c>
      <c r="C300" s="69" t="s">
        <v>856</v>
      </c>
      <c r="D300" s="71" t="s">
        <v>95</v>
      </c>
      <c r="E300" s="13"/>
      <c r="F300" s="74" t="str">
        <f t="shared" si="1"/>
        <v/>
      </c>
      <c r="G300" s="78"/>
      <c r="H300" s="13"/>
      <c r="I300" s="74" t="str">
        <f t="shared" si="2"/>
        <v/>
      </c>
      <c r="J300" s="75" t="str">
        <f t="shared" si="3"/>
        <v>NO</v>
      </c>
      <c r="K300" s="20"/>
      <c r="M300" s="76"/>
      <c r="N300" s="75" t="str">
        <f t="shared" si="4"/>
        <v>NO</v>
      </c>
      <c r="O300" s="76"/>
      <c r="P300" s="76"/>
      <c r="Q300" s="75" t="str">
        <f t="shared" si="5"/>
        <v/>
      </c>
      <c r="R300" s="75" t="str">
        <f t="shared" si="6"/>
        <v>NO</v>
      </c>
      <c r="S300" s="75"/>
      <c r="T300" s="75"/>
      <c r="U300" s="75" t="str">
        <f t="shared" si="8"/>
        <v/>
      </c>
      <c r="V300" s="76"/>
      <c r="W300" s="14"/>
    </row>
    <row r="301">
      <c r="A301" s="37" t="s">
        <v>857</v>
      </c>
      <c r="B301" s="37">
        <v>2016.0</v>
      </c>
      <c r="C301" s="69" t="s">
        <v>858</v>
      </c>
      <c r="D301" s="71" t="s">
        <v>95</v>
      </c>
      <c r="E301" s="13" t="s">
        <v>95</v>
      </c>
      <c r="F301" s="74" t="str">
        <f t="shared" si="1"/>
        <v>YES</v>
      </c>
      <c r="G301" s="78"/>
      <c r="H301" s="13" t="s">
        <v>247</v>
      </c>
      <c r="I301" s="74" t="str">
        <f t="shared" si="2"/>
        <v>YES</v>
      </c>
      <c r="J301" s="75" t="str">
        <f t="shared" si="3"/>
        <v>NO</v>
      </c>
      <c r="K301" s="20"/>
      <c r="M301" s="76"/>
      <c r="N301" s="75" t="str">
        <f t="shared" si="4"/>
        <v>NO</v>
      </c>
      <c r="O301" s="76"/>
      <c r="P301" s="76"/>
      <c r="Q301" s="75" t="str">
        <f t="shared" si="5"/>
        <v/>
      </c>
      <c r="R301" s="75" t="str">
        <f t="shared" si="6"/>
        <v>NO</v>
      </c>
      <c r="S301" s="75"/>
      <c r="T301" s="75"/>
      <c r="U301" s="75" t="str">
        <f t="shared" si="8"/>
        <v/>
      </c>
      <c r="V301" s="76"/>
      <c r="W301" s="14"/>
    </row>
    <row r="302">
      <c r="A302" s="37" t="s">
        <v>859</v>
      </c>
      <c r="B302" s="37">
        <v>2014.0</v>
      </c>
      <c r="C302" s="69" t="s">
        <v>860</v>
      </c>
      <c r="D302" s="71" t="s">
        <v>95</v>
      </c>
      <c r="E302" s="13"/>
      <c r="F302" s="74" t="str">
        <f t="shared" si="1"/>
        <v/>
      </c>
      <c r="G302" s="78"/>
      <c r="H302" s="13"/>
      <c r="I302" s="74" t="str">
        <f t="shared" si="2"/>
        <v/>
      </c>
      <c r="J302" s="75" t="str">
        <f t="shared" si="3"/>
        <v>NO</v>
      </c>
      <c r="K302" s="20"/>
      <c r="M302" s="76"/>
      <c r="N302" s="75" t="str">
        <f t="shared" si="4"/>
        <v>NO</v>
      </c>
      <c r="O302" s="76"/>
      <c r="P302" s="76"/>
      <c r="Q302" s="75" t="str">
        <f t="shared" si="5"/>
        <v/>
      </c>
      <c r="R302" s="75" t="str">
        <f t="shared" si="6"/>
        <v>NO</v>
      </c>
      <c r="S302" s="75"/>
      <c r="T302" s="75"/>
      <c r="U302" s="75" t="str">
        <f t="shared" si="8"/>
        <v/>
      </c>
      <c r="V302" s="76"/>
      <c r="W302" s="14"/>
    </row>
    <row r="303">
      <c r="A303" s="37" t="s">
        <v>861</v>
      </c>
      <c r="B303" s="37">
        <v>2013.0</v>
      </c>
      <c r="C303" s="69" t="s">
        <v>862</v>
      </c>
      <c r="D303" s="71" t="s">
        <v>95</v>
      </c>
      <c r="E303" s="13"/>
      <c r="F303" s="74" t="str">
        <f t="shared" si="1"/>
        <v/>
      </c>
      <c r="G303" s="78"/>
      <c r="H303" s="13"/>
      <c r="I303" s="74" t="str">
        <f t="shared" si="2"/>
        <v/>
      </c>
      <c r="J303" s="75" t="str">
        <f t="shared" si="3"/>
        <v>NO</v>
      </c>
      <c r="K303" s="20"/>
      <c r="M303" s="76"/>
      <c r="N303" s="75" t="str">
        <f t="shared" si="4"/>
        <v>NO</v>
      </c>
      <c r="O303" s="76"/>
      <c r="P303" s="76"/>
      <c r="Q303" s="75" t="str">
        <f t="shared" si="5"/>
        <v/>
      </c>
      <c r="R303" s="75" t="str">
        <f t="shared" si="6"/>
        <v>NO</v>
      </c>
      <c r="S303" s="75"/>
      <c r="T303" s="75"/>
      <c r="U303" s="75" t="str">
        <f t="shared" si="8"/>
        <v/>
      </c>
      <c r="V303" s="76"/>
      <c r="W303" s="14"/>
    </row>
    <row r="304">
      <c r="A304" s="37" t="s">
        <v>863</v>
      </c>
      <c r="B304" s="37">
        <v>2013.0</v>
      </c>
      <c r="C304" s="69" t="s">
        <v>864</v>
      </c>
      <c r="D304" s="71" t="s">
        <v>95</v>
      </c>
      <c r="E304" s="13"/>
      <c r="F304" s="74" t="str">
        <f t="shared" si="1"/>
        <v/>
      </c>
      <c r="G304" s="78"/>
      <c r="H304" s="13"/>
      <c r="I304" s="74" t="str">
        <f t="shared" si="2"/>
        <v/>
      </c>
      <c r="J304" s="75" t="str">
        <f t="shared" si="3"/>
        <v>NO</v>
      </c>
      <c r="K304" s="20"/>
      <c r="M304" s="76"/>
      <c r="N304" s="75" t="str">
        <f t="shared" si="4"/>
        <v>NO</v>
      </c>
      <c r="O304" s="76"/>
      <c r="P304" s="76"/>
      <c r="Q304" s="75" t="str">
        <f t="shared" si="5"/>
        <v/>
      </c>
      <c r="R304" s="75" t="str">
        <f t="shared" si="6"/>
        <v>NO</v>
      </c>
      <c r="S304" s="75"/>
      <c r="T304" s="75"/>
      <c r="U304" s="75" t="str">
        <f t="shared" si="8"/>
        <v/>
      </c>
      <c r="V304" s="76"/>
      <c r="W304" s="14"/>
    </row>
    <row r="305">
      <c r="A305" s="37" t="s">
        <v>865</v>
      </c>
      <c r="B305" s="37">
        <v>2015.0</v>
      </c>
      <c r="C305" s="69" t="s">
        <v>866</v>
      </c>
      <c r="D305" s="71" t="s">
        <v>95</v>
      </c>
      <c r="E305" s="13" t="s">
        <v>95</v>
      </c>
      <c r="F305" s="74" t="str">
        <f t="shared" si="1"/>
        <v>YES</v>
      </c>
      <c r="G305" s="78"/>
      <c r="H305" s="13" t="s">
        <v>247</v>
      </c>
      <c r="I305" s="74" t="str">
        <f t="shared" si="2"/>
        <v>YES</v>
      </c>
      <c r="J305" s="75" t="str">
        <f t="shared" si="3"/>
        <v>NO</v>
      </c>
      <c r="K305" s="20"/>
      <c r="M305" s="76"/>
      <c r="N305" s="75" t="str">
        <f t="shared" si="4"/>
        <v>NO</v>
      </c>
      <c r="O305" s="76"/>
      <c r="P305" s="76"/>
      <c r="Q305" s="75" t="str">
        <f t="shared" si="5"/>
        <v/>
      </c>
      <c r="R305" s="75" t="str">
        <f t="shared" si="6"/>
        <v>NO</v>
      </c>
      <c r="S305" s="75"/>
      <c r="T305" s="75"/>
      <c r="U305" s="75" t="str">
        <f t="shared" si="8"/>
        <v/>
      </c>
      <c r="V305" s="76"/>
      <c r="W305" s="14"/>
    </row>
    <row r="306">
      <c r="A306" s="37" t="s">
        <v>867</v>
      </c>
      <c r="B306" s="37">
        <v>2014.0</v>
      </c>
      <c r="C306" s="69" t="s">
        <v>868</v>
      </c>
      <c r="D306" s="78"/>
      <c r="E306" s="13" t="s">
        <v>95</v>
      </c>
      <c r="F306" s="74" t="str">
        <f t="shared" si="1"/>
        <v>NO</v>
      </c>
      <c r="G306" s="71" t="s">
        <v>95</v>
      </c>
      <c r="H306" s="13" t="s">
        <v>247</v>
      </c>
      <c r="I306" s="74" t="str">
        <f t="shared" si="2"/>
        <v>YES</v>
      </c>
      <c r="J306" s="75" t="str">
        <f t="shared" si="3"/>
        <v>NO</v>
      </c>
      <c r="K306" s="20"/>
      <c r="M306" s="76"/>
      <c r="N306" s="75" t="str">
        <f t="shared" si="4"/>
        <v>NO</v>
      </c>
      <c r="O306" s="76"/>
      <c r="P306" s="76"/>
      <c r="Q306" s="75" t="str">
        <f t="shared" si="5"/>
        <v/>
      </c>
      <c r="R306" s="75" t="str">
        <f t="shared" si="6"/>
        <v>NO</v>
      </c>
      <c r="S306" s="75"/>
      <c r="T306" s="75"/>
      <c r="U306" s="75" t="str">
        <f t="shared" si="8"/>
        <v/>
      </c>
      <c r="V306" s="76"/>
      <c r="W306" s="14"/>
    </row>
    <row r="307">
      <c r="A307" s="37" t="s">
        <v>869</v>
      </c>
      <c r="B307" s="37">
        <v>2014.0</v>
      </c>
      <c r="C307" s="69" t="s">
        <v>870</v>
      </c>
      <c r="D307" s="71" t="s">
        <v>95</v>
      </c>
      <c r="E307" s="13" t="s">
        <v>95</v>
      </c>
      <c r="F307" s="74" t="str">
        <f t="shared" si="1"/>
        <v>YES</v>
      </c>
      <c r="G307" s="78"/>
      <c r="H307" s="13" t="s">
        <v>247</v>
      </c>
      <c r="I307" s="74" t="str">
        <f t="shared" si="2"/>
        <v>YES</v>
      </c>
      <c r="J307" s="75" t="str">
        <f t="shared" si="3"/>
        <v>NO</v>
      </c>
      <c r="K307" s="20"/>
      <c r="M307" s="76"/>
      <c r="N307" s="75" t="str">
        <f t="shared" si="4"/>
        <v>NO</v>
      </c>
      <c r="O307" s="76"/>
      <c r="P307" s="76"/>
      <c r="Q307" s="75" t="str">
        <f t="shared" si="5"/>
        <v/>
      </c>
      <c r="R307" s="75" t="str">
        <f t="shared" si="6"/>
        <v>NO</v>
      </c>
      <c r="S307" s="75"/>
      <c r="T307" s="75"/>
      <c r="U307" s="75" t="str">
        <f t="shared" si="8"/>
        <v/>
      </c>
      <c r="V307" s="76"/>
      <c r="W307" s="14"/>
    </row>
    <row r="308">
      <c r="A308" s="37" t="s">
        <v>871</v>
      </c>
      <c r="B308" s="37">
        <v>2015.0</v>
      </c>
      <c r="C308" s="69" t="s">
        <v>872</v>
      </c>
      <c r="D308" s="71" t="s">
        <v>95</v>
      </c>
      <c r="E308" s="13"/>
      <c r="F308" s="74" t="str">
        <f t="shared" si="1"/>
        <v/>
      </c>
      <c r="G308" s="78"/>
      <c r="H308" s="13"/>
      <c r="I308" s="74" t="str">
        <f t="shared" si="2"/>
        <v/>
      </c>
      <c r="J308" s="75" t="str">
        <f t="shared" si="3"/>
        <v>NO</v>
      </c>
      <c r="K308" s="20"/>
      <c r="M308" s="76"/>
      <c r="N308" s="75" t="str">
        <f t="shared" si="4"/>
        <v>NO</v>
      </c>
      <c r="O308" s="76"/>
      <c r="P308" s="76"/>
      <c r="Q308" s="75" t="str">
        <f t="shared" si="5"/>
        <v/>
      </c>
      <c r="R308" s="75" t="str">
        <f t="shared" si="6"/>
        <v>NO</v>
      </c>
      <c r="S308" s="75"/>
      <c r="T308" s="75"/>
      <c r="U308" s="75" t="str">
        <f t="shared" si="8"/>
        <v/>
      </c>
      <c r="V308" s="76"/>
      <c r="W308" s="14"/>
    </row>
    <row r="309">
      <c r="A309" s="37" t="s">
        <v>873</v>
      </c>
      <c r="B309" s="37">
        <v>2013.0</v>
      </c>
      <c r="C309" s="69" t="s">
        <v>874</v>
      </c>
      <c r="D309" s="71" t="s">
        <v>95</v>
      </c>
      <c r="E309" s="13"/>
      <c r="F309" s="74" t="str">
        <f t="shared" si="1"/>
        <v/>
      </c>
      <c r="G309" s="78"/>
      <c r="H309" s="13"/>
      <c r="I309" s="74" t="str">
        <f t="shared" si="2"/>
        <v/>
      </c>
      <c r="J309" s="75" t="str">
        <f t="shared" si="3"/>
        <v>NO</v>
      </c>
      <c r="K309" s="20"/>
      <c r="M309" s="76"/>
      <c r="N309" s="75" t="str">
        <f t="shared" si="4"/>
        <v>NO</v>
      </c>
      <c r="O309" s="76"/>
      <c r="P309" s="76"/>
      <c r="Q309" s="75" t="str">
        <f t="shared" si="5"/>
        <v/>
      </c>
      <c r="R309" s="75" t="str">
        <f t="shared" si="6"/>
        <v>NO</v>
      </c>
      <c r="S309" s="75"/>
      <c r="T309" s="75"/>
      <c r="U309" s="75" t="str">
        <f t="shared" si="8"/>
        <v/>
      </c>
      <c r="V309" s="76"/>
      <c r="W309" s="14"/>
    </row>
    <row r="310">
      <c r="A310" s="37" t="s">
        <v>875</v>
      </c>
      <c r="B310" s="37">
        <v>2016.0</v>
      </c>
      <c r="C310" s="69" t="s">
        <v>876</v>
      </c>
      <c r="D310" s="71" t="s">
        <v>95</v>
      </c>
      <c r="E310" s="13"/>
      <c r="F310" s="74" t="str">
        <f t="shared" si="1"/>
        <v/>
      </c>
      <c r="G310" s="78"/>
      <c r="H310" s="13"/>
      <c r="I310" s="74" t="str">
        <f t="shared" si="2"/>
        <v/>
      </c>
      <c r="J310" s="75" t="str">
        <f t="shared" si="3"/>
        <v>NO</v>
      </c>
      <c r="K310" s="20"/>
      <c r="M310" s="76"/>
      <c r="N310" s="75" t="str">
        <f t="shared" si="4"/>
        <v>NO</v>
      </c>
      <c r="O310" s="76"/>
      <c r="P310" s="76"/>
      <c r="Q310" s="75" t="str">
        <f t="shared" si="5"/>
        <v/>
      </c>
      <c r="R310" s="75" t="str">
        <f t="shared" si="6"/>
        <v>NO</v>
      </c>
      <c r="S310" s="75"/>
      <c r="T310" s="75"/>
      <c r="U310" s="75" t="str">
        <f t="shared" si="8"/>
        <v/>
      </c>
      <c r="V310" s="76"/>
      <c r="W310" s="14"/>
    </row>
    <row r="311">
      <c r="A311" s="37" t="s">
        <v>877</v>
      </c>
      <c r="B311" s="37">
        <v>2014.0</v>
      </c>
      <c r="C311" s="69" t="s">
        <v>878</v>
      </c>
      <c r="D311" s="71" t="s">
        <v>95</v>
      </c>
      <c r="E311" s="13" t="s">
        <v>95</v>
      </c>
      <c r="F311" s="74" t="str">
        <f t="shared" si="1"/>
        <v>YES</v>
      </c>
      <c r="G311" s="78"/>
      <c r="H311" s="13" t="s">
        <v>247</v>
      </c>
      <c r="I311" s="74" t="str">
        <f t="shared" si="2"/>
        <v>YES</v>
      </c>
      <c r="J311" s="75" t="str">
        <f t="shared" si="3"/>
        <v>NO</v>
      </c>
      <c r="K311" s="20"/>
      <c r="M311" s="76"/>
      <c r="N311" s="75" t="str">
        <f t="shared" si="4"/>
        <v>NO</v>
      </c>
      <c r="O311" s="76"/>
      <c r="P311" s="76"/>
      <c r="Q311" s="75" t="str">
        <f t="shared" si="5"/>
        <v/>
      </c>
      <c r="R311" s="75" t="str">
        <f t="shared" si="6"/>
        <v>NO</v>
      </c>
      <c r="S311" s="75"/>
      <c r="T311" s="75"/>
      <c r="U311" s="75" t="str">
        <f t="shared" si="8"/>
        <v/>
      </c>
      <c r="V311" s="76"/>
      <c r="W311" s="14"/>
    </row>
    <row r="312">
      <c r="A312" s="37" t="s">
        <v>879</v>
      </c>
      <c r="B312" s="37">
        <v>2015.0</v>
      </c>
      <c r="C312" s="69" t="s">
        <v>880</v>
      </c>
      <c r="D312" s="71" t="s">
        <v>95</v>
      </c>
      <c r="E312" s="13"/>
      <c r="F312" s="74" t="str">
        <f t="shared" si="1"/>
        <v/>
      </c>
      <c r="G312" s="78"/>
      <c r="H312" s="13"/>
      <c r="I312" s="74" t="str">
        <f t="shared" si="2"/>
        <v/>
      </c>
      <c r="J312" s="75" t="str">
        <f t="shared" si="3"/>
        <v>NO</v>
      </c>
      <c r="K312" s="20"/>
      <c r="M312" s="76"/>
      <c r="N312" s="75" t="str">
        <f t="shared" si="4"/>
        <v>NO</v>
      </c>
      <c r="O312" s="76"/>
      <c r="P312" s="76"/>
      <c r="Q312" s="75" t="str">
        <f t="shared" si="5"/>
        <v/>
      </c>
      <c r="R312" s="75" t="str">
        <f t="shared" si="6"/>
        <v>NO</v>
      </c>
      <c r="S312" s="75"/>
      <c r="T312" s="75"/>
      <c r="U312" s="75" t="str">
        <f t="shared" si="8"/>
        <v/>
      </c>
      <c r="V312" s="76"/>
      <c r="W312" s="14"/>
    </row>
    <row r="313">
      <c r="A313" s="37" t="s">
        <v>881</v>
      </c>
      <c r="B313" s="37">
        <v>2015.0</v>
      </c>
      <c r="C313" s="69" t="s">
        <v>882</v>
      </c>
      <c r="D313" s="71" t="s">
        <v>95</v>
      </c>
      <c r="E313" s="13"/>
      <c r="F313" s="74" t="str">
        <f t="shared" si="1"/>
        <v/>
      </c>
      <c r="G313" s="78"/>
      <c r="H313" s="13"/>
      <c r="I313" s="74" t="str">
        <f t="shared" si="2"/>
        <v/>
      </c>
      <c r="J313" s="75" t="str">
        <f t="shared" si="3"/>
        <v>NO</v>
      </c>
      <c r="K313" s="20"/>
      <c r="M313" s="76"/>
      <c r="N313" s="75" t="str">
        <f t="shared" si="4"/>
        <v>NO</v>
      </c>
      <c r="O313" s="76"/>
      <c r="P313" s="76"/>
      <c r="Q313" s="75" t="str">
        <f t="shared" si="5"/>
        <v/>
      </c>
      <c r="R313" s="75" t="str">
        <f t="shared" si="6"/>
        <v>NO</v>
      </c>
      <c r="S313" s="75"/>
      <c r="T313" s="75"/>
      <c r="U313" s="75" t="str">
        <f t="shared" si="8"/>
        <v/>
      </c>
      <c r="V313" s="76"/>
      <c r="W313" s="14"/>
    </row>
    <row r="314">
      <c r="A314" s="37" t="s">
        <v>883</v>
      </c>
      <c r="B314" s="37">
        <v>2014.0</v>
      </c>
      <c r="C314" s="69" t="s">
        <v>884</v>
      </c>
      <c r="D314" s="71" t="s">
        <v>95</v>
      </c>
      <c r="E314" s="13"/>
      <c r="F314" s="74" t="str">
        <f t="shared" si="1"/>
        <v/>
      </c>
      <c r="G314" s="78"/>
      <c r="H314" s="13"/>
      <c r="I314" s="74" t="str">
        <f t="shared" si="2"/>
        <v/>
      </c>
      <c r="J314" s="75" t="str">
        <f t="shared" si="3"/>
        <v>NO</v>
      </c>
      <c r="K314" s="20"/>
      <c r="M314" s="76"/>
      <c r="N314" s="75" t="str">
        <f t="shared" si="4"/>
        <v>NO</v>
      </c>
      <c r="O314" s="76"/>
      <c r="P314" s="76"/>
      <c r="Q314" s="75" t="str">
        <f t="shared" si="5"/>
        <v/>
      </c>
      <c r="R314" s="75" t="str">
        <f t="shared" si="6"/>
        <v>NO</v>
      </c>
      <c r="S314" s="75"/>
      <c r="T314" s="75"/>
      <c r="U314" s="75" t="str">
        <f t="shared" si="8"/>
        <v/>
      </c>
      <c r="V314" s="76"/>
      <c r="W314" s="14"/>
    </row>
    <row r="315">
      <c r="A315" s="37" t="s">
        <v>885</v>
      </c>
      <c r="B315" s="37">
        <v>2015.0</v>
      </c>
      <c r="C315" s="69" t="s">
        <v>886</v>
      </c>
      <c r="D315" s="71" t="s">
        <v>95</v>
      </c>
      <c r="E315" s="13"/>
      <c r="F315" s="74" t="str">
        <f t="shared" si="1"/>
        <v/>
      </c>
      <c r="G315" s="78"/>
      <c r="H315" s="13"/>
      <c r="I315" s="74" t="str">
        <f t="shared" si="2"/>
        <v/>
      </c>
      <c r="J315" s="75" t="str">
        <f t="shared" si="3"/>
        <v>NO</v>
      </c>
      <c r="K315" s="20"/>
      <c r="M315" s="76"/>
      <c r="N315" s="75" t="str">
        <f t="shared" si="4"/>
        <v>NO</v>
      </c>
      <c r="O315" s="76"/>
      <c r="P315" s="76"/>
      <c r="Q315" s="75" t="str">
        <f t="shared" si="5"/>
        <v/>
      </c>
      <c r="R315" s="75" t="str">
        <f t="shared" si="6"/>
        <v>NO</v>
      </c>
      <c r="S315" s="75"/>
      <c r="T315" s="75"/>
      <c r="U315" s="75" t="str">
        <f t="shared" si="8"/>
        <v/>
      </c>
      <c r="V315" s="76"/>
      <c r="W315" s="14"/>
    </row>
    <row r="316">
      <c r="A316" s="37" t="s">
        <v>887</v>
      </c>
      <c r="B316" s="37">
        <v>2015.0</v>
      </c>
      <c r="C316" s="69" t="s">
        <v>888</v>
      </c>
      <c r="D316" s="71" t="s">
        <v>95</v>
      </c>
      <c r="E316" s="13" t="s">
        <v>95</v>
      </c>
      <c r="F316" s="74" t="str">
        <f t="shared" si="1"/>
        <v>YES</v>
      </c>
      <c r="G316" s="78"/>
      <c r="H316" s="13" t="s">
        <v>247</v>
      </c>
      <c r="I316" s="74" t="str">
        <f t="shared" si="2"/>
        <v>YES</v>
      </c>
      <c r="J316" s="75" t="str">
        <f t="shared" si="3"/>
        <v>NO</v>
      </c>
      <c r="K316" s="20"/>
      <c r="M316" s="76"/>
      <c r="N316" s="75" t="str">
        <f t="shared" si="4"/>
        <v>NO</v>
      </c>
      <c r="O316" s="76"/>
      <c r="P316" s="76"/>
      <c r="Q316" s="75" t="str">
        <f t="shared" si="5"/>
        <v/>
      </c>
      <c r="R316" s="75" t="str">
        <f t="shared" si="6"/>
        <v>NO</v>
      </c>
      <c r="S316" s="75"/>
      <c r="T316" s="75"/>
      <c r="U316" s="75" t="str">
        <f t="shared" si="8"/>
        <v/>
      </c>
      <c r="V316" s="76"/>
      <c r="W316" s="14"/>
    </row>
    <row r="317">
      <c r="A317" s="37" t="s">
        <v>889</v>
      </c>
      <c r="B317" s="37">
        <v>2010.0</v>
      </c>
      <c r="C317" s="69" t="s">
        <v>890</v>
      </c>
      <c r="D317" s="71"/>
      <c r="E317" s="13"/>
      <c r="F317" s="74" t="str">
        <f t="shared" si="1"/>
        <v/>
      </c>
      <c r="G317" s="78"/>
      <c r="H317" s="13"/>
      <c r="I317" s="74" t="str">
        <f t="shared" si="2"/>
        <v/>
      </c>
      <c r="J317" s="75" t="str">
        <f t="shared" si="3"/>
        <v>YES</v>
      </c>
      <c r="K317" s="37" t="s">
        <v>130</v>
      </c>
      <c r="L317" s="13" t="s">
        <v>7</v>
      </c>
      <c r="M317" s="75" t="s">
        <v>142</v>
      </c>
      <c r="N317" s="75" t="str">
        <f t="shared" si="4"/>
        <v>YES</v>
      </c>
      <c r="O317" s="75" t="s">
        <v>131</v>
      </c>
      <c r="P317" s="75" t="s">
        <v>131</v>
      </c>
      <c r="Q317" s="75" t="str">
        <f t="shared" si="5"/>
        <v>YES</v>
      </c>
      <c r="R317" s="75" t="str">
        <f t="shared" si="6"/>
        <v>YES</v>
      </c>
      <c r="S317" s="75" t="s">
        <v>131</v>
      </c>
      <c r="T317" s="75" t="s">
        <v>131</v>
      </c>
      <c r="U317" s="75" t="str">
        <f t="shared" si="8"/>
        <v>YES</v>
      </c>
      <c r="V317" s="75" t="s">
        <v>285</v>
      </c>
      <c r="W317" s="14"/>
    </row>
    <row r="318">
      <c r="A318" s="37" t="s">
        <v>891</v>
      </c>
      <c r="B318" s="37">
        <v>2015.0</v>
      </c>
      <c r="C318" s="69" t="s">
        <v>892</v>
      </c>
      <c r="D318" s="78"/>
      <c r="F318" s="74" t="str">
        <f t="shared" si="1"/>
        <v/>
      </c>
      <c r="G318" s="78"/>
      <c r="I318" s="74" t="str">
        <f t="shared" si="2"/>
        <v/>
      </c>
      <c r="J318" s="75" t="str">
        <f t="shared" si="3"/>
        <v>YES</v>
      </c>
      <c r="K318" s="37" t="s">
        <v>130</v>
      </c>
      <c r="L318" s="13" t="s">
        <v>7</v>
      </c>
      <c r="M318" s="75" t="s">
        <v>142</v>
      </c>
      <c r="N318" s="75" t="str">
        <f t="shared" si="4"/>
        <v>YES</v>
      </c>
      <c r="O318" s="75" t="s">
        <v>131</v>
      </c>
      <c r="P318" s="75"/>
      <c r="Q318" s="75" t="str">
        <f t="shared" si="5"/>
        <v/>
      </c>
      <c r="R318" s="75" t="str">
        <f t="shared" si="6"/>
        <v>YES</v>
      </c>
      <c r="S318" s="75" t="s">
        <v>131</v>
      </c>
      <c r="T318" s="75" t="s">
        <v>131</v>
      </c>
      <c r="U318" s="75" t="str">
        <f t="shared" si="8"/>
        <v>YES</v>
      </c>
      <c r="V318" s="75" t="s">
        <v>285</v>
      </c>
      <c r="W318" s="14"/>
    </row>
    <row r="319">
      <c r="A319" s="37" t="s">
        <v>895</v>
      </c>
      <c r="B319" s="37">
        <v>2014.0</v>
      </c>
      <c r="C319" s="69" t="s">
        <v>896</v>
      </c>
      <c r="D319" s="78"/>
      <c r="F319" s="74" t="str">
        <f t="shared" si="1"/>
        <v/>
      </c>
      <c r="G319" s="78"/>
      <c r="I319" s="74" t="str">
        <f t="shared" si="2"/>
        <v/>
      </c>
      <c r="J319" s="75" t="str">
        <f t="shared" si="3"/>
        <v>YES</v>
      </c>
      <c r="K319" s="37" t="s">
        <v>86</v>
      </c>
      <c r="L319" s="13"/>
      <c r="M319" s="76"/>
      <c r="N319" s="75" t="str">
        <f t="shared" si="4"/>
        <v>NO</v>
      </c>
      <c r="O319" s="76"/>
      <c r="P319" s="76"/>
      <c r="Q319" s="75" t="str">
        <f t="shared" si="5"/>
        <v/>
      </c>
      <c r="R319" s="75" t="str">
        <f t="shared" si="6"/>
        <v>NO</v>
      </c>
      <c r="S319" s="75"/>
      <c r="T319" s="75"/>
      <c r="U319" s="75" t="str">
        <f t="shared" si="8"/>
        <v/>
      </c>
      <c r="V319" s="76"/>
      <c r="W319" s="14"/>
    </row>
    <row r="320">
      <c r="A320" s="37" t="s">
        <v>897</v>
      </c>
      <c r="B320" s="37">
        <v>2014.0</v>
      </c>
      <c r="C320" s="69" t="s">
        <v>898</v>
      </c>
      <c r="D320" s="78"/>
      <c r="E320" s="13" t="s">
        <v>247</v>
      </c>
      <c r="F320" s="74" t="str">
        <f t="shared" si="1"/>
        <v>YES</v>
      </c>
      <c r="G320" s="78"/>
      <c r="H320" s="13" t="s">
        <v>247</v>
      </c>
      <c r="I320" s="74" t="str">
        <f t="shared" si="2"/>
        <v>YES</v>
      </c>
      <c r="J320" s="75" t="str">
        <f t="shared" si="3"/>
        <v>YES</v>
      </c>
      <c r="K320" s="37" t="s">
        <v>86</v>
      </c>
      <c r="L320" s="13"/>
      <c r="M320" s="76"/>
      <c r="N320" s="75" t="str">
        <f t="shared" si="4"/>
        <v>NO</v>
      </c>
      <c r="O320" s="76"/>
      <c r="P320" s="76"/>
      <c r="Q320" s="75" t="str">
        <f t="shared" si="5"/>
        <v/>
      </c>
      <c r="R320" s="75" t="str">
        <f t="shared" si="6"/>
        <v>NO</v>
      </c>
      <c r="S320" s="75"/>
      <c r="T320" s="75"/>
      <c r="U320" s="75" t="str">
        <f t="shared" si="8"/>
        <v/>
      </c>
      <c r="V320" s="76"/>
      <c r="W320" s="14"/>
    </row>
    <row r="321">
      <c r="A321" s="37" t="s">
        <v>1457</v>
      </c>
      <c r="B321" s="37">
        <v>2015.0</v>
      </c>
      <c r="C321" s="69" t="s">
        <v>900</v>
      </c>
      <c r="D321" s="78"/>
      <c r="F321" s="74" t="str">
        <f t="shared" si="1"/>
        <v/>
      </c>
      <c r="G321" s="78"/>
      <c r="I321" s="74" t="str">
        <f t="shared" si="2"/>
        <v/>
      </c>
      <c r="J321" s="75" t="str">
        <f t="shared" si="3"/>
        <v>YES</v>
      </c>
      <c r="K321" s="37" t="s">
        <v>86</v>
      </c>
      <c r="L321" s="13" t="s">
        <v>32</v>
      </c>
      <c r="M321" s="75" t="s">
        <v>142</v>
      </c>
      <c r="N321" s="75" t="str">
        <f t="shared" si="4"/>
        <v>NO</v>
      </c>
      <c r="O321" s="76"/>
      <c r="P321" s="75"/>
      <c r="Q321" s="75" t="str">
        <f t="shared" si="5"/>
        <v/>
      </c>
      <c r="R321" s="75" t="str">
        <f t="shared" si="6"/>
        <v>NO</v>
      </c>
      <c r="S321" s="75"/>
      <c r="T321" s="75"/>
      <c r="U321" s="75" t="str">
        <f t="shared" si="8"/>
        <v/>
      </c>
      <c r="V321" s="76"/>
      <c r="W321" s="14"/>
    </row>
    <row r="322">
      <c r="A322" s="37" t="s">
        <v>901</v>
      </c>
      <c r="B322" s="37">
        <v>2011.0</v>
      </c>
      <c r="C322" s="69" t="s">
        <v>902</v>
      </c>
      <c r="D322" s="71" t="s">
        <v>95</v>
      </c>
      <c r="E322" s="13" t="s">
        <v>95</v>
      </c>
      <c r="F322" s="74" t="str">
        <f t="shared" si="1"/>
        <v>YES</v>
      </c>
      <c r="G322" s="78"/>
      <c r="H322" s="13" t="s">
        <v>247</v>
      </c>
      <c r="I322" s="74" t="str">
        <f t="shared" si="2"/>
        <v>YES</v>
      </c>
      <c r="J322" s="75" t="str">
        <f t="shared" si="3"/>
        <v>NO</v>
      </c>
      <c r="K322" s="20"/>
      <c r="M322" s="76"/>
      <c r="N322" s="75" t="str">
        <f t="shared" si="4"/>
        <v>NO</v>
      </c>
      <c r="O322" s="76"/>
      <c r="P322" s="76"/>
      <c r="Q322" s="75" t="str">
        <f t="shared" si="5"/>
        <v/>
      </c>
      <c r="R322" s="75" t="str">
        <f t="shared" si="6"/>
        <v>NO</v>
      </c>
      <c r="S322" s="75"/>
      <c r="T322" s="75"/>
      <c r="U322" s="75" t="str">
        <f t="shared" si="8"/>
        <v/>
      </c>
      <c r="V322" s="76"/>
      <c r="W322" s="14"/>
    </row>
    <row r="323">
      <c r="A323" s="37" t="s">
        <v>903</v>
      </c>
      <c r="B323" s="37">
        <v>2012.0</v>
      </c>
      <c r="C323" s="69" t="s">
        <v>904</v>
      </c>
      <c r="D323" s="78"/>
      <c r="E323" s="13" t="s">
        <v>247</v>
      </c>
      <c r="F323" s="74" t="str">
        <f t="shared" si="1"/>
        <v>YES</v>
      </c>
      <c r="G323" s="78"/>
      <c r="H323" s="13" t="s">
        <v>247</v>
      </c>
      <c r="I323" s="74" t="str">
        <f t="shared" si="2"/>
        <v>YES</v>
      </c>
      <c r="J323" s="75" t="str">
        <f t="shared" si="3"/>
        <v>YES</v>
      </c>
      <c r="K323" s="37" t="s">
        <v>199</v>
      </c>
      <c r="L323" s="13" t="s">
        <v>7</v>
      </c>
      <c r="M323" s="75" t="s">
        <v>142</v>
      </c>
      <c r="N323" s="75" t="str">
        <f t="shared" si="4"/>
        <v>YES</v>
      </c>
      <c r="O323" s="75" t="s">
        <v>149</v>
      </c>
      <c r="P323" s="75"/>
      <c r="Q323" s="75" t="str">
        <f t="shared" si="5"/>
        <v/>
      </c>
      <c r="R323" s="75" t="str">
        <f t="shared" si="6"/>
        <v>NO</v>
      </c>
      <c r="S323" s="75"/>
      <c r="T323" s="75"/>
      <c r="U323" s="75" t="str">
        <f t="shared" si="8"/>
        <v/>
      </c>
      <c r="V323" s="76"/>
      <c r="W323" s="14"/>
    </row>
    <row r="324">
      <c r="A324" s="37" t="s">
        <v>905</v>
      </c>
      <c r="B324" s="37">
        <v>2014.0</v>
      </c>
      <c r="C324" s="69" t="s">
        <v>906</v>
      </c>
      <c r="D324" s="78"/>
      <c r="F324" s="74" t="str">
        <f t="shared" si="1"/>
        <v/>
      </c>
      <c r="G324" s="78"/>
      <c r="I324" s="74" t="str">
        <f t="shared" si="2"/>
        <v/>
      </c>
      <c r="J324" s="75" t="str">
        <f t="shared" si="3"/>
        <v>YES</v>
      </c>
      <c r="K324" s="37" t="s">
        <v>86</v>
      </c>
      <c r="L324" s="13" t="s">
        <v>32</v>
      </c>
      <c r="M324" s="75" t="s">
        <v>142</v>
      </c>
      <c r="N324" s="75" t="str">
        <f t="shared" si="4"/>
        <v>NO</v>
      </c>
      <c r="O324" s="76"/>
      <c r="P324" s="75"/>
      <c r="Q324" s="75" t="str">
        <f t="shared" si="5"/>
        <v/>
      </c>
      <c r="R324" s="75" t="str">
        <f t="shared" si="6"/>
        <v>NO</v>
      </c>
      <c r="S324" s="75"/>
      <c r="T324" s="75"/>
      <c r="U324" s="75" t="str">
        <f t="shared" si="8"/>
        <v/>
      </c>
      <c r="V324" s="76"/>
      <c r="W324" s="14"/>
    </row>
    <row r="325">
      <c r="A325" s="37" t="s">
        <v>907</v>
      </c>
      <c r="B325" s="37">
        <v>2011.0</v>
      </c>
      <c r="C325" s="69" t="s">
        <v>908</v>
      </c>
      <c r="D325" s="78"/>
      <c r="F325" s="74" t="str">
        <f t="shared" si="1"/>
        <v/>
      </c>
      <c r="G325" s="78"/>
      <c r="I325" s="74" t="str">
        <f t="shared" si="2"/>
        <v/>
      </c>
      <c r="J325" s="75" t="str">
        <f t="shared" si="3"/>
        <v>YES</v>
      </c>
      <c r="K325" s="37" t="s">
        <v>199</v>
      </c>
      <c r="L325" s="13" t="s">
        <v>32</v>
      </c>
      <c r="M325" s="75" t="s">
        <v>158</v>
      </c>
      <c r="N325" s="75" t="str">
        <f t="shared" si="4"/>
        <v>YES</v>
      </c>
      <c r="O325" s="75" t="s">
        <v>149</v>
      </c>
      <c r="P325" s="75"/>
      <c r="Q325" s="75" t="str">
        <f t="shared" si="5"/>
        <v/>
      </c>
      <c r="R325" s="75" t="str">
        <f t="shared" si="6"/>
        <v>NO</v>
      </c>
      <c r="S325" s="75"/>
      <c r="T325" s="75"/>
      <c r="U325" s="75" t="str">
        <f t="shared" si="8"/>
        <v/>
      </c>
      <c r="V325" s="76"/>
      <c r="W325" s="14"/>
    </row>
    <row r="326">
      <c r="A326" s="37" t="s">
        <v>909</v>
      </c>
      <c r="B326" s="37">
        <v>2013.0</v>
      </c>
      <c r="C326" s="69" t="s">
        <v>910</v>
      </c>
      <c r="D326" s="78"/>
      <c r="F326" s="74" t="str">
        <f t="shared" si="1"/>
        <v/>
      </c>
      <c r="G326" s="78"/>
      <c r="I326" s="74" t="str">
        <f t="shared" si="2"/>
        <v/>
      </c>
      <c r="J326" s="75" t="str">
        <f t="shared" si="3"/>
        <v>YES</v>
      </c>
      <c r="K326" s="37" t="s">
        <v>91</v>
      </c>
      <c r="M326" s="76"/>
      <c r="N326" s="75" t="str">
        <f t="shared" si="4"/>
        <v>NO</v>
      </c>
      <c r="O326" s="76"/>
      <c r="P326" s="76"/>
      <c r="Q326" s="75" t="str">
        <f t="shared" si="5"/>
        <v/>
      </c>
      <c r="R326" s="75" t="str">
        <f t="shared" si="6"/>
        <v>NO</v>
      </c>
      <c r="S326" s="75"/>
      <c r="T326" s="75"/>
      <c r="U326" s="75" t="str">
        <f t="shared" si="8"/>
        <v/>
      </c>
      <c r="V326" s="76"/>
      <c r="W326" s="14"/>
    </row>
    <row r="327">
      <c r="A327" s="37" t="s">
        <v>911</v>
      </c>
      <c r="B327" s="37">
        <v>2012.0</v>
      </c>
      <c r="C327" s="69" t="s">
        <v>912</v>
      </c>
      <c r="D327" s="71" t="s">
        <v>95</v>
      </c>
      <c r="E327" s="13" t="s">
        <v>95</v>
      </c>
      <c r="F327" s="74" t="str">
        <f t="shared" si="1"/>
        <v>YES</v>
      </c>
      <c r="G327" s="78"/>
      <c r="H327" s="13" t="s">
        <v>247</v>
      </c>
      <c r="I327" s="74" t="str">
        <f t="shared" si="2"/>
        <v>YES</v>
      </c>
      <c r="J327" s="75" t="str">
        <f t="shared" si="3"/>
        <v>NO</v>
      </c>
      <c r="K327" s="20"/>
      <c r="M327" s="76"/>
      <c r="N327" s="75" t="str">
        <f t="shared" si="4"/>
        <v>NO</v>
      </c>
      <c r="O327" s="76"/>
      <c r="P327" s="76"/>
      <c r="Q327" s="75" t="str">
        <f t="shared" si="5"/>
        <v/>
      </c>
      <c r="R327" s="75" t="str">
        <f t="shared" si="6"/>
        <v>NO</v>
      </c>
      <c r="S327" s="75"/>
      <c r="T327" s="75"/>
      <c r="U327" s="75" t="str">
        <f t="shared" si="8"/>
        <v/>
      </c>
      <c r="V327" s="76"/>
      <c r="W327" s="14"/>
    </row>
    <row r="328">
      <c r="A328" s="37" t="s">
        <v>913</v>
      </c>
      <c r="B328" s="37">
        <v>2013.0</v>
      </c>
      <c r="C328" s="69" t="s">
        <v>914</v>
      </c>
      <c r="D328" s="78"/>
      <c r="F328" s="74" t="str">
        <f t="shared" si="1"/>
        <v/>
      </c>
      <c r="G328" s="78"/>
      <c r="I328" s="74" t="str">
        <f t="shared" si="2"/>
        <v/>
      </c>
      <c r="J328" s="75" t="str">
        <f t="shared" si="3"/>
        <v>YES</v>
      </c>
      <c r="K328" s="37" t="s">
        <v>130</v>
      </c>
      <c r="L328" s="13" t="s">
        <v>32</v>
      </c>
      <c r="M328" s="75" t="s">
        <v>158</v>
      </c>
      <c r="N328" s="75" t="str">
        <f t="shared" si="4"/>
        <v>YES</v>
      </c>
      <c r="O328" s="75" t="s">
        <v>131</v>
      </c>
      <c r="P328" s="75"/>
      <c r="Q328" s="75" t="str">
        <f t="shared" si="5"/>
        <v/>
      </c>
      <c r="R328" s="75" t="str">
        <f t="shared" si="6"/>
        <v>YES</v>
      </c>
      <c r="S328" s="75"/>
      <c r="T328" s="75"/>
      <c r="U328" s="75" t="str">
        <f t="shared" si="8"/>
        <v/>
      </c>
      <c r="V328" s="76"/>
      <c r="W328" s="14"/>
    </row>
    <row r="329">
      <c r="A329" s="37" t="s">
        <v>917</v>
      </c>
      <c r="B329" s="37">
        <v>2013.0</v>
      </c>
      <c r="C329" s="69" t="s">
        <v>471</v>
      </c>
      <c r="D329" s="71" t="s">
        <v>95</v>
      </c>
      <c r="E329" s="13" t="s">
        <v>95</v>
      </c>
      <c r="F329" s="74" t="str">
        <f t="shared" si="1"/>
        <v>YES</v>
      </c>
      <c r="G329" s="78"/>
      <c r="H329" s="13" t="s">
        <v>247</v>
      </c>
      <c r="I329" s="74" t="str">
        <f t="shared" si="2"/>
        <v>YES</v>
      </c>
      <c r="J329" s="75" t="str">
        <f t="shared" si="3"/>
        <v>NO</v>
      </c>
      <c r="K329" s="20"/>
      <c r="M329" s="76"/>
      <c r="N329" s="75" t="str">
        <f t="shared" si="4"/>
        <v>NO</v>
      </c>
      <c r="O329" s="76"/>
      <c r="P329" s="76"/>
      <c r="Q329" s="75" t="str">
        <f t="shared" si="5"/>
        <v/>
      </c>
      <c r="R329" s="75" t="str">
        <f t="shared" si="6"/>
        <v>NO</v>
      </c>
      <c r="S329" s="75"/>
      <c r="T329" s="75"/>
      <c r="U329" s="75" t="str">
        <f t="shared" si="8"/>
        <v/>
      </c>
      <c r="V329" s="76"/>
      <c r="W329" s="14"/>
    </row>
    <row r="330">
      <c r="A330" s="37" t="s">
        <v>918</v>
      </c>
      <c r="B330" s="37">
        <v>2009.0</v>
      </c>
      <c r="C330" s="69" t="s">
        <v>919</v>
      </c>
      <c r="D330" s="71" t="s">
        <v>95</v>
      </c>
      <c r="E330" s="13" t="s">
        <v>95</v>
      </c>
      <c r="F330" s="74" t="str">
        <f t="shared" si="1"/>
        <v>YES</v>
      </c>
      <c r="G330" s="78"/>
      <c r="H330" s="13" t="s">
        <v>247</v>
      </c>
      <c r="I330" s="74" t="str">
        <f t="shared" si="2"/>
        <v>YES</v>
      </c>
      <c r="J330" s="75" t="str">
        <f t="shared" si="3"/>
        <v>NO</v>
      </c>
      <c r="K330" s="20"/>
      <c r="M330" s="76"/>
      <c r="N330" s="75" t="str">
        <f t="shared" si="4"/>
        <v>NO</v>
      </c>
      <c r="O330" s="76"/>
      <c r="P330" s="76"/>
      <c r="Q330" s="75" t="str">
        <f t="shared" si="5"/>
        <v/>
      </c>
      <c r="R330" s="75" t="str">
        <f t="shared" si="6"/>
        <v>NO</v>
      </c>
      <c r="S330" s="75"/>
      <c r="T330" s="75"/>
      <c r="U330" s="75" t="str">
        <f t="shared" si="8"/>
        <v/>
      </c>
      <c r="V330" s="76"/>
      <c r="W330" s="14"/>
    </row>
    <row r="331">
      <c r="A331" s="37" t="s">
        <v>920</v>
      </c>
      <c r="B331" s="37">
        <v>2014.0</v>
      </c>
      <c r="C331" s="69" t="s">
        <v>921</v>
      </c>
      <c r="D331" s="71" t="s">
        <v>95</v>
      </c>
      <c r="E331" s="13"/>
      <c r="F331" s="74" t="str">
        <f t="shared" si="1"/>
        <v/>
      </c>
      <c r="G331" s="78"/>
      <c r="H331" s="13"/>
      <c r="I331" s="74" t="str">
        <f t="shared" si="2"/>
        <v/>
      </c>
      <c r="J331" s="75" t="str">
        <f t="shared" si="3"/>
        <v>NO</v>
      </c>
      <c r="K331" s="20"/>
      <c r="M331" s="76"/>
      <c r="N331" s="75" t="str">
        <f t="shared" si="4"/>
        <v>NO</v>
      </c>
      <c r="O331" s="76"/>
      <c r="P331" s="76"/>
      <c r="Q331" s="75" t="str">
        <f t="shared" si="5"/>
        <v/>
      </c>
      <c r="R331" s="75" t="str">
        <f t="shared" si="6"/>
        <v>NO</v>
      </c>
      <c r="S331" s="75"/>
      <c r="T331" s="75"/>
      <c r="U331" s="75" t="str">
        <f t="shared" si="8"/>
        <v/>
      </c>
      <c r="V331" s="76"/>
      <c r="W331" s="14"/>
    </row>
    <row r="332">
      <c r="A332" s="37" t="s">
        <v>922</v>
      </c>
      <c r="B332" s="37">
        <v>2015.0</v>
      </c>
      <c r="C332" s="69" t="s">
        <v>923</v>
      </c>
      <c r="D332" s="71" t="s">
        <v>95</v>
      </c>
      <c r="E332" s="13"/>
      <c r="F332" s="74" t="str">
        <f t="shared" si="1"/>
        <v/>
      </c>
      <c r="G332" s="78"/>
      <c r="H332" s="13"/>
      <c r="I332" s="74" t="str">
        <f t="shared" si="2"/>
        <v/>
      </c>
      <c r="J332" s="75" t="str">
        <f t="shared" si="3"/>
        <v>NO</v>
      </c>
      <c r="K332" s="20"/>
      <c r="M332" s="76"/>
      <c r="N332" s="75" t="str">
        <f t="shared" si="4"/>
        <v>NO</v>
      </c>
      <c r="O332" s="76"/>
      <c r="P332" s="76"/>
      <c r="Q332" s="75" t="str">
        <f t="shared" si="5"/>
        <v/>
      </c>
      <c r="R332" s="75" t="str">
        <f t="shared" si="6"/>
        <v>NO</v>
      </c>
      <c r="S332" s="75"/>
      <c r="T332" s="75"/>
      <c r="U332" s="75" t="str">
        <f t="shared" si="8"/>
        <v/>
      </c>
      <c r="V332" s="76"/>
      <c r="W332" s="14"/>
    </row>
    <row r="333">
      <c r="A333" s="37" t="s">
        <v>924</v>
      </c>
      <c r="B333" s="37">
        <v>2015.0</v>
      </c>
      <c r="C333" s="69" t="s">
        <v>925</v>
      </c>
      <c r="D333" s="71" t="s">
        <v>95</v>
      </c>
      <c r="E333" s="13"/>
      <c r="F333" s="74" t="str">
        <f t="shared" si="1"/>
        <v/>
      </c>
      <c r="G333" s="78"/>
      <c r="H333" s="13"/>
      <c r="I333" s="74" t="str">
        <f t="shared" si="2"/>
        <v/>
      </c>
      <c r="J333" s="75" t="str">
        <f t="shared" si="3"/>
        <v>NO</v>
      </c>
      <c r="K333" s="20"/>
      <c r="M333" s="76"/>
      <c r="N333" s="75" t="str">
        <f t="shared" si="4"/>
        <v>NO</v>
      </c>
      <c r="O333" s="76"/>
      <c r="P333" s="76"/>
      <c r="Q333" s="75" t="str">
        <f t="shared" si="5"/>
        <v/>
      </c>
      <c r="R333" s="75" t="str">
        <f t="shared" si="6"/>
        <v>NO</v>
      </c>
      <c r="S333" s="75"/>
      <c r="T333" s="75"/>
      <c r="U333" s="75" t="str">
        <f t="shared" si="8"/>
        <v/>
      </c>
      <c r="V333" s="76"/>
      <c r="W333" s="14"/>
    </row>
    <row r="334">
      <c r="A334" s="37" t="s">
        <v>926</v>
      </c>
      <c r="B334" s="37">
        <v>2013.0</v>
      </c>
      <c r="C334" s="69" t="s">
        <v>927</v>
      </c>
      <c r="D334" s="78"/>
      <c r="E334" s="13" t="s">
        <v>247</v>
      </c>
      <c r="F334" s="74" t="str">
        <f t="shared" si="1"/>
        <v>YES</v>
      </c>
      <c r="G334" s="78"/>
      <c r="H334" s="13" t="s">
        <v>247</v>
      </c>
      <c r="I334" s="74" t="str">
        <f t="shared" si="2"/>
        <v>YES</v>
      </c>
      <c r="J334" s="75" t="str">
        <f t="shared" si="3"/>
        <v>YES</v>
      </c>
      <c r="K334" s="37" t="s">
        <v>86</v>
      </c>
      <c r="L334" s="13" t="s">
        <v>37</v>
      </c>
      <c r="M334" s="75" t="s">
        <v>158</v>
      </c>
      <c r="N334" s="75" t="str">
        <f t="shared" si="4"/>
        <v>NO</v>
      </c>
      <c r="O334" s="76"/>
      <c r="P334" s="75"/>
      <c r="Q334" s="75" t="str">
        <f t="shared" si="5"/>
        <v/>
      </c>
      <c r="R334" s="75" t="str">
        <f t="shared" si="6"/>
        <v>NO</v>
      </c>
      <c r="S334" s="75"/>
      <c r="T334" s="75"/>
      <c r="U334" s="75" t="str">
        <f t="shared" si="8"/>
        <v/>
      </c>
      <c r="V334" s="76"/>
      <c r="W334" s="14"/>
    </row>
    <row r="335">
      <c r="A335" s="149" t="s">
        <v>928</v>
      </c>
      <c r="B335" s="37">
        <v>2014.0</v>
      </c>
      <c r="C335" s="69" t="s">
        <v>929</v>
      </c>
      <c r="D335" s="78"/>
      <c r="F335" s="74" t="str">
        <f t="shared" si="1"/>
        <v/>
      </c>
      <c r="G335" s="78"/>
      <c r="I335" s="74" t="str">
        <f t="shared" si="2"/>
        <v/>
      </c>
      <c r="J335" s="75" t="str">
        <f t="shared" si="3"/>
        <v>YES</v>
      </c>
      <c r="K335" s="37" t="s">
        <v>86</v>
      </c>
      <c r="M335" s="76"/>
      <c r="N335" s="75" t="str">
        <f t="shared" si="4"/>
        <v>NO</v>
      </c>
      <c r="O335" s="76"/>
      <c r="P335" s="76"/>
      <c r="Q335" s="75" t="str">
        <f t="shared" si="5"/>
        <v/>
      </c>
      <c r="R335" s="75" t="str">
        <f t="shared" si="6"/>
        <v>NO</v>
      </c>
      <c r="S335" s="75"/>
      <c r="T335" s="75"/>
      <c r="U335" s="75" t="str">
        <f t="shared" si="8"/>
        <v/>
      </c>
      <c r="V335" s="76"/>
      <c r="W335" s="14"/>
    </row>
    <row r="336">
      <c r="A336" s="37" t="s">
        <v>930</v>
      </c>
      <c r="B336" s="37">
        <v>2012.0</v>
      </c>
      <c r="C336" s="69" t="s">
        <v>931</v>
      </c>
      <c r="D336" s="71" t="s">
        <v>95</v>
      </c>
      <c r="E336" s="13"/>
      <c r="F336" s="74" t="str">
        <f t="shared" si="1"/>
        <v/>
      </c>
      <c r="G336" s="78"/>
      <c r="H336" s="13"/>
      <c r="I336" s="74" t="str">
        <f t="shared" si="2"/>
        <v/>
      </c>
      <c r="J336" s="75" t="str">
        <f t="shared" si="3"/>
        <v>NO</v>
      </c>
      <c r="K336" s="20"/>
      <c r="M336" s="76"/>
      <c r="N336" s="75" t="str">
        <f t="shared" si="4"/>
        <v>NO</v>
      </c>
      <c r="O336" s="76"/>
      <c r="P336" s="76"/>
      <c r="Q336" s="75" t="str">
        <f t="shared" si="5"/>
        <v/>
      </c>
      <c r="R336" s="75" t="str">
        <f t="shared" si="6"/>
        <v>NO</v>
      </c>
      <c r="S336" s="75"/>
      <c r="T336" s="75"/>
      <c r="U336" s="75" t="str">
        <f t="shared" si="8"/>
        <v/>
      </c>
      <c r="V336" s="76"/>
      <c r="W336" s="14"/>
    </row>
    <row r="337">
      <c r="A337" s="37" t="s">
        <v>932</v>
      </c>
      <c r="B337" s="37">
        <v>2014.0</v>
      </c>
      <c r="C337" s="69" t="s">
        <v>933</v>
      </c>
      <c r="D337" s="71" t="s">
        <v>95</v>
      </c>
      <c r="E337" s="13"/>
      <c r="F337" s="74" t="str">
        <f t="shared" si="1"/>
        <v/>
      </c>
      <c r="G337" s="78"/>
      <c r="H337" s="13"/>
      <c r="I337" s="74" t="str">
        <f t="shared" si="2"/>
        <v/>
      </c>
      <c r="J337" s="75" t="str">
        <f t="shared" si="3"/>
        <v>NO</v>
      </c>
      <c r="K337" s="20"/>
      <c r="M337" s="76"/>
      <c r="N337" s="75" t="str">
        <f t="shared" si="4"/>
        <v>NO</v>
      </c>
      <c r="O337" s="76"/>
      <c r="P337" s="76"/>
      <c r="Q337" s="75" t="str">
        <f t="shared" si="5"/>
        <v/>
      </c>
      <c r="R337" s="75" t="str">
        <f t="shared" si="6"/>
        <v>NO</v>
      </c>
      <c r="S337" s="75"/>
      <c r="T337" s="75"/>
      <c r="U337" s="75" t="str">
        <f t="shared" si="8"/>
        <v/>
      </c>
      <c r="V337" s="76"/>
      <c r="W337" s="14"/>
    </row>
    <row r="338">
      <c r="A338" s="37" t="s">
        <v>934</v>
      </c>
      <c r="B338" s="37">
        <v>2013.0</v>
      </c>
      <c r="C338" s="69" t="s">
        <v>935</v>
      </c>
      <c r="D338" s="78"/>
      <c r="F338" s="74" t="str">
        <f t="shared" si="1"/>
        <v/>
      </c>
      <c r="G338" s="71" t="s">
        <v>95</v>
      </c>
      <c r="I338" s="74" t="str">
        <f t="shared" si="2"/>
        <v/>
      </c>
      <c r="J338" s="75" t="str">
        <f t="shared" si="3"/>
        <v>NO</v>
      </c>
      <c r="K338" s="20"/>
      <c r="M338" s="76"/>
      <c r="N338" s="75" t="str">
        <f t="shared" si="4"/>
        <v>NO</v>
      </c>
      <c r="O338" s="76"/>
      <c r="P338" s="76"/>
      <c r="Q338" s="75" t="str">
        <f t="shared" si="5"/>
        <v/>
      </c>
      <c r="R338" s="75" t="str">
        <f t="shared" si="6"/>
        <v>NO</v>
      </c>
      <c r="S338" s="75"/>
      <c r="T338" s="75"/>
      <c r="U338" s="75" t="str">
        <f t="shared" si="8"/>
        <v/>
      </c>
      <c r="V338" s="76"/>
      <c r="W338" s="14"/>
    </row>
    <row r="339">
      <c r="A339" s="37" t="s">
        <v>936</v>
      </c>
      <c r="B339" s="37">
        <v>2014.0</v>
      </c>
      <c r="C339" s="69" t="s">
        <v>937</v>
      </c>
      <c r="D339" s="78"/>
      <c r="F339" s="74" t="str">
        <f t="shared" si="1"/>
        <v/>
      </c>
      <c r="G339" s="78"/>
      <c r="I339" s="74" t="str">
        <f t="shared" si="2"/>
        <v/>
      </c>
      <c r="J339" s="75" t="str">
        <f t="shared" si="3"/>
        <v>YES</v>
      </c>
      <c r="K339" s="37" t="s">
        <v>130</v>
      </c>
      <c r="M339" s="76"/>
      <c r="N339" s="75" t="str">
        <f t="shared" si="4"/>
        <v>YES</v>
      </c>
      <c r="O339" s="75" t="s">
        <v>131</v>
      </c>
      <c r="P339" s="76"/>
      <c r="Q339" s="75" t="str">
        <f t="shared" si="5"/>
        <v/>
      </c>
      <c r="R339" s="75" t="str">
        <f t="shared" si="6"/>
        <v>YES</v>
      </c>
      <c r="S339" s="75" t="s">
        <v>131</v>
      </c>
      <c r="T339" s="75" t="s">
        <v>131</v>
      </c>
      <c r="U339" s="75" t="str">
        <f t="shared" si="8"/>
        <v>YES</v>
      </c>
      <c r="V339" s="75" t="s">
        <v>285</v>
      </c>
      <c r="W339" s="14"/>
    </row>
    <row r="340">
      <c r="A340" s="37" t="s">
        <v>939</v>
      </c>
      <c r="B340" s="37">
        <v>2016.0</v>
      </c>
      <c r="C340" s="69" t="s">
        <v>940</v>
      </c>
      <c r="D340" s="71" t="s">
        <v>95</v>
      </c>
      <c r="E340" s="13"/>
      <c r="F340" s="74" t="str">
        <f t="shared" si="1"/>
        <v/>
      </c>
      <c r="G340" s="78"/>
      <c r="H340" s="13"/>
      <c r="I340" s="74" t="str">
        <f t="shared" si="2"/>
        <v/>
      </c>
      <c r="J340" s="75" t="str">
        <f t="shared" si="3"/>
        <v>NO</v>
      </c>
      <c r="K340" s="20"/>
      <c r="M340" s="76"/>
      <c r="N340" s="75" t="str">
        <f t="shared" si="4"/>
        <v>NO</v>
      </c>
      <c r="O340" s="76"/>
      <c r="P340" s="76"/>
      <c r="Q340" s="75" t="str">
        <f t="shared" si="5"/>
        <v/>
      </c>
      <c r="R340" s="75" t="str">
        <f t="shared" si="6"/>
        <v>NO</v>
      </c>
      <c r="S340" s="75"/>
      <c r="T340" s="75"/>
      <c r="U340" s="75" t="str">
        <f t="shared" si="8"/>
        <v/>
      </c>
      <c r="V340" s="76"/>
      <c r="W340" s="14"/>
    </row>
    <row r="341">
      <c r="A341" s="37" t="s">
        <v>942</v>
      </c>
      <c r="B341" s="37">
        <v>2014.0</v>
      </c>
      <c r="C341" s="69" t="s">
        <v>943</v>
      </c>
      <c r="D341" s="78"/>
      <c r="F341" s="74" t="str">
        <f t="shared" si="1"/>
        <v/>
      </c>
      <c r="G341" s="78"/>
      <c r="I341" s="74" t="str">
        <f t="shared" si="2"/>
        <v/>
      </c>
      <c r="J341" s="75" t="str">
        <f t="shared" si="3"/>
        <v>YES</v>
      </c>
      <c r="K341" s="37" t="s">
        <v>91</v>
      </c>
      <c r="L341" s="13" t="s">
        <v>32</v>
      </c>
      <c r="M341" s="75" t="s">
        <v>142</v>
      </c>
      <c r="N341" s="75" t="str">
        <f t="shared" si="4"/>
        <v>NO</v>
      </c>
      <c r="O341" s="76"/>
      <c r="P341" s="75"/>
      <c r="Q341" s="75" t="str">
        <f t="shared" si="5"/>
        <v/>
      </c>
      <c r="R341" s="75" t="str">
        <f t="shared" si="6"/>
        <v>NO</v>
      </c>
      <c r="S341" s="75"/>
      <c r="T341" s="75"/>
      <c r="U341" s="75" t="str">
        <f t="shared" si="8"/>
        <v/>
      </c>
      <c r="V341" s="76"/>
      <c r="W341" s="14"/>
    </row>
    <row r="342">
      <c r="A342" s="37" t="s">
        <v>944</v>
      </c>
      <c r="B342" s="37">
        <v>2012.0</v>
      </c>
      <c r="C342" s="69" t="s">
        <v>945</v>
      </c>
      <c r="D342" s="78"/>
      <c r="E342" s="13" t="s">
        <v>247</v>
      </c>
      <c r="F342" s="74" t="str">
        <f t="shared" si="1"/>
        <v>YES</v>
      </c>
      <c r="G342" s="78"/>
      <c r="H342" s="13" t="s">
        <v>247</v>
      </c>
      <c r="I342" s="74" t="str">
        <f t="shared" si="2"/>
        <v>YES</v>
      </c>
      <c r="J342" s="75" t="str">
        <f t="shared" si="3"/>
        <v>YES</v>
      </c>
      <c r="K342" s="37" t="s">
        <v>130</v>
      </c>
      <c r="M342" s="76"/>
      <c r="N342" s="75" t="str">
        <f t="shared" si="4"/>
        <v>YES</v>
      </c>
      <c r="O342" s="75" t="s">
        <v>149</v>
      </c>
      <c r="P342" s="75" t="s">
        <v>149</v>
      </c>
      <c r="Q342" s="75" t="str">
        <f t="shared" si="5"/>
        <v>YES</v>
      </c>
      <c r="R342" s="75" t="str">
        <f t="shared" si="6"/>
        <v>NO</v>
      </c>
      <c r="S342" s="75"/>
      <c r="T342" s="75"/>
      <c r="U342" s="75" t="str">
        <f t="shared" si="8"/>
        <v/>
      </c>
      <c r="V342" s="76"/>
      <c r="W342" s="14"/>
    </row>
    <row r="343">
      <c r="A343" s="37" t="s">
        <v>946</v>
      </c>
      <c r="B343" s="37">
        <v>2012.0</v>
      </c>
      <c r="C343" s="69" t="s">
        <v>947</v>
      </c>
      <c r="D343" s="78"/>
      <c r="F343" s="74" t="str">
        <f t="shared" si="1"/>
        <v/>
      </c>
      <c r="G343" s="78"/>
      <c r="I343" s="74" t="str">
        <f t="shared" si="2"/>
        <v/>
      </c>
      <c r="J343" s="75" t="str">
        <f t="shared" si="3"/>
        <v>YES</v>
      </c>
      <c r="K343" s="37" t="s">
        <v>91</v>
      </c>
      <c r="L343" s="13" t="s">
        <v>32</v>
      </c>
      <c r="M343" s="75" t="s">
        <v>142</v>
      </c>
      <c r="N343" s="75" t="str">
        <f t="shared" si="4"/>
        <v>NO</v>
      </c>
      <c r="O343" s="76"/>
      <c r="P343" s="75"/>
      <c r="Q343" s="75" t="str">
        <f t="shared" si="5"/>
        <v/>
      </c>
      <c r="R343" s="75" t="str">
        <f t="shared" si="6"/>
        <v>NO</v>
      </c>
      <c r="S343" s="75"/>
      <c r="T343" s="75"/>
      <c r="U343" s="75" t="str">
        <f t="shared" si="8"/>
        <v/>
      </c>
      <c r="V343" s="76"/>
      <c r="W343" s="14"/>
    </row>
    <row r="344">
      <c r="A344" s="37" t="s">
        <v>948</v>
      </c>
      <c r="B344" s="37">
        <v>2015.0</v>
      </c>
      <c r="C344" s="69" t="s">
        <v>949</v>
      </c>
      <c r="D344" s="71"/>
      <c r="E344" s="13" t="s">
        <v>95</v>
      </c>
      <c r="F344" s="74" t="str">
        <f t="shared" si="1"/>
        <v>NO</v>
      </c>
      <c r="G344" s="71" t="s">
        <v>95</v>
      </c>
      <c r="H344" s="13" t="s">
        <v>247</v>
      </c>
      <c r="I344" s="74" t="str">
        <f t="shared" si="2"/>
        <v>YES</v>
      </c>
      <c r="J344" s="75" t="str">
        <f t="shared" si="3"/>
        <v>NO</v>
      </c>
      <c r="K344" s="20"/>
      <c r="M344" s="76"/>
      <c r="N344" s="75" t="str">
        <f t="shared" si="4"/>
        <v>NO</v>
      </c>
      <c r="O344" s="76"/>
      <c r="P344" s="76"/>
      <c r="Q344" s="75" t="str">
        <f t="shared" si="5"/>
        <v/>
      </c>
      <c r="R344" s="75" t="str">
        <f t="shared" si="6"/>
        <v>NO</v>
      </c>
      <c r="S344" s="75"/>
      <c r="T344" s="75"/>
      <c r="U344" s="75" t="str">
        <f t="shared" si="8"/>
        <v/>
      </c>
      <c r="V344" s="76"/>
      <c r="W344" s="14"/>
    </row>
    <row r="345">
      <c r="A345" s="37" t="s">
        <v>950</v>
      </c>
      <c r="B345" s="37">
        <v>2015.0</v>
      </c>
      <c r="C345" s="69" t="s">
        <v>951</v>
      </c>
      <c r="D345" s="71" t="s">
        <v>95</v>
      </c>
      <c r="E345" s="13"/>
      <c r="F345" s="74" t="str">
        <f t="shared" si="1"/>
        <v/>
      </c>
      <c r="G345" s="78"/>
      <c r="H345" s="13"/>
      <c r="I345" s="74" t="str">
        <f t="shared" si="2"/>
        <v/>
      </c>
      <c r="J345" s="75" t="str">
        <f t="shared" si="3"/>
        <v>NO</v>
      </c>
      <c r="K345" s="20"/>
      <c r="M345" s="76"/>
      <c r="N345" s="75" t="str">
        <f t="shared" si="4"/>
        <v>NO</v>
      </c>
      <c r="O345" s="76"/>
      <c r="P345" s="76"/>
      <c r="Q345" s="75" t="str">
        <f t="shared" si="5"/>
        <v/>
      </c>
      <c r="R345" s="75" t="str">
        <f t="shared" si="6"/>
        <v>NO</v>
      </c>
      <c r="S345" s="75"/>
      <c r="T345" s="75"/>
      <c r="U345" s="75" t="str">
        <f t="shared" si="8"/>
        <v/>
      </c>
      <c r="V345" s="76"/>
      <c r="W345" s="14"/>
    </row>
    <row r="346">
      <c r="A346" s="37" t="s">
        <v>952</v>
      </c>
      <c r="B346" s="37">
        <v>2015.0</v>
      </c>
      <c r="C346" s="69" t="s">
        <v>953</v>
      </c>
      <c r="D346" s="71" t="s">
        <v>95</v>
      </c>
      <c r="E346" s="13"/>
      <c r="F346" s="74" t="str">
        <f t="shared" si="1"/>
        <v/>
      </c>
      <c r="G346" s="78"/>
      <c r="H346" s="13"/>
      <c r="I346" s="74" t="str">
        <f t="shared" si="2"/>
        <v/>
      </c>
      <c r="J346" s="75" t="str">
        <f t="shared" si="3"/>
        <v>NO</v>
      </c>
      <c r="K346" s="20"/>
      <c r="M346" s="76"/>
      <c r="N346" s="75" t="str">
        <f t="shared" si="4"/>
        <v>NO</v>
      </c>
      <c r="O346" s="76"/>
      <c r="P346" s="76"/>
      <c r="Q346" s="75" t="str">
        <f t="shared" si="5"/>
        <v/>
      </c>
      <c r="R346" s="75" t="str">
        <f t="shared" si="6"/>
        <v>NO</v>
      </c>
      <c r="S346" s="75"/>
      <c r="T346" s="75"/>
      <c r="U346" s="75" t="str">
        <f t="shared" si="8"/>
        <v/>
      </c>
      <c r="V346" s="76"/>
      <c r="W346" s="14"/>
    </row>
    <row r="347">
      <c r="A347" s="37" t="s">
        <v>954</v>
      </c>
      <c r="B347" s="37">
        <v>2011.0</v>
      </c>
      <c r="C347" s="69" t="s">
        <v>955</v>
      </c>
      <c r="D347" s="71" t="s">
        <v>95</v>
      </c>
      <c r="E347" s="13"/>
      <c r="F347" s="74" t="str">
        <f t="shared" si="1"/>
        <v/>
      </c>
      <c r="G347" s="78"/>
      <c r="H347" s="13"/>
      <c r="I347" s="74" t="str">
        <f t="shared" si="2"/>
        <v/>
      </c>
      <c r="J347" s="75" t="str">
        <f t="shared" si="3"/>
        <v>NO</v>
      </c>
      <c r="K347" s="20"/>
      <c r="M347" s="76"/>
      <c r="N347" s="75" t="str">
        <f t="shared" si="4"/>
        <v>NO</v>
      </c>
      <c r="O347" s="76"/>
      <c r="P347" s="76"/>
      <c r="Q347" s="75" t="str">
        <f t="shared" si="5"/>
        <v/>
      </c>
      <c r="R347" s="75" t="str">
        <f t="shared" si="6"/>
        <v>NO</v>
      </c>
      <c r="S347" s="75"/>
      <c r="T347" s="75"/>
      <c r="U347" s="75" t="str">
        <f t="shared" si="8"/>
        <v/>
      </c>
      <c r="V347" s="76"/>
      <c r="W347" s="14"/>
    </row>
    <row r="348">
      <c r="A348" s="37" t="s">
        <v>956</v>
      </c>
      <c r="B348" s="37">
        <v>2012.0</v>
      </c>
      <c r="C348" s="69" t="s">
        <v>957</v>
      </c>
      <c r="D348" s="78"/>
      <c r="F348" s="74" t="str">
        <f t="shared" si="1"/>
        <v/>
      </c>
      <c r="G348" s="78"/>
      <c r="I348" s="74" t="str">
        <f t="shared" si="2"/>
        <v/>
      </c>
      <c r="J348" s="75" t="str">
        <f t="shared" si="3"/>
        <v>YES</v>
      </c>
      <c r="K348" s="37" t="s">
        <v>86</v>
      </c>
      <c r="L348" s="13" t="s">
        <v>32</v>
      </c>
      <c r="M348" s="75" t="s">
        <v>142</v>
      </c>
      <c r="N348" s="75" t="str">
        <f t="shared" si="4"/>
        <v>NO</v>
      </c>
      <c r="O348" s="76"/>
      <c r="P348" s="75"/>
      <c r="Q348" s="75" t="str">
        <f t="shared" si="5"/>
        <v/>
      </c>
      <c r="R348" s="75" t="str">
        <f t="shared" si="6"/>
        <v>NO</v>
      </c>
      <c r="S348" s="75"/>
      <c r="T348" s="75"/>
      <c r="U348" s="75" t="str">
        <f t="shared" si="8"/>
        <v/>
      </c>
      <c r="V348" s="76"/>
      <c r="W348" s="14"/>
    </row>
    <row r="349">
      <c r="A349" s="37" t="s">
        <v>958</v>
      </c>
      <c r="B349" s="37">
        <v>2014.0</v>
      </c>
      <c r="C349" s="69" t="s">
        <v>959</v>
      </c>
      <c r="D349" s="71" t="s">
        <v>95</v>
      </c>
      <c r="E349" s="13"/>
      <c r="F349" s="74" t="str">
        <f t="shared" si="1"/>
        <v/>
      </c>
      <c r="G349" s="78"/>
      <c r="H349" s="13"/>
      <c r="I349" s="74" t="str">
        <f t="shared" si="2"/>
        <v/>
      </c>
      <c r="J349" s="75" t="str">
        <f t="shared" si="3"/>
        <v>NO</v>
      </c>
      <c r="K349" s="20"/>
      <c r="M349" s="76"/>
      <c r="N349" s="75" t="str">
        <f t="shared" si="4"/>
        <v>NO</v>
      </c>
      <c r="O349" s="76"/>
      <c r="P349" s="76"/>
      <c r="Q349" s="75" t="str">
        <f t="shared" si="5"/>
        <v/>
      </c>
      <c r="R349" s="75" t="str">
        <f t="shared" si="6"/>
        <v>NO</v>
      </c>
      <c r="S349" s="75"/>
      <c r="T349" s="75"/>
      <c r="U349" s="75" t="str">
        <f t="shared" si="8"/>
        <v/>
      </c>
      <c r="V349" s="76"/>
      <c r="W349" s="14"/>
    </row>
    <row r="350">
      <c r="A350" s="37" t="s">
        <v>960</v>
      </c>
      <c r="B350" s="37">
        <v>2013.0</v>
      </c>
      <c r="C350" s="69" t="s">
        <v>961</v>
      </c>
      <c r="D350" s="71" t="s">
        <v>95</v>
      </c>
      <c r="E350" s="13"/>
      <c r="F350" s="74" t="str">
        <f t="shared" si="1"/>
        <v/>
      </c>
      <c r="G350" s="78"/>
      <c r="H350" s="13"/>
      <c r="I350" s="74" t="str">
        <f t="shared" si="2"/>
        <v/>
      </c>
      <c r="J350" s="75" t="str">
        <f t="shared" si="3"/>
        <v>NO</v>
      </c>
      <c r="K350" s="20"/>
      <c r="M350" s="76"/>
      <c r="N350" s="75" t="str">
        <f t="shared" si="4"/>
        <v>NO</v>
      </c>
      <c r="O350" s="76"/>
      <c r="P350" s="76"/>
      <c r="Q350" s="75" t="str">
        <f t="shared" si="5"/>
        <v/>
      </c>
      <c r="R350" s="75" t="str">
        <f t="shared" si="6"/>
        <v>NO</v>
      </c>
      <c r="S350" s="75"/>
      <c r="T350" s="75"/>
      <c r="U350" s="75" t="str">
        <f t="shared" si="8"/>
        <v/>
      </c>
      <c r="V350" s="76"/>
      <c r="W350" s="14"/>
    </row>
    <row r="351">
      <c r="A351" s="37" t="s">
        <v>962</v>
      </c>
      <c r="B351" s="37">
        <v>2013.0</v>
      </c>
      <c r="C351" s="69" t="s">
        <v>963</v>
      </c>
      <c r="D351" s="71"/>
      <c r="E351" s="13"/>
      <c r="F351" s="74" t="str">
        <f t="shared" si="1"/>
        <v/>
      </c>
      <c r="G351" s="78"/>
      <c r="H351" s="13"/>
      <c r="I351" s="74" t="str">
        <f t="shared" si="2"/>
        <v/>
      </c>
      <c r="J351" s="75" t="str">
        <f t="shared" si="3"/>
        <v>YES</v>
      </c>
      <c r="K351" s="37" t="s">
        <v>86</v>
      </c>
      <c r="L351" s="13" t="s">
        <v>32</v>
      </c>
      <c r="M351" s="75" t="s">
        <v>142</v>
      </c>
      <c r="N351" s="75" t="str">
        <f t="shared" si="4"/>
        <v>NO</v>
      </c>
      <c r="O351" s="76"/>
      <c r="P351" s="75"/>
      <c r="Q351" s="75" t="str">
        <f t="shared" si="5"/>
        <v/>
      </c>
      <c r="R351" s="75" t="str">
        <f t="shared" si="6"/>
        <v>NO</v>
      </c>
      <c r="S351" s="75"/>
      <c r="T351" s="75"/>
      <c r="U351" s="75" t="str">
        <f t="shared" si="8"/>
        <v/>
      </c>
      <c r="V351" s="76"/>
      <c r="W351" s="14"/>
    </row>
    <row r="352">
      <c r="A352" s="37" t="s">
        <v>964</v>
      </c>
      <c r="B352" s="37">
        <v>2014.0</v>
      </c>
      <c r="C352" s="69" t="s">
        <v>965</v>
      </c>
      <c r="D352" s="78"/>
      <c r="F352" s="74" t="str">
        <f t="shared" si="1"/>
        <v/>
      </c>
      <c r="G352" s="78"/>
      <c r="I352" s="74" t="str">
        <f t="shared" si="2"/>
        <v/>
      </c>
      <c r="J352" s="75" t="str">
        <f t="shared" si="3"/>
        <v>YES</v>
      </c>
      <c r="K352" s="37" t="s">
        <v>91</v>
      </c>
      <c r="M352" s="76"/>
      <c r="N352" s="75" t="str">
        <f t="shared" si="4"/>
        <v>NO</v>
      </c>
      <c r="O352" s="76"/>
      <c r="P352" s="76"/>
      <c r="Q352" s="75" t="str">
        <f t="shared" si="5"/>
        <v/>
      </c>
      <c r="R352" s="75" t="str">
        <f t="shared" si="6"/>
        <v>NO</v>
      </c>
      <c r="S352" s="75"/>
      <c r="T352" s="75"/>
      <c r="U352" s="75" t="str">
        <f t="shared" si="8"/>
        <v/>
      </c>
      <c r="V352" s="76"/>
      <c r="W352" s="14"/>
    </row>
    <row r="353">
      <c r="A353" s="37" t="s">
        <v>966</v>
      </c>
      <c r="B353" s="37">
        <v>2013.0</v>
      </c>
      <c r="C353" s="69" t="s">
        <v>967</v>
      </c>
      <c r="D353" s="71" t="s">
        <v>95</v>
      </c>
      <c r="E353" s="13"/>
      <c r="F353" s="74" t="str">
        <f t="shared" si="1"/>
        <v/>
      </c>
      <c r="G353" s="78"/>
      <c r="H353" s="13"/>
      <c r="I353" s="74" t="str">
        <f t="shared" si="2"/>
        <v/>
      </c>
      <c r="J353" s="75" t="str">
        <f t="shared" si="3"/>
        <v>NO</v>
      </c>
      <c r="K353" s="20"/>
      <c r="M353" s="76"/>
      <c r="N353" s="75" t="str">
        <f t="shared" si="4"/>
        <v>NO</v>
      </c>
      <c r="O353" s="76"/>
      <c r="P353" s="76"/>
      <c r="Q353" s="75" t="str">
        <f t="shared" si="5"/>
        <v/>
      </c>
      <c r="R353" s="75" t="str">
        <f t="shared" si="6"/>
        <v>NO</v>
      </c>
      <c r="S353" s="75"/>
      <c r="T353" s="75"/>
      <c r="U353" s="75" t="str">
        <f t="shared" si="8"/>
        <v/>
      </c>
      <c r="V353" s="76"/>
      <c r="W353" s="14"/>
    </row>
    <row r="354">
      <c r="A354" s="37" t="s">
        <v>968</v>
      </c>
      <c r="B354" s="37">
        <v>2010.0</v>
      </c>
      <c r="C354" s="69" t="s">
        <v>969</v>
      </c>
      <c r="D354" s="78"/>
      <c r="F354" s="74" t="str">
        <f t="shared" si="1"/>
        <v/>
      </c>
      <c r="G354" s="71" t="s">
        <v>95</v>
      </c>
      <c r="I354" s="74" t="str">
        <f t="shared" si="2"/>
        <v/>
      </c>
      <c r="J354" s="75" t="str">
        <f t="shared" si="3"/>
        <v>NO</v>
      </c>
      <c r="K354" s="20"/>
      <c r="M354" s="76"/>
      <c r="N354" s="75" t="str">
        <f t="shared" si="4"/>
        <v>NO</v>
      </c>
      <c r="O354" s="76"/>
      <c r="P354" s="76"/>
      <c r="Q354" s="75" t="str">
        <f t="shared" si="5"/>
        <v/>
      </c>
      <c r="R354" s="75" t="str">
        <f t="shared" si="6"/>
        <v>NO</v>
      </c>
      <c r="S354" s="75"/>
      <c r="T354" s="75"/>
      <c r="U354" s="75" t="str">
        <f t="shared" si="8"/>
        <v/>
      </c>
      <c r="V354" s="76"/>
      <c r="W354" s="14"/>
    </row>
    <row r="355">
      <c r="A355" s="37" t="s">
        <v>970</v>
      </c>
      <c r="B355" s="37">
        <v>2013.0</v>
      </c>
      <c r="C355" s="69" t="s">
        <v>971</v>
      </c>
      <c r="D355" s="78"/>
      <c r="F355" s="74" t="str">
        <f t="shared" si="1"/>
        <v/>
      </c>
      <c r="G355" s="78"/>
      <c r="I355" s="74" t="str">
        <f t="shared" si="2"/>
        <v/>
      </c>
      <c r="J355" s="75" t="str">
        <f t="shared" si="3"/>
        <v>YES</v>
      </c>
      <c r="K355" s="37" t="s">
        <v>86</v>
      </c>
      <c r="M355" s="76"/>
      <c r="N355" s="75" t="str">
        <f t="shared" si="4"/>
        <v>NO</v>
      </c>
      <c r="O355" s="76"/>
      <c r="P355" s="76"/>
      <c r="Q355" s="75" t="str">
        <f t="shared" si="5"/>
        <v/>
      </c>
      <c r="R355" s="75" t="str">
        <f t="shared" si="6"/>
        <v>NO</v>
      </c>
      <c r="S355" s="75"/>
      <c r="T355" s="75"/>
      <c r="U355" s="75" t="str">
        <f t="shared" si="8"/>
        <v/>
      </c>
      <c r="V355" s="76"/>
      <c r="W355" s="14"/>
    </row>
    <row r="356">
      <c r="A356" s="37" t="s">
        <v>972</v>
      </c>
      <c r="B356" s="37">
        <v>2014.0</v>
      </c>
      <c r="C356" s="69" t="s">
        <v>973</v>
      </c>
      <c r="D356" s="78"/>
      <c r="F356" s="74" t="str">
        <f t="shared" si="1"/>
        <v/>
      </c>
      <c r="G356" s="78"/>
      <c r="I356" s="74" t="str">
        <f t="shared" si="2"/>
        <v/>
      </c>
      <c r="J356" s="75" t="str">
        <f t="shared" si="3"/>
        <v>YES</v>
      </c>
      <c r="K356" s="37" t="s">
        <v>974</v>
      </c>
      <c r="M356" s="76"/>
      <c r="N356" s="75" t="str">
        <f t="shared" si="4"/>
        <v>NO</v>
      </c>
      <c r="O356" s="76"/>
      <c r="P356" s="76"/>
      <c r="Q356" s="75" t="str">
        <f t="shared" si="5"/>
        <v/>
      </c>
      <c r="R356" s="75" t="str">
        <f t="shared" si="6"/>
        <v>NO</v>
      </c>
      <c r="S356" s="75"/>
      <c r="T356" s="75"/>
      <c r="U356" s="75" t="str">
        <f t="shared" si="8"/>
        <v/>
      </c>
      <c r="V356" s="76"/>
      <c r="W356" s="14"/>
    </row>
    <row r="357">
      <c r="A357" s="37" t="s">
        <v>975</v>
      </c>
      <c r="B357" s="37">
        <v>2014.0</v>
      </c>
      <c r="C357" s="69" t="s">
        <v>976</v>
      </c>
      <c r="D357" s="78"/>
      <c r="E357" s="13" t="s">
        <v>247</v>
      </c>
      <c r="F357" s="74" t="str">
        <f t="shared" si="1"/>
        <v>YES</v>
      </c>
      <c r="G357" s="78"/>
      <c r="H357" s="13" t="s">
        <v>247</v>
      </c>
      <c r="I357" s="74" t="str">
        <f t="shared" si="2"/>
        <v>YES</v>
      </c>
      <c r="J357" s="75" t="str">
        <f t="shared" si="3"/>
        <v>YES</v>
      </c>
      <c r="K357" s="37" t="s">
        <v>974</v>
      </c>
      <c r="M357" s="76"/>
      <c r="N357" s="75" t="str">
        <f t="shared" si="4"/>
        <v>NO</v>
      </c>
      <c r="O357" s="76"/>
      <c r="P357" s="76"/>
      <c r="Q357" s="75" t="str">
        <f t="shared" si="5"/>
        <v/>
      </c>
      <c r="R357" s="75" t="str">
        <f t="shared" si="6"/>
        <v>NO</v>
      </c>
      <c r="S357" s="75"/>
      <c r="T357" s="75"/>
      <c r="U357" s="75" t="str">
        <f t="shared" si="8"/>
        <v/>
      </c>
      <c r="V357" s="76"/>
      <c r="W357" s="14"/>
    </row>
    <row r="358">
      <c r="A358" s="37" t="s">
        <v>977</v>
      </c>
      <c r="B358" s="37">
        <v>2013.0</v>
      </c>
      <c r="C358" s="69" t="s">
        <v>978</v>
      </c>
      <c r="D358" s="78"/>
      <c r="E358" s="13" t="s">
        <v>95</v>
      </c>
      <c r="F358" s="74" t="str">
        <f t="shared" si="1"/>
        <v>NO</v>
      </c>
      <c r="G358" s="71" t="s">
        <v>95</v>
      </c>
      <c r="H358" s="13" t="s">
        <v>247</v>
      </c>
      <c r="I358" s="74" t="str">
        <f t="shared" si="2"/>
        <v>YES</v>
      </c>
      <c r="J358" s="75" t="str">
        <f t="shared" si="3"/>
        <v>NO</v>
      </c>
      <c r="K358" s="20"/>
      <c r="M358" s="76"/>
      <c r="N358" s="75" t="str">
        <f t="shared" si="4"/>
        <v>NO</v>
      </c>
      <c r="O358" s="76"/>
      <c r="P358" s="76"/>
      <c r="Q358" s="75" t="str">
        <f t="shared" si="5"/>
        <v/>
      </c>
      <c r="R358" s="75" t="str">
        <f t="shared" si="6"/>
        <v>NO</v>
      </c>
      <c r="S358" s="75"/>
      <c r="T358" s="75"/>
      <c r="U358" s="75" t="str">
        <f t="shared" si="8"/>
        <v/>
      </c>
      <c r="V358" s="76"/>
      <c r="W358" s="14"/>
    </row>
    <row r="359">
      <c r="A359" s="37" t="s">
        <v>979</v>
      </c>
      <c r="B359" s="37">
        <v>2015.0</v>
      </c>
      <c r="C359" s="69" t="s">
        <v>980</v>
      </c>
      <c r="D359" s="78"/>
      <c r="F359" s="74" t="str">
        <f t="shared" si="1"/>
        <v/>
      </c>
      <c r="G359" s="78"/>
      <c r="I359" s="74" t="str">
        <f t="shared" si="2"/>
        <v/>
      </c>
      <c r="J359" s="75" t="str">
        <f t="shared" si="3"/>
        <v>YES</v>
      </c>
      <c r="K359" s="37" t="s">
        <v>86</v>
      </c>
      <c r="M359" s="76"/>
      <c r="N359" s="75" t="str">
        <f t="shared" si="4"/>
        <v>NO</v>
      </c>
      <c r="O359" s="76"/>
      <c r="P359" s="76"/>
      <c r="Q359" s="75" t="str">
        <f t="shared" si="5"/>
        <v/>
      </c>
      <c r="R359" s="75" t="str">
        <f t="shared" si="6"/>
        <v>NO</v>
      </c>
      <c r="S359" s="75"/>
      <c r="T359" s="75"/>
      <c r="U359" s="75" t="str">
        <f t="shared" si="8"/>
        <v/>
      </c>
      <c r="V359" s="76"/>
      <c r="W359" s="14"/>
    </row>
    <row r="360">
      <c r="A360" s="37" t="s">
        <v>981</v>
      </c>
      <c r="B360" s="37">
        <v>2015.0</v>
      </c>
      <c r="C360" s="69" t="s">
        <v>982</v>
      </c>
      <c r="D360" s="78"/>
      <c r="F360" s="74" t="str">
        <f t="shared" si="1"/>
        <v/>
      </c>
      <c r="G360" s="78"/>
      <c r="I360" s="74" t="str">
        <f t="shared" si="2"/>
        <v/>
      </c>
      <c r="J360" s="75" t="str">
        <f t="shared" si="3"/>
        <v>YES</v>
      </c>
      <c r="K360" s="37" t="s">
        <v>490</v>
      </c>
      <c r="M360" s="76"/>
      <c r="N360" s="75" t="str">
        <f t="shared" si="4"/>
        <v>NO</v>
      </c>
      <c r="O360" s="76"/>
      <c r="P360" s="76"/>
      <c r="Q360" s="75" t="str">
        <f t="shared" si="5"/>
        <v/>
      </c>
      <c r="R360" s="75" t="str">
        <f t="shared" si="6"/>
        <v>NO</v>
      </c>
      <c r="S360" s="75"/>
      <c r="T360" s="75"/>
      <c r="U360" s="75" t="str">
        <f t="shared" si="8"/>
        <v/>
      </c>
      <c r="V360" s="76"/>
      <c r="W360" s="14"/>
    </row>
    <row r="361">
      <c r="A361" s="37" t="s">
        <v>983</v>
      </c>
      <c r="B361" s="37">
        <v>2016.0</v>
      </c>
      <c r="C361" s="69" t="s">
        <v>984</v>
      </c>
      <c r="D361" s="78"/>
      <c r="E361" s="13" t="s">
        <v>95</v>
      </c>
      <c r="F361" s="74" t="str">
        <f t="shared" si="1"/>
        <v>NO</v>
      </c>
      <c r="G361" s="78"/>
      <c r="H361" s="13" t="s">
        <v>247</v>
      </c>
      <c r="I361" s="74" t="str">
        <f t="shared" si="2"/>
        <v>NO</v>
      </c>
      <c r="J361" s="75" t="str">
        <f t="shared" si="3"/>
        <v>YES</v>
      </c>
      <c r="K361" s="37" t="s">
        <v>86</v>
      </c>
      <c r="L361" s="13" t="s">
        <v>32</v>
      </c>
      <c r="M361" s="75" t="s">
        <v>142</v>
      </c>
      <c r="N361" s="75" t="str">
        <f t="shared" si="4"/>
        <v>NO</v>
      </c>
      <c r="O361" s="76"/>
      <c r="P361" s="75"/>
      <c r="Q361" s="75" t="str">
        <f t="shared" si="5"/>
        <v/>
      </c>
      <c r="R361" s="75" t="str">
        <f t="shared" si="6"/>
        <v>NO</v>
      </c>
      <c r="S361" s="75"/>
      <c r="T361" s="75"/>
      <c r="U361" s="75" t="str">
        <f t="shared" si="8"/>
        <v/>
      </c>
      <c r="V361" s="76"/>
      <c r="W361" s="14"/>
    </row>
    <row r="362">
      <c r="A362" s="37" t="s">
        <v>985</v>
      </c>
      <c r="B362" s="37">
        <v>2016.0</v>
      </c>
      <c r="C362" s="69" t="s">
        <v>986</v>
      </c>
      <c r="D362" s="78"/>
      <c r="F362" s="74" t="str">
        <f t="shared" si="1"/>
        <v/>
      </c>
      <c r="G362" s="78"/>
      <c r="I362" s="74" t="str">
        <f t="shared" si="2"/>
        <v/>
      </c>
      <c r="J362" s="75" t="str">
        <f t="shared" si="3"/>
        <v>YES</v>
      </c>
      <c r="K362" s="37" t="s">
        <v>86</v>
      </c>
      <c r="M362" s="76"/>
      <c r="N362" s="75" t="str">
        <f t="shared" si="4"/>
        <v>NO</v>
      </c>
      <c r="O362" s="76"/>
      <c r="P362" s="76"/>
      <c r="Q362" s="75" t="str">
        <f t="shared" si="5"/>
        <v/>
      </c>
      <c r="R362" s="75" t="str">
        <f t="shared" si="6"/>
        <v>NO</v>
      </c>
      <c r="S362" s="75"/>
      <c r="T362" s="75"/>
      <c r="U362" s="75" t="str">
        <f t="shared" si="8"/>
        <v/>
      </c>
      <c r="V362" s="76"/>
      <c r="W362" s="14"/>
    </row>
    <row r="363">
      <c r="A363" s="37" t="s">
        <v>987</v>
      </c>
      <c r="B363" s="37">
        <v>2016.0</v>
      </c>
      <c r="C363" s="69" t="s">
        <v>988</v>
      </c>
      <c r="D363" s="78"/>
      <c r="F363" s="74" t="str">
        <f t="shared" si="1"/>
        <v/>
      </c>
      <c r="G363" s="78"/>
      <c r="I363" s="74" t="str">
        <f t="shared" si="2"/>
        <v/>
      </c>
      <c r="J363" s="75" t="str">
        <f t="shared" si="3"/>
        <v>YES</v>
      </c>
      <c r="K363" s="37" t="s">
        <v>130</v>
      </c>
      <c r="M363" s="76"/>
      <c r="N363" s="75" t="str">
        <f t="shared" si="4"/>
        <v>YES</v>
      </c>
      <c r="O363" s="75" t="s">
        <v>131</v>
      </c>
      <c r="P363" s="76"/>
      <c r="Q363" s="75" t="str">
        <f t="shared" si="5"/>
        <v/>
      </c>
      <c r="R363" s="75" t="str">
        <f t="shared" si="6"/>
        <v>YES</v>
      </c>
      <c r="S363" s="75"/>
      <c r="T363" s="75"/>
      <c r="U363" s="75" t="str">
        <f t="shared" si="8"/>
        <v/>
      </c>
      <c r="V363" s="76"/>
      <c r="W363" s="14"/>
    </row>
    <row r="364">
      <c r="A364" s="37" t="s">
        <v>990</v>
      </c>
      <c r="B364" s="37">
        <v>2013.0</v>
      </c>
      <c r="C364" s="69" t="s">
        <v>991</v>
      </c>
      <c r="D364" s="78"/>
      <c r="F364" s="74" t="str">
        <f t="shared" si="1"/>
        <v/>
      </c>
      <c r="G364" s="78"/>
      <c r="I364" s="74" t="str">
        <f t="shared" si="2"/>
        <v/>
      </c>
      <c r="J364" s="75" t="str">
        <f t="shared" si="3"/>
        <v>YES</v>
      </c>
      <c r="K364" s="37" t="s">
        <v>86</v>
      </c>
      <c r="M364" s="76"/>
      <c r="N364" s="75" t="str">
        <f t="shared" si="4"/>
        <v>NO</v>
      </c>
      <c r="O364" s="76"/>
      <c r="P364" s="76"/>
      <c r="Q364" s="75" t="str">
        <f t="shared" si="5"/>
        <v/>
      </c>
      <c r="R364" s="75" t="str">
        <f t="shared" si="6"/>
        <v>NO</v>
      </c>
      <c r="S364" s="75"/>
      <c r="T364" s="75"/>
      <c r="U364" s="75" t="str">
        <f t="shared" si="8"/>
        <v/>
      </c>
      <c r="V364" s="76"/>
      <c r="W364" s="14"/>
    </row>
    <row r="365">
      <c r="A365" s="37" t="s">
        <v>993</v>
      </c>
      <c r="B365" s="37">
        <v>2013.0</v>
      </c>
      <c r="C365" s="69" t="s">
        <v>994</v>
      </c>
      <c r="D365" s="78"/>
      <c r="F365" s="74" t="str">
        <f t="shared" si="1"/>
        <v/>
      </c>
      <c r="G365" s="78"/>
      <c r="I365" s="74" t="str">
        <f t="shared" si="2"/>
        <v/>
      </c>
      <c r="J365" s="75" t="str">
        <f t="shared" si="3"/>
        <v>YES</v>
      </c>
      <c r="K365" s="37" t="s">
        <v>86</v>
      </c>
      <c r="M365" s="76"/>
      <c r="N365" s="75" t="str">
        <f t="shared" si="4"/>
        <v>NO</v>
      </c>
      <c r="O365" s="76"/>
      <c r="P365" s="76"/>
      <c r="Q365" s="75" t="str">
        <f t="shared" si="5"/>
        <v/>
      </c>
      <c r="R365" s="75" t="str">
        <f t="shared" si="6"/>
        <v>NO</v>
      </c>
      <c r="S365" s="75"/>
      <c r="T365" s="75"/>
      <c r="U365" s="75" t="str">
        <f t="shared" si="8"/>
        <v/>
      </c>
      <c r="V365" s="76"/>
      <c r="W365" s="14"/>
    </row>
    <row r="366">
      <c r="A366" s="37" t="s">
        <v>995</v>
      </c>
      <c r="B366" s="37">
        <v>2015.0</v>
      </c>
      <c r="C366" s="69" t="s">
        <v>996</v>
      </c>
      <c r="D366" s="71" t="s">
        <v>95</v>
      </c>
      <c r="E366" s="13"/>
      <c r="F366" s="74" t="str">
        <f t="shared" si="1"/>
        <v/>
      </c>
      <c r="G366" s="78"/>
      <c r="H366" s="13"/>
      <c r="I366" s="74" t="str">
        <f t="shared" si="2"/>
        <v/>
      </c>
      <c r="J366" s="75" t="str">
        <f t="shared" si="3"/>
        <v>NO</v>
      </c>
      <c r="K366" s="20"/>
      <c r="M366" s="76"/>
      <c r="N366" s="75" t="str">
        <f t="shared" si="4"/>
        <v>NO</v>
      </c>
      <c r="O366" s="76"/>
      <c r="P366" s="76"/>
      <c r="Q366" s="75" t="str">
        <f t="shared" si="5"/>
        <v/>
      </c>
      <c r="R366" s="75" t="str">
        <f t="shared" si="6"/>
        <v>NO</v>
      </c>
      <c r="S366" s="75"/>
      <c r="T366" s="75"/>
      <c r="U366" s="75" t="str">
        <f t="shared" si="8"/>
        <v/>
      </c>
      <c r="V366" s="76"/>
      <c r="W366" s="14"/>
    </row>
    <row r="367">
      <c r="A367" s="37" t="s">
        <v>997</v>
      </c>
      <c r="B367" s="37">
        <v>2014.0</v>
      </c>
      <c r="C367" s="69" t="s">
        <v>998</v>
      </c>
      <c r="D367" s="78"/>
      <c r="F367" s="74" t="str">
        <f t="shared" si="1"/>
        <v/>
      </c>
      <c r="G367" s="78"/>
      <c r="I367" s="74" t="str">
        <f t="shared" si="2"/>
        <v/>
      </c>
      <c r="J367" s="75" t="str">
        <f t="shared" si="3"/>
        <v>YES</v>
      </c>
      <c r="K367" s="37" t="s">
        <v>490</v>
      </c>
      <c r="M367" s="76"/>
      <c r="N367" s="75" t="str">
        <f t="shared" si="4"/>
        <v>NO</v>
      </c>
      <c r="O367" s="76"/>
      <c r="P367" s="76"/>
      <c r="Q367" s="75" t="str">
        <f t="shared" si="5"/>
        <v/>
      </c>
      <c r="R367" s="75" t="str">
        <f t="shared" si="6"/>
        <v>NO</v>
      </c>
      <c r="S367" s="75"/>
      <c r="T367" s="75"/>
      <c r="U367" s="75" t="str">
        <f t="shared" si="8"/>
        <v/>
      </c>
      <c r="V367" s="76"/>
      <c r="W367" s="14"/>
    </row>
    <row r="368">
      <c r="A368" s="37" t="s">
        <v>999</v>
      </c>
      <c r="B368" s="37">
        <v>2016.0</v>
      </c>
      <c r="C368" s="69" t="s">
        <v>1000</v>
      </c>
      <c r="D368" s="78"/>
      <c r="F368" s="74" t="str">
        <f t="shared" si="1"/>
        <v/>
      </c>
      <c r="G368" s="78"/>
      <c r="I368" s="74" t="str">
        <f t="shared" si="2"/>
        <v/>
      </c>
      <c r="J368" s="75" t="str">
        <f t="shared" si="3"/>
        <v>YES</v>
      </c>
      <c r="K368" s="37" t="s">
        <v>86</v>
      </c>
      <c r="L368" s="13" t="s">
        <v>32</v>
      </c>
      <c r="M368" s="75" t="s">
        <v>142</v>
      </c>
      <c r="N368" s="75" t="str">
        <f t="shared" si="4"/>
        <v>NO</v>
      </c>
      <c r="O368" s="76"/>
      <c r="P368" s="75"/>
      <c r="Q368" s="75" t="str">
        <f t="shared" si="5"/>
        <v/>
      </c>
      <c r="R368" s="75" t="str">
        <f t="shared" si="6"/>
        <v>NO</v>
      </c>
      <c r="S368" s="75"/>
      <c r="T368" s="75"/>
      <c r="U368" s="75" t="str">
        <f t="shared" si="8"/>
        <v/>
      </c>
      <c r="V368" s="76"/>
      <c r="W368" s="14"/>
    </row>
    <row r="369">
      <c r="A369" s="37" t="s">
        <v>1001</v>
      </c>
      <c r="B369" s="37">
        <v>2016.0</v>
      </c>
      <c r="C369" s="69" t="s">
        <v>1002</v>
      </c>
      <c r="D369" s="78"/>
      <c r="F369" s="74" t="str">
        <f t="shared" si="1"/>
        <v/>
      </c>
      <c r="G369" s="78"/>
      <c r="I369" s="74" t="str">
        <f t="shared" si="2"/>
        <v/>
      </c>
      <c r="J369" s="75" t="str">
        <f t="shared" si="3"/>
        <v>YES</v>
      </c>
      <c r="K369" s="37" t="s">
        <v>86</v>
      </c>
      <c r="L369" s="13" t="s">
        <v>32</v>
      </c>
      <c r="M369" s="75" t="s">
        <v>142</v>
      </c>
      <c r="N369" s="75" t="str">
        <f t="shared" si="4"/>
        <v>NO</v>
      </c>
      <c r="O369" s="76"/>
      <c r="P369" s="75"/>
      <c r="Q369" s="75" t="str">
        <f t="shared" si="5"/>
        <v/>
      </c>
      <c r="R369" s="75" t="str">
        <f t="shared" si="6"/>
        <v>NO</v>
      </c>
      <c r="S369" s="75"/>
      <c r="T369" s="75"/>
      <c r="U369" s="75" t="str">
        <f t="shared" si="8"/>
        <v/>
      </c>
      <c r="V369" s="76"/>
      <c r="W369" s="14"/>
    </row>
    <row r="370">
      <c r="A370" s="37" t="s">
        <v>1003</v>
      </c>
      <c r="B370" s="37">
        <v>2014.0</v>
      </c>
      <c r="C370" s="69" t="s">
        <v>1004</v>
      </c>
      <c r="D370" s="78"/>
      <c r="F370" s="74" t="str">
        <f t="shared" si="1"/>
        <v/>
      </c>
      <c r="G370" s="71" t="s">
        <v>95</v>
      </c>
      <c r="I370" s="74" t="str">
        <f t="shared" si="2"/>
        <v/>
      </c>
      <c r="J370" s="75" t="str">
        <f t="shared" si="3"/>
        <v>NO</v>
      </c>
      <c r="K370" s="20"/>
      <c r="M370" s="76"/>
      <c r="N370" s="75" t="str">
        <f t="shared" si="4"/>
        <v>NO</v>
      </c>
      <c r="O370" s="76"/>
      <c r="P370" s="76"/>
      <c r="Q370" s="75" t="str">
        <f t="shared" si="5"/>
        <v/>
      </c>
      <c r="R370" s="75" t="str">
        <f t="shared" si="6"/>
        <v>NO</v>
      </c>
      <c r="S370" s="75"/>
      <c r="T370" s="75"/>
      <c r="U370" s="75" t="str">
        <f t="shared" si="8"/>
        <v/>
      </c>
      <c r="V370" s="76"/>
      <c r="W370" s="14"/>
    </row>
    <row r="371">
      <c r="A371" s="37" t="s">
        <v>1005</v>
      </c>
      <c r="B371" s="37">
        <v>2015.0</v>
      </c>
      <c r="C371" s="69" t="s">
        <v>1006</v>
      </c>
      <c r="D371" s="78"/>
      <c r="F371" s="74" t="str">
        <f t="shared" si="1"/>
        <v/>
      </c>
      <c r="G371" s="78"/>
      <c r="I371" s="74" t="str">
        <f t="shared" si="2"/>
        <v/>
      </c>
      <c r="J371" s="75" t="str">
        <f t="shared" si="3"/>
        <v>YES</v>
      </c>
      <c r="K371" s="37" t="s">
        <v>130</v>
      </c>
      <c r="M371" s="76"/>
      <c r="N371" s="75" t="str">
        <f t="shared" si="4"/>
        <v>YES</v>
      </c>
      <c r="O371" s="75" t="s">
        <v>131</v>
      </c>
      <c r="P371" s="76"/>
      <c r="Q371" s="75" t="str">
        <f t="shared" si="5"/>
        <v/>
      </c>
      <c r="R371" s="75" t="str">
        <f t="shared" si="6"/>
        <v>YES</v>
      </c>
      <c r="S371" s="75" t="s">
        <v>131</v>
      </c>
      <c r="T371" s="75" t="s">
        <v>131</v>
      </c>
      <c r="U371" s="75" t="str">
        <f t="shared" si="8"/>
        <v>YES</v>
      </c>
      <c r="V371" s="75" t="s">
        <v>285</v>
      </c>
      <c r="W371" s="14"/>
    </row>
    <row r="372">
      <c r="A372" s="37" t="s">
        <v>1007</v>
      </c>
      <c r="B372" s="37">
        <v>2014.0</v>
      </c>
      <c r="C372" s="69" t="s">
        <v>1008</v>
      </c>
      <c r="D372" s="71" t="s">
        <v>95</v>
      </c>
      <c r="E372" s="13"/>
      <c r="F372" s="74" t="str">
        <f t="shared" si="1"/>
        <v/>
      </c>
      <c r="G372" s="78"/>
      <c r="H372" s="13"/>
      <c r="I372" s="74" t="str">
        <f t="shared" si="2"/>
        <v/>
      </c>
      <c r="J372" s="75" t="str">
        <f t="shared" si="3"/>
        <v>NO</v>
      </c>
      <c r="K372" s="20"/>
      <c r="M372" s="76"/>
      <c r="N372" s="75" t="str">
        <f t="shared" si="4"/>
        <v>NO</v>
      </c>
      <c r="O372" s="76"/>
      <c r="P372" s="76"/>
      <c r="Q372" s="75" t="str">
        <f t="shared" si="5"/>
        <v/>
      </c>
      <c r="R372" s="75" t="str">
        <f t="shared" si="6"/>
        <v>NO</v>
      </c>
      <c r="S372" s="75"/>
      <c r="T372" s="75"/>
      <c r="U372" s="75" t="str">
        <f t="shared" si="8"/>
        <v/>
      </c>
      <c r="V372" s="76"/>
      <c r="W372" s="14"/>
    </row>
    <row r="373">
      <c r="A373" s="37" t="s">
        <v>1009</v>
      </c>
      <c r="B373" s="37">
        <v>2015.0</v>
      </c>
      <c r="C373" s="69" t="s">
        <v>1010</v>
      </c>
      <c r="D373" s="71" t="s">
        <v>95</v>
      </c>
      <c r="E373" s="13"/>
      <c r="F373" s="74" t="str">
        <f t="shared" si="1"/>
        <v/>
      </c>
      <c r="G373" s="78"/>
      <c r="H373" s="13"/>
      <c r="I373" s="74" t="str">
        <f t="shared" si="2"/>
        <v/>
      </c>
      <c r="J373" s="75" t="str">
        <f t="shared" si="3"/>
        <v>NO</v>
      </c>
      <c r="K373" s="20"/>
      <c r="M373" s="76"/>
      <c r="N373" s="75" t="str">
        <f t="shared" si="4"/>
        <v>NO</v>
      </c>
      <c r="O373" s="76"/>
      <c r="P373" s="76"/>
      <c r="Q373" s="75" t="str">
        <f t="shared" si="5"/>
        <v/>
      </c>
      <c r="R373" s="75" t="str">
        <f t="shared" si="6"/>
        <v>NO</v>
      </c>
      <c r="S373" s="75"/>
      <c r="T373" s="75"/>
      <c r="U373" s="75" t="str">
        <f t="shared" si="8"/>
        <v/>
      </c>
      <c r="V373" s="76"/>
      <c r="W373" s="14"/>
    </row>
    <row r="374">
      <c r="A374" s="37" t="s">
        <v>1011</v>
      </c>
      <c r="B374" s="37">
        <v>2015.0</v>
      </c>
      <c r="C374" s="69" t="s">
        <v>1012</v>
      </c>
      <c r="D374" s="78"/>
      <c r="F374" s="74" t="str">
        <f t="shared" si="1"/>
        <v/>
      </c>
      <c r="G374" s="78"/>
      <c r="I374" s="74" t="str">
        <f t="shared" si="2"/>
        <v/>
      </c>
      <c r="J374" s="75" t="str">
        <f t="shared" si="3"/>
        <v>YES</v>
      </c>
      <c r="K374" s="37" t="s">
        <v>86</v>
      </c>
      <c r="M374" s="76"/>
      <c r="N374" s="75" t="str">
        <f t="shared" si="4"/>
        <v>NO</v>
      </c>
      <c r="O374" s="76"/>
      <c r="P374" s="76"/>
      <c r="Q374" s="75" t="str">
        <f t="shared" si="5"/>
        <v/>
      </c>
      <c r="R374" s="75" t="str">
        <f t="shared" si="6"/>
        <v>NO</v>
      </c>
      <c r="S374" s="75"/>
      <c r="T374" s="75"/>
      <c r="U374" s="75" t="str">
        <f t="shared" si="8"/>
        <v/>
      </c>
      <c r="V374" s="76"/>
      <c r="W374" s="14"/>
    </row>
    <row r="375">
      <c r="A375" s="37" t="s">
        <v>1013</v>
      </c>
      <c r="B375" s="37">
        <v>2016.0</v>
      </c>
      <c r="C375" s="69" t="s">
        <v>1014</v>
      </c>
      <c r="D375" s="78"/>
      <c r="F375" s="74" t="str">
        <f t="shared" si="1"/>
        <v/>
      </c>
      <c r="G375" s="78"/>
      <c r="I375" s="74" t="str">
        <f t="shared" si="2"/>
        <v/>
      </c>
      <c r="J375" s="75" t="str">
        <f t="shared" si="3"/>
        <v>YES</v>
      </c>
      <c r="K375" s="37" t="s">
        <v>490</v>
      </c>
      <c r="L375" s="13" t="s">
        <v>32</v>
      </c>
      <c r="M375" s="75" t="s">
        <v>142</v>
      </c>
      <c r="N375" s="75" t="str">
        <f t="shared" si="4"/>
        <v>NO</v>
      </c>
      <c r="O375" s="76"/>
      <c r="P375" s="75"/>
      <c r="Q375" s="75" t="str">
        <f t="shared" si="5"/>
        <v/>
      </c>
      <c r="R375" s="75" t="str">
        <f t="shared" si="6"/>
        <v>NO</v>
      </c>
      <c r="S375" s="75"/>
      <c r="T375" s="75"/>
      <c r="U375" s="75" t="str">
        <f t="shared" si="8"/>
        <v/>
      </c>
      <c r="V375" s="76"/>
      <c r="W375" s="14"/>
    </row>
    <row r="376">
      <c r="A376" s="37" t="s">
        <v>1015</v>
      </c>
      <c r="B376" s="37">
        <v>2014.0</v>
      </c>
      <c r="C376" s="69" t="s">
        <v>1016</v>
      </c>
      <c r="D376" s="78"/>
      <c r="F376" s="74" t="str">
        <f t="shared" si="1"/>
        <v/>
      </c>
      <c r="G376" s="78"/>
      <c r="I376" s="74" t="str">
        <f t="shared" si="2"/>
        <v/>
      </c>
      <c r="J376" s="75" t="str">
        <f t="shared" si="3"/>
        <v>YES</v>
      </c>
      <c r="K376" s="37" t="s">
        <v>86</v>
      </c>
      <c r="L376" s="13" t="s">
        <v>32</v>
      </c>
      <c r="M376" s="75" t="s">
        <v>142</v>
      </c>
      <c r="N376" s="75" t="str">
        <f t="shared" si="4"/>
        <v>NO</v>
      </c>
      <c r="O376" s="76"/>
      <c r="P376" s="75"/>
      <c r="Q376" s="75" t="str">
        <f t="shared" si="5"/>
        <v/>
      </c>
      <c r="R376" s="75" t="str">
        <f t="shared" si="6"/>
        <v>NO</v>
      </c>
      <c r="S376" s="75"/>
      <c r="T376" s="75"/>
      <c r="U376" s="75" t="str">
        <f t="shared" si="8"/>
        <v/>
      </c>
      <c r="V376" s="76"/>
      <c r="W376" s="14"/>
    </row>
    <row r="377">
      <c r="A377" s="37" t="s">
        <v>1017</v>
      </c>
      <c r="B377" s="37">
        <v>2015.0</v>
      </c>
      <c r="C377" s="69" t="s">
        <v>1018</v>
      </c>
      <c r="D377" s="78"/>
      <c r="F377" s="74" t="str">
        <f t="shared" si="1"/>
        <v/>
      </c>
      <c r="G377" s="78"/>
      <c r="I377" s="74" t="str">
        <f t="shared" si="2"/>
        <v/>
      </c>
      <c r="J377" s="75" t="str">
        <f t="shared" si="3"/>
        <v>YES</v>
      </c>
      <c r="K377" s="37" t="s">
        <v>86</v>
      </c>
      <c r="M377" s="76"/>
      <c r="N377" s="75" t="str">
        <f t="shared" si="4"/>
        <v>NO</v>
      </c>
      <c r="O377" s="76"/>
      <c r="P377" s="76"/>
      <c r="Q377" s="75" t="str">
        <f t="shared" si="5"/>
        <v/>
      </c>
      <c r="R377" s="75" t="str">
        <f t="shared" si="6"/>
        <v>NO</v>
      </c>
      <c r="S377" s="75"/>
      <c r="T377" s="75"/>
      <c r="U377" s="75" t="str">
        <f t="shared" si="8"/>
        <v/>
      </c>
      <c r="V377" s="76"/>
      <c r="W377" s="14"/>
    </row>
    <row r="378">
      <c r="A378" s="37" t="s">
        <v>1019</v>
      </c>
      <c r="B378" s="37">
        <v>2014.0</v>
      </c>
      <c r="C378" s="69" t="s">
        <v>1020</v>
      </c>
      <c r="D378" s="78"/>
      <c r="F378" s="74" t="str">
        <f t="shared" si="1"/>
        <v/>
      </c>
      <c r="G378" s="71"/>
      <c r="I378" s="74" t="str">
        <f t="shared" si="2"/>
        <v/>
      </c>
      <c r="J378" s="75" t="str">
        <f t="shared" si="3"/>
        <v>YES</v>
      </c>
      <c r="K378" s="37" t="s">
        <v>974</v>
      </c>
      <c r="M378" s="76"/>
      <c r="N378" s="75" t="str">
        <f t="shared" si="4"/>
        <v>NO</v>
      </c>
      <c r="O378" s="76"/>
      <c r="P378" s="76"/>
      <c r="Q378" s="75" t="str">
        <f t="shared" si="5"/>
        <v/>
      </c>
      <c r="R378" s="75" t="str">
        <f t="shared" si="6"/>
        <v>NO</v>
      </c>
      <c r="S378" s="75"/>
      <c r="T378" s="75"/>
      <c r="U378" s="75" t="str">
        <f t="shared" si="8"/>
        <v/>
      </c>
      <c r="V378" s="76"/>
      <c r="W378" s="14"/>
    </row>
    <row r="379">
      <c r="A379" s="37" t="s">
        <v>1021</v>
      </c>
      <c r="B379" s="37">
        <v>2016.0</v>
      </c>
      <c r="C379" s="69" t="s">
        <v>1022</v>
      </c>
      <c r="D379" s="78"/>
      <c r="E379" s="13" t="s">
        <v>247</v>
      </c>
      <c r="F379" s="74" t="str">
        <f t="shared" si="1"/>
        <v>YES</v>
      </c>
      <c r="G379" s="78"/>
      <c r="H379" s="13" t="s">
        <v>247</v>
      </c>
      <c r="I379" s="74" t="str">
        <f t="shared" si="2"/>
        <v>YES</v>
      </c>
      <c r="J379" s="75" t="str">
        <f t="shared" si="3"/>
        <v>YES</v>
      </c>
      <c r="K379" s="37" t="s">
        <v>86</v>
      </c>
      <c r="L379" s="13" t="s">
        <v>32</v>
      </c>
      <c r="M379" s="75" t="s">
        <v>142</v>
      </c>
      <c r="N379" s="75" t="str">
        <f t="shared" si="4"/>
        <v>NO</v>
      </c>
      <c r="O379" s="76"/>
      <c r="P379" s="75"/>
      <c r="Q379" s="75" t="str">
        <f t="shared" si="5"/>
        <v/>
      </c>
      <c r="R379" s="75" t="str">
        <f t="shared" si="6"/>
        <v>NO</v>
      </c>
      <c r="S379" s="75"/>
      <c r="T379" s="75"/>
      <c r="U379" s="75" t="str">
        <f t="shared" si="8"/>
        <v/>
      </c>
      <c r="V379" s="76"/>
      <c r="W379" s="14"/>
    </row>
    <row r="380">
      <c r="A380" s="37" t="s">
        <v>1023</v>
      </c>
      <c r="B380" s="37">
        <v>2016.0</v>
      </c>
      <c r="C380" s="69" t="s">
        <v>1024</v>
      </c>
      <c r="D380" s="78"/>
      <c r="E380" s="13" t="s">
        <v>247</v>
      </c>
      <c r="F380" s="74" t="str">
        <f t="shared" si="1"/>
        <v>YES</v>
      </c>
      <c r="G380" s="78"/>
      <c r="H380" s="13" t="s">
        <v>247</v>
      </c>
      <c r="I380" s="74" t="str">
        <f t="shared" si="2"/>
        <v>YES</v>
      </c>
      <c r="J380" s="75" t="str">
        <f t="shared" si="3"/>
        <v>YES</v>
      </c>
      <c r="K380" s="37" t="s">
        <v>91</v>
      </c>
      <c r="M380" s="76"/>
      <c r="N380" s="75" t="str">
        <f t="shared" si="4"/>
        <v>NO</v>
      </c>
      <c r="O380" s="76"/>
      <c r="P380" s="76"/>
      <c r="Q380" s="75" t="str">
        <f t="shared" si="5"/>
        <v/>
      </c>
      <c r="R380" s="75" t="str">
        <f t="shared" si="6"/>
        <v>NO</v>
      </c>
      <c r="S380" s="75"/>
      <c r="T380" s="75"/>
      <c r="U380" s="75" t="str">
        <f t="shared" si="8"/>
        <v/>
      </c>
      <c r="V380" s="76"/>
      <c r="W380" s="14"/>
    </row>
    <row r="381">
      <c r="A381" s="37" t="s">
        <v>1025</v>
      </c>
      <c r="B381" s="37">
        <v>2014.0</v>
      </c>
      <c r="C381" s="69" t="s">
        <v>1026</v>
      </c>
      <c r="D381" s="78"/>
      <c r="F381" s="74" t="str">
        <f t="shared" si="1"/>
        <v/>
      </c>
      <c r="G381" s="78"/>
      <c r="I381" s="74" t="str">
        <f t="shared" si="2"/>
        <v/>
      </c>
      <c r="J381" s="75" t="str">
        <f t="shared" si="3"/>
        <v>YES</v>
      </c>
      <c r="K381" s="37" t="s">
        <v>199</v>
      </c>
      <c r="M381" s="76"/>
      <c r="N381" s="75" t="str">
        <f t="shared" si="4"/>
        <v>YES</v>
      </c>
      <c r="O381" s="75" t="s">
        <v>149</v>
      </c>
      <c r="P381" s="76"/>
      <c r="Q381" s="75" t="str">
        <f t="shared" si="5"/>
        <v/>
      </c>
      <c r="R381" s="75" t="str">
        <f t="shared" si="6"/>
        <v>NO</v>
      </c>
      <c r="S381" s="75"/>
      <c r="T381" s="75"/>
      <c r="U381" s="75" t="str">
        <f t="shared" si="8"/>
        <v/>
      </c>
      <c r="V381" s="76"/>
      <c r="W381" s="14"/>
    </row>
    <row r="382">
      <c r="A382" s="37" t="s">
        <v>1027</v>
      </c>
      <c r="B382" s="37">
        <v>2014.0</v>
      </c>
      <c r="C382" s="69" t="s">
        <v>1028</v>
      </c>
      <c r="D382" s="78"/>
      <c r="F382" s="74" t="str">
        <f t="shared" si="1"/>
        <v/>
      </c>
      <c r="G382" s="78"/>
      <c r="I382" s="74" t="str">
        <f t="shared" si="2"/>
        <v/>
      </c>
      <c r="J382" s="75" t="str">
        <f t="shared" si="3"/>
        <v>YES</v>
      </c>
      <c r="K382" s="37" t="s">
        <v>490</v>
      </c>
      <c r="L382" s="13" t="s">
        <v>7</v>
      </c>
      <c r="M382" s="75" t="s">
        <v>158</v>
      </c>
      <c r="N382" s="75" t="str">
        <f t="shared" si="4"/>
        <v>NO</v>
      </c>
      <c r="O382" s="76"/>
      <c r="P382" s="75"/>
      <c r="Q382" s="75" t="str">
        <f t="shared" si="5"/>
        <v/>
      </c>
      <c r="R382" s="75" t="str">
        <f t="shared" si="6"/>
        <v>NO</v>
      </c>
      <c r="S382" s="75"/>
      <c r="T382" s="75"/>
      <c r="U382" s="75" t="str">
        <f t="shared" si="8"/>
        <v/>
      </c>
      <c r="V382" s="76"/>
      <c r="W382" s="14"/>
    </row>
    <row r="383">
      <c r="A383" s="37" t="s">
        <v>1029</v>
      </c>
      <c r="B383" s="37">
        <v>2014.0</v>
      </c>
      <c r="C383" s="69" t="s">
        <v>1030</v>
      </c>
      <c r="D383" s="71" t="s">
        <v>95</v>
      </c>
      <c r="E383" s="13"/>
      <c r="F383" s="74" t="str">
        <f t="shared" si="1"/>
        <v/>
      </c>
      <c r="G383" s="78"/>
      <c r="H383" s="13"/>
      <c r="I383" s="74" t="str">
        <f t="shared" si="2"/>
        <v/>
      </c>
      <c r="J383" s="75" t="str">
        <f t="shared" si="3"/>
        <v>NO</v>
      </c>
      <c r="K383" s="20"/>
      <c r="M383" s="76"/>
      <c r="N383" s="75" t="str">
        <f t="shared" si="4"/>
        <v>NO</v>
      </c>
      <c r="O383" s="76"/>
      <c r="P383" s="76"/>
      <c r="Q383" s="75" t="str">
        <f t="shared" si="5"/>
        <v/>
      </c>
      <c r="R383" s="75" t="str">
        <f t="shared" si="6"/>
        <v>NO</v>
      </c>
      <c r="S383" s="75"/>
      <c r="T383" s="75"/>
      <c r="U383" s="75" t="str">
        <f t="shared" si="8"/>
        <v/>
      </c>
      <c r="V383" s="76"/>
      <c r="W383" s="14"/>
    </row>
    <row r="384">
      <c r="A384" s="37" t="s">
        <v>1031</v>
      </c>
      <c r="B384" s="37">
        <v>2013.0</v>
      </c>
      <c r="C384" s="69" t="s">
        <v>1032</v>
      </c>
      <c r="D384" s="78"/>
      <c r="E384" s="13" t="s">
        <v>247</v>
      </c>
      <c r="F384" s="74" t="str">
        <f t="shared" si="1"/>
        <v>YES</v>
      </c>
      <c r="G384" s="78"/>
      <c r="H384" s="13" t="s">
        <v>247</v>
      </c>
      <c r="I384" s="74" t="str">
        <f t="shared" si="2"/>
        <v>YES</v>
      </c>
      <c r="J384" s="75" t="str">
        <f t="shared" si="3"/>
        <v>YES</v>
      </c>
      <c r="K384" s="37" t="s">
        <v>86</v>
      </c>
      <c r="M384" s="76"/>
      <c r="N384" s="75" t="str">
        <f t="shared" si="4"/>
        <v>NO</v>
      </c>
      <c r="O384" s="76"/>
      <c r="P384" s="76"/>
      <c r="Q384" s="75" t="str">
        <f t="shared" si="5"/>
        <v/>
      </c>
      <c r="R384" s="75" t="str">
        <f t="shared" si="6"/>
        <v>NO</v>
      </c>
      <c r="S384" s="75"/>
      <c r="T384" s="75"/>
      <c r="U384" s="75" t="str">
        <f t="shared" si="8"/>
        <v/>
      </c>
      <c r="V384" s="76"/>
      <c r="W384" s="14"/>
    </row>
    <row r="385">
      <c r="A385" s="37" t="s">
        <v>1033</v>
      </c>
      <c r="B385" s="37">
        <v>2012.0</v>
      </c>
      <c r="C385" s="69" t="s">
        <v>1034</v>
      </c>
      <c r="D385" s="71" t="s">
        <v>95</v>
      </c>
      <c r="E385" s="13"/>
      <c r="F385" s="74" t="str">
        <f t="shared" si="1"/>
        <v/>
      </c>
      <c r="G385" s="78"/>
      <c r="H385" s="13"/>
      <c r="I385" s="74" t="str">
        <f t="shared" si="2"/>
        <v/>
      </c>
      <c r="J385" s="75" t="str">
        <f t="shared" si="3"/>
        <v>NO</v>
      </c>
      <c r="K385" s="20"/>
      <c r="M385" s="76"/>
      <c r="N385" s="75" t="str">
        <f t="shared" si="4"/>
        <v>NO</v>
      </c>
      <c r="O385" s="76"/>
      <c r="P385" s="76"/>
      <c r="Q385" s="75" t="str">
        <f t="shared" si="5"/>
        <v/>
      </c>
      <c r="R385" s="75" t="str">
        <f t="shared" si="6"/>
        <v>NO</v>
      </c>
      <c r="S385" s="75"/>
      <c r="T385" s="75"/>
      <c r="U385" s="75" t="str">
        <f t="shared" si="8"/>
        <v/>
      </c>
      <c r="V385" s="76"/>
      <c r="W385" s="14"/>
    </row>
    <row r="386">
      <c r="A386" s="37" t="s">
        <v>1035</v>
      </c>
      <c r="B386" s="37">
        <v>2016.0</v>
      </c>
      <c r="C386" s="69" t="s">
        <v>1036</v>
      </c>
      <c r="D386" s="71" t="s">
        <v>95</v>
      </c>
      <c r="E386" s="13"/>
      <c r="F386" s="74" t="str">
        <f t="shared" si="1"/>
        <v/>
      </c>
      <c r="G386" s="78"/>
      <c r="H386" s="13"/>
      <c r="I386" s="74" t="str">
        <f t="shared" si="2"/>
        <v/>
      </c>
      <c r="J386" s="75" t="str">
        <f t="shared" si="3"/>
        <v>NO</v>
      </c>
      <c r="K386" s="20"/>
      <c r="M386" s="76"/>
      <c r="N386" s="75" t="str">
        <f t="shared" si="4"/>
        <v>NO</v>
      </c>
      <c r="O386" s="76"/>
      <c r="P386" s="76"/>
      <c r="Q386" s="75" t="str">
        <f t="shared" si="5"/>
        <v/>
      </c>
      <c r="R386" s="75" t="str">
        <f t="shared" si="6"/>
        <v>NO</v>
      </c>
      <c r="S386" s="75"/>
      <c r="T386" s="75"/>
      <c r="U386" s="75" t="str">
        <f t="shared" si="8"/>
        <v/>
      </c>
      <c r="V386" s="76"/>
      <c r="W386" s="14"/>
    </row>
    <row r="387">
      <c r="A387" s="37" t="s">
        <v>1037</v>
      </c>
      <c r="B387" s="37">
        <v>2016.0</v>
      </c>
      <c r="C387" s="69" t="s">
        <v>1038</v>
      </c>
      <c r="D387" s="78"/>
      <c r="F387" s="74" t="str">
        <f t="shared" si="1"/>
        <v/>
      </c>
      <c r="G387" s="78"/>
      <c r="I387" s="74" t="str">
        <f t="shared" si="2"/>
        <v/>
      </c>
      <c r="J387" s="75" t="str">
        <f t="shared" si="3"/>
        <v>YES</v>
      </c>
      <c r="K387" s="37" t="s">
        <v>91</v>
      </c>
      <c r="M387" s="76"/>
      <c r="N387" s="75" t="str">
        <f t="shared" si="4"/>
        <v>NO</v>
      </c>
      <c r="O387" s="76"/>
      <c r="P387" s="76"/>
      <c r="Q387" s="75" t="str">
        <f t="shared" si="5"/>
        <v/>
      </c>
      <c r="R387" s="75" t="str">
        <f t="shared" si="6"/>
        <v>NO</v>
      </c>
      <c r="S387" s="75"/>
      <c r="T387" s="75"/>
      <c r="U387" s="75" t="str">
        <f t="shared" si="8"/>
        <v/>
      </c>
      <c r="V387" s="76"/>
      <c r="W387" s="14"/>
    </row>
    <row r="388">
      <c r="A388" s="37" t="s">
        <v>1039</v>
      </c>
      <c r="B388" s="37">
        <v>2014.0</v>
      </c>
      <c r="C388" s="69" t="s">
        <v>1040</v>
      </c>
      <c r="D388" s="78"/>
      <c r="E388" s="13" t="s">
        <v>247</v>
      </c>
      <c r="F388" s="74" t="str">
        <f t="shared" si="1"/>
        <v>YES</v>
      </c>
      <c r="G388" s="78"/>
      <c r="H388" s="13" t="s">
        <v>247</v>
      </c>
      <c r="I388" s="74" t="str">
        <f t="shared" si="2"/>
        <v>YES</v>
      </c>
      <c r="J388" s="75" t="str">
        <f t="shared" si="3"/>
        <v>YES</v>
      </c>
      <c r="K388" s="37" t="s">
        <v>490</v>
      </c>
      <c r="L388" s="13" t="s">
        <v>32</v>
      </c>
      <c r="M388" s="75" t="s">
        <v>142</v>
      </c>
      <c r="N388" s="75" t="str">
        <f t="shared" si="4"/>
        <v>NO</v>
      </c>
      <c r="O388" s="76"/>
      <c r="P388" s="75"/>
      <c r="Q388" s="75" t="str">
        <f t="shared" si="5"/>
        <v/>
      </c>
      <c r="R388" s="75" t="str">
        <f t="shared" si="6"/>
        <v>NO</v>
      </c>
      <c r="S388" s="75"/>
      <c r="T388" s="75"/>
      <c r="U388" s="75" t="str">
        <f t="shared" si="8"/>
        <v/>
      </c>
      <c r="V388" s="76"/>
      <c r="W388" s="14"/>
    </row>
    <row r="389">
      <c r="A389" s="37" t="s">
        <v>1041</v>
      </c>
      <c r="B389" s="37">
        <v>2014.0</v>
      </c>
      <c r="C389" s="69" t="s">
        <v>1042</v>
      </c>
      <c r="D389" s="78"/>
      <c r="F389" s="74" t="str">
        <f t="shared" si="1"/>
        <v/>
      </c>
      <c r="G389" s="78"/>
      <c r="I389" s="74" t="str">
        <f t="shared" si="2"/>
        <v/>
      </c>
      <c r="J389" s="75" t="str">
        <f t="shared" si="3"/>
        <v>YES</v>
      </c>
      <c r="K389" s="37" t="s">
        <v>86</v>
      </c>
      <c r="M389" s="76"/>
      <c r="N389" s="75" t="str">
        <f t="shared" si="4"/>
        <v>NO</v>
      </c>
      <c r="O389" s="76"/>
      <c r="P389" s="76"/>
      <c r="Q389" s="75" t="str">
        <f t="shared" si="5"/>
        <v/>
      </c>
      <c r="R389" s="75" t="str">
        <f t="shared" si="6"/>
        <v>NO</v>
      </c>
      <c r="S389" s="75"/>
      <c r="T389" s="75"/>
      <c r="U389" s="75" t="str">
        <f t="shared" si="8"/>
        <v/>
      </c>
      <c r="V389" s="76"/>
      <c r="W389" s="14"/>
    </row>
    <row r="390">
      <c r="A390" s="37" t="s">
        <v>1043</v>
      </c>
      <c r="B390" s="37">
        <v>2015.0</v>
      </c>
      <c r="C390" s="69" t="s">
        <v>1044</v>
      </c>
      <c r="D390" s="78"/>
      <c r="E390" s="13" t="s">
        <v>247</v>
      </c>
      <c r="F390" s="74" t="str">
        <f t="shared" si="1"/>
        <v>YES</v>
      </c>
      <c r="G390" s="78"/>
      <c r="H390" s="13" t="s">
        <v>247</v>
      </c>
      <c r="I390" s="74" t="str">
        <f t="shared" si="2"/>
        <v>YES</v>
      </c>
      <c r="J390" s="75" t="str">
        <f t="shared" si="3"/>
        <v>YES</v>
      </c>
      <c r="K390" s="37" t="s">
        <v>86</v>
      </c>
      <c r="L390" s="13" t="s">
        <v>32</v>
      </c>
      <c r="M390" s="75" t="s">
        <v>142</v>
      </c>
      <c r="N390" s="75" t="str">
        <f t="shared" si="4"/>
        <v>NO</v>
      </c>
      <c r="O390" s="76"/>
      <c r="P390" s="75"/>
      <c r="Q390" s="75" t="str">
        <f t="shared" si="5"/>
        <v/>
      </c>
      <c r="R390" s="75" t="str">
        <f t="shared" si="6"/>
        <v>NO</v>
      </c>
      <c r="S390" s="75"/>
      <c r="T390" s="75"/>
      <c r="U390" s="75" t="str">
        <f t="shared" si="8"/>
        <v/>
      </c>
      <c r="V390" s="76"/>
      <c r="W390" s="14"/>
    </row>
    <row r="391">
      <c r="A391" s="37" t="s">
        <v>1045</v>
      </c>
      <c r="B391" s="37">
        <v>2015.0</v>
      </c>
      <c r="C391" s="69" t="s">
        <v>1046</v>
      </c>
      <c r="D391" s="71" t="s">
        <v>95</v>
      </c>
      <c r="E391" s="13"/>
      <c r="F391" s="74" t="str">
        <f t="shared" si="1"/>
        <v/>
      </c>
      <c r="G391" s="78"/>
      <c r="H391" s="13"/>
      <c r="I391" s="74" t="str">
        <f t="shared" si="2"/>
        <v/>
      </c>
      <c r="J391" s="75" t="str">
        <f t="shared" si="3"/>
        <v>NO</v>
      </c>
      <c r="K391" s="20"/>
      <c r="M391" s="76"/>
      <c r="N391" s="75" t="str">
        <f t="shared" si="4"/>
        <v>NO</v>
      </c>
      <c r="O391" s="76"/>
      <c r="P391" s="76"/>
      <c r="Q391" s="75" t="str">
        <f t="shared" si="5"/>
        <v/>
      </c>
      <c r="R391" s="75" t="str">
        <f t="shared" si="6"/>
        <v>NO</v>
      </c>
      <c r="S391" s="75"/>
      <c r="T391" s="75"/>
      <c r="U391" s="75" t="str">
        <f t="shared" si="8"/>
        <v/>
      </c>
      <c r="V391" s="76"/>
      <c r="W391" s="14"/>
    </row>
    <row r="392">
      <c r="A392" s="37" t="s">
        <v>1047</v>
      </c>
      <c r="B392" s="37">
        <v>2014.0</v>
      </c>
      <c r="C392" s="69" t="s">
        <v>1048</v>
      </c>
      <c r="D392" s="71" t="s">
        <v>95</v>
      </c>
      <c r="E392" s="13"/>
      <c r="F392" s="74" t="str">
        <f t="shared" si="1"/>
        <v/>
      </c>
      <c r="G392" s="78"/>
      <c r="H392" s="13"/>
      <c r="I392" s="74" t="str">
        <f t="shared" si="2"/>
        <v/>
      </c>
      <c r="J392" s="75" t="str">
        <f t="shared" si="3"/>
        <v>NO</v>
      </c>
      <c r="K392" s="20"/>
      <c r="M392" s="76"/>
      <c r="N392" s="75" t="str">
        <f t="shared" si="4"/>
        <v>NO</v>
      </c>
      <c r="O392" s="76"/>
      <c r="P392" s="76"/>
      <c r="Q392" s="75" t="str">
        <f t="shared" si="5"/>
        <v/>
      </c>
      <c r="R392" s="75" t="str">
        <f t="shared" si="6"/>
        <v>NO</v>
      </c>
      <c r="S392" s="75"/>
      <c r="T392" s="75"/>
      <c r="U392" s="75" t="str">
        <f t="shared" si="8"/>
        <v/>
      </c>
      <c r="V392" s="76"/>
      <c r="W392" s="14"/>
    </row>
    <row r="393">
      <c r="A393" s="37" t="s">
        <v>1049</v>
      </c>
      <c r="B393" s="37">
        <v>2014.0</v>
      </c>
      <c r="C393" s="69" t="s">
        <v>1050</v>
      </c>
      <c r="D393" s="78"/>
      <c r="F393" s="74" t="str">
        <f t="shared" si="1"/>
        <v/>
      </c>
      <c r="G393" s="71" t="s">
        <v>95</v>
      </c>
      <c r="I393" s="74" t="str">
        <f t="shared" si="2"/>
        <v/>
      </c>
      <c r="J393" s="75" t="str">
        <f t="shared" si="3"/>
        <v>NO</v>
      </c>
      <c r="K393" s="20"/>
      <c r="M393" s="76"/>
      <c r="N393" s="75" t="str">
        <f t="shared" si="4"/>
        <v>NO</v>
      </c>
      <c r="O393" s="76"/>
      <c r="P393" s="76"/>
      <c r="Q393" s="75" t="str">
        <f t="shared" si="5"/>
        <v/>
      </c>
      <c r="R393" s="75" t="str">
        <f t="shared" si="6"/>
        <v>NO</v>
      </c>
      <c r="S393" s="75"/>
      <c r="T393" s="75"/>
      <c r="U393" s="75" t="str">
        <f t="shared" si="8"/>
        <v/>
      </c>
      <c r="V393" s="76"/>
      <c r="W393" s="14"/>
    </row>
    <row r="394">
      <c r="A394" s="37" t="s">
        <v>1051</v>
      </c>
      <c r="B394" s="37">
        <v>2014.0</v>
      </c>
      <c r="C394" s="69" t="s">
        <v>1052</v>
      </c>
      <c r="D394" s="78"/>
      <c r="E394" s="13" t="s">
        <v>95</v>
      </c>
      <c r="F394" s="74" t="str">
        <f t="shared" si="1"/>
        <v>NO</v>
      </c>
      <c r="G394" s="71" t="s">
        <v>95</v>
      </c>
      <c r="H394" s="13" t="s">
        <v>247</v>
      </c>
      <c r="I394" s="74" t="str">
        <f t="shared" si="2"/>
        <v>YES</v>
      </c>
      <c r="J394" s="75" t="str">
        <f t="shared" si="3"/>
        <v>NO</v>
      </c>
      <c r="K394" s="20"/>
      <c r="M394" s="76"/>
      <c r="N394" s="75" t="str">
        <f t="shared" si="4"/>
        <v>NO</v>
      </c>
      <c r="O394" s="76"/>
      <c r="P394" s="76"/>
      <c r="Q394" s="75" t="str">
        <f t="shared" si="5"/>
        <v/>
      </c>
      <c r="R394" s="75" t="str">
        <f t="shared" si="6"/>
        <v>NO</v>
      </c>
      <c r="S394" s="75"/>
      <c r="T394" s="75"/>
      <c r="U394" s="75" t="str">
        <f t="shared" si="8"/>
        <v/>
      </c>
      <c r="V394" s="76"/>
      <c r="W394" s="14"/>
    </row>
    <row r="395">
      <c r="A395" s="37" t="s">
        <v>1053</v>
      </c>
      <c r="B395" s="37">
        <v>2014.0</v>
      </c>
      <c r="C395" s="69" t="s">
        <v>1054</v>
      </c>
      <c r="D395" s="78"/>
      <c r="E395" s="13" t="s">
        <v>247</v>
      </c>
      <c r="F395" s="74" t="str">
        <f t="shared" si="1"/>
        <v>YES</v>
      </c>
      <c r="G395" s="78"/>
      <c r="H395" s="13" t="s">
        <v>247</v>
      </c>
      <c r="I395" s="74" t="str">
        <f t="shared" si="2"/>
        <v>YES</v>
      </c>
      <c r="J395" s="75" t="str">
        <f t="shared" si="3"/>
        <v>YES</v>
      </c>
      <c r="K395" s="37" t="s">
        <v>91</v>
      </c>
      <c r="L395" s="13" t="s">
        <v>32</v>
      </c>
      <c r="M395" s="75" t="s">
        <v>142</v>
      </c>
      <c r="N395" s="75" t="str">
        <f t="shared" si="4"/>
        <v>NO</v>
      </c>
      <c r="O395" s="76"/>
      <c r="P395" s="75"/>
      <c r="Q395" s="75" t="str">
        <f t="shared" si="5"/>
        <v/>
      </c>
      <c r="R395" s="75" t="str">
        <f t="shared" si="6"/>
        <v>NO</v>
      </c>
      <c r="S395" s="75"/>
      <c r="T395" s="75"/>
      <c r="U395" s="75" t="str">
        <f t="shared" si="8"/>
        <v/>
      </c>
      <c r="V395" s="76"/>
      <c r="W395" s="14"/>
    </row>
    <row r="396">
      <c r="A396" s="37" t="s">
        <v>1055</v>
      </c>
      <c r="B396" s="37">
        <v>2015.0</v>
      </c>
      <c r="C396" s="69" t="s">
        <v>1056</v>
      </c>
      <c r="D396" s="78"/>
      <c r="F396" s="74" t="str">
        <f t="shared" si="1"/>
        <v/>
      </c>
      <c r="G396" s="78"/>
      <c r="I396" s="74" t="str">
        <f t="shared" si="2"/>
        <v/>
      </c>
      <c r="J396" s="75" t="str">
        <f t="shared" si="3"/>
        <v>YES</v>
      </c>
      <c r="K396" s="37" t="s">
        <v>130</v>
      </c>
      <c r="M396" s="76"/>
      <c r="N396" s="75" t="str">
        <f t="shared" si="4"/>
        <v>YES</v>
      </c>
      <c r="O396" s="75" t="s">
        <v>131</v>
      </c>
      <c r="P396" s="75" t="s">
        <v>131</v>
      </c>
      <c r="Q396" s="75" t="str">
        <f t="shared" si="5"/>
        <v>YES</v>
      </c>
      <c r="R396" s="75" t="str">
        <f t="shared" si="6"/>
        <v>YES</v>
      </c>
      <c r="S396" s="75"/>
      <c r="T396" s="75"/>
      <c r="U396" s="75" t="str">
        <f t="shared" si="8"/>
        <v/>
      </c>
      <c r="V396" s="76"/>
      <c r="W396" s="14"/>
    </row>
    <row r="397">
      <c r="A397" s="37" t="s">
        <v>1058</v>
      </c>
      <c r="B397" s="37">
        <v>2016.0</v>
      </c>
      <c r="C397" s="69" t="s">
        <v>1059</v>
      </c>
      <c r="D397" s="78"/>
      <c r="F397" s="74" t="str">
        <f t="shared" si="1"/>
        <v/>
      </c>
      <c r="G397" s="78"/>
      <c r="I397" s="74" t="str">
        <f t="shared" si="2"/>
        <v/>
      </c>
      <c r="J397" s="75" t="str">
        <f t="shared" si="3"/>
        <v>YES</v>
      </c>
      <c r="K397" s="37" t="s">
        <v>86</v>
      </c>
      <c r="M397" s="76"/>
      <c r="N397" s="75" t="str">
        <f t="shared" si="4"/>
        <v>NO</v>
      </c>
      <c r="O397" s="76"/>
      <c r="P397" s="76"/>
      <c r="Q397" s="75" t="str">
        <f t="shared" si="5"/>
        <v/>
      </c>
      <c r="R397" s="75" t="str">
        <f t="shared" si="6"/>
        <v>NO</v>
      </c>
      <c r="S397" s="75"/>
      <c r="T397" s="75"/>
      <c r="U397" s="75" t="str">
        <f t="shared" si="8"/>
        <v/>
      </c>
      <c r="V397" s="76"/>
      <c r="W397" s="14"/>
    </row>
    <row r="398">
      <c r="A398" s="37" t="s">
        <v>1060</v>
      </c>
      <c r="B398" s="37">
        <v>2016.0</v>
      </c>
      <c r="C398" s="69" t="s">
        <v>1061</v>
      </c>
      <c r="D398" s="78"/>
      <c r="F398" s="74" t="str">
        <f t="shared" si="1"/>
        <v/>
      </c>
      <c r="G398" s="78"/>
      <c r="I398" s="74" t="str">
        <f t="shared" si="2"/>
        <v/>
      </c>
      <c r="J398" s="75" t="str">
        <f t="shared" si="3"/>
        <v>YES</v>
      </c>
      <c r="K398" s="37" t="s">
        <v>86</v>
      </c>
      <c r="M398" s="76"/>
      <c r="N398" s="75" t="str">
        <f t="shared" si="4"/>
        <v>NO</v>
      </c>
      <c r="O398" s="76"/>
      <c r="P398" s="76"/>
      <c r="Q398" s="75" t="str">
        <f t="shared" si="5"/>
        <v/>
      </c>
      <c r="R398" s="75" t="str">
        <f t="shared" si="6"/>
        <v>NO</v>
      </c>
      <c r="S398" s="75"/>
      <c r="T398" s="75"/>
      <c r="U398" s="75" t="str">
        <f t="shared" si="8"/>
        <v/>
      </c>
      <c r="V398" s="76"/>
      <c r="W398" s="14"/>
    </row>
    <row r="399">
      <c r="A399" s="37" t="s">
        <v>1062</v>
      </c>
      <c r="B399" s="37">
        <v>2014.0</v>
      </c>
      <c r="C399" s="69" t="s">
        <v>1063</v>
      </c>
      <c r="D399" s="78"/>
      <c r="E399" s="13" t="s">
        <v>247</v>
      </c>
      <c r="F399" s="74" t="str">
        <f t="shared" si="1"/>
        <v>YES</v>
      </c>
      <c r="G399" s="78"/>
      <c r="H399" s="13" t="s">
        <v>247</v>
      </c>
      <c r="I399" s="74" t="str">
        <f t="shared" si="2"/>
        <v>YES</v>
      </c>
      <c r="J399" s="75" t="str">
        <f t="shared" si="3"/>
        <v>YES</v>
      </c>
      <c r="K399" s="37" t="s">
        <v>130</v>
      </c>
      <c r="M399" s="76"/>
      <c r="N399" s="75" t="str">
        <f t="shared" si="4"/>
        <v>YES</v>
      </c>
      <c r="O399" s="75" t="s">
        <v>131</v>
      </c>
      <c r="P399" s="75" t="s">
        <v>131</v>
      </c>
      <c r="Q399" s="75" t="str">
        <f t="shared" si="5"/>
        <v>YES</v>
      </c>
      <c r="R399" s="75" t="str">
        <f t="shared" si="6"/>
        <v>YES</v>
      </c>
      <c r="S399" s="75" t="s">
        <v>131</v>
      </c>
      <c r="T399" s="75" t="s">
        <v>131</v>
      </c>
      <c r="U399" s="75" t="str">
        <f t="shared" si="8"/>
        <v>YES</v>
      </c>
      <c r="V399" s="75" t="s">
        <v>285</v>
      </c>
      <c r="W399" s="14"/>
    </row>
    <row r="400">
      <c r="A400" s="37" t="s">
        <v>1065</v>
      </c>
      <c r="B400" s="37">
        <v>2014.0</v>
      </c>
      <c r="C400" s="69" t="s">
        <v>1066</v>
      </c>
      <c r="D400" s="78"/>
      <c r="E400" s="13" t="s">
        <v>247</v>
      </c>
      <c r="F400" s="74" t="str">
        <f t="shared" si="1"/>
        <v>YES</v>
      </c>
      <c r="G400" s="78"/>
      <c r="H400" s="13" t="s">
        <v>247</v>
      </c>
      <c r="I400" s="74" t="str">
        <f t="shared" si="2"/>
        <v>YES</v>
      </c>
      <c r="J400" s="75" t="str">
        <f t="shared" si="3"/>
        <v>YES</v>
      </c>
      <c r="K400" s="37" t="s">
        <v>490</v>
      </c>
      <c r="L400" s="13" t="s">
        <v>32</v>
      </c>
      <c r="M400" s="75" t="s">
        <v>142</v>
      </c>
      <c r="N400" s="75" t="str">
        <f t="shared" si="4"/>
        <v>NO</v>
      </c>
      <c r="O400" s="76"/>
      <c r="P400" s="75"/>
      <c r="Q400" s="75" t="str">
        <f t="shared" si="5"/>
        <v/>
      </c>
      <c r="R400" s="75" t="str">
        <f t="shared" si="6"/>
        <v>NO</v>
      </c>
      <c r="S400" s="75"/>
      <c r="T400" s="75"/>
      <c r="U400" s="75" t="str">
        <f t="shared" si="8"/>
        <v/>
      </c>
      <c r="V400" s="76"/>
      <c r="W400" s="14"/>
    </row>
    <row r="401">
      <c r="A401" s="37" t="s">
        <v>1067</v>
      </c>
      <c r="B401" s="37">
        <v>2014.0</v>
      </c>
      <c r="C401" s="69" t="s">
        <v>1068</v>
      </c>
      <c r="D401" s="78"/>
      <c r="F401" s="74" t="str">
        <f t="shared" si="1"/>
        <v/>
      </c>
      <c r="G401" s="78"/>
      <c r="I401" s="74" t="str">
        <f t="shared" si="2"/>
        <v/>
      </c>
      <c r="J401" s="75" t="str">
        <f t="shared" si="3"/>
        <v>YES</v>
      </c>
      <c r="K401" s="37" t="s">
        <v>490</v>
      </c>
      <c r="L401" s="13" t="s">
        <v>32</v>
      </c>
      <c r="M401" s="75" t="s">
        <v>142</v>
      </c>
      <c r="N401" s="75" t="str">
        <f t="shared" si="4"/>
        <v>NO</v>
      </c>
      <c r="O401" s="76"/>
      <c r="P401" s="75"/>
      <c r="Q401" s="75" t="str">
        <f t="shared" si="5"/>
        <v/>
      </c>
      <c r="R401" s="75" t="str">
        <f t="shared" si="6"/>
        <v>NO</v>
      </c>
      <c r="S401" s="75"/>
      <c r="T401" s="75"/>
      <c r="U401" s="75" t="str">
        <f t="shared" si="8"/>
        <v/>
      </c>
      <c r="V401" s="76"/>
      <c r="W401" s="14"/>
    </row>
    <row r="402">
      <c r="A402" s="37" t="s">
        <v>1069</v>
      </c>
      <c r="B402" s="37">
        <v>2015.0</v>
      </c>
      <c r="C402" s="69" t="s">
        <v>489</v>
      </c>
      <c r="D402" s="78"/>
      <c r="F402" s="74" t="str">
        <f t="shared" si="1"/>
        <v/>
      </c>
      <c r="G402" s="71" t="s">
        <v>95</v>
      </c>
      <c r="I402" s="74" t="str">
        <f t="shared" si="2"/>
        <v/>
      </c>
      <c r="J402" s="75" t="str">
        <f t="shared" si="3"/>
        <v>NO</v>
      </c>
      <c r="K402" s="20"/>
      <c r="M402" s="76"/>
      <c r="N402" s="75" t="str">
        <f t="shared" si="4"/>
        <v>NO</v>
      </c>
      <c r="O402" s="76"/>
      <c r="P402" s="76"/>
      <c r="Q402" s="75" t="str">
        <f t="shared" si="5"/>
        <v/>
      </c>
      <c r="R402" s="75" t="str">
        <f t="shared" si="6"/>
        <v>NO</v>
      </c>
      <c r="S402" s="75"/>
      <c r="T402" s="75"/>
      <c r="U402" s="75" t="str">
        <f t="shared" si="8"/>
        <v/>
      </c>
      <c r="V402" s="76"/>
      <c r="W402" s="14"/>
    </row>
    <row r="403">
      <c r="A403" s="37" t="s">
        <v>1070</v>
      </c>
      <c r="B403" s="37">
        <v>2014.0</v>
      </c>
      <c r="C403" s="69" t="s">
        <v>1071</v>
      </c>
      <c r="D403" s="78"/>
      <c r="F403" s="74" t="str">
        <f t="shared" si="1"/>
        <v/>
      </c>
      <c r="G403" s="78"/>
      <c r="I403" s="74" t="str">
        <f t="shared" si="2"/>
        <v/>
      </c>
      <c r="J403" s="75" t="str">
        <f t="shared" si="3"/>
        <v>YES</v>
      </c>
      <c r="K403" s="37" t="s">
        <v>86</v>
      </c>
      <c r="M403" s="76"/>
      <c r="N403" s="75" t="str">
        <f t="shared" si="4"/>
        <v>NO</v>
      </c>
      <c r="O403" s="76"/>
      <c r="P403" s="76"/>
      <c r="Q403" s="75" t="str">
        <f t="shared" si="5"/>
        <v/>
      </c>
      <c r="R403" s="75" t="str">
        <f t="shared" si="6"/>
        <v>NO</v>
      </c>
      <c r="S403" s="75"/>
      <c r="T403" s="75"/>
      <c r="U403" s="75" t="str">
        <f t="shared" si="8"/>
        <v/>
      </c>
      <c r="V403" s="76"/>
      <c r="W403" s="14"/>
    </row>
    <row r="404">
      <c r="A404" s="37" t="s">
        <v>1072</v>
      </c>
      <c r="B404" s="37">
        <v>2014.0</v>
      </c>
      <c r="C404" s="69" t="s">
        <v>1073</v>
      </c>
      <c r="D404" s="78"/>
      <c r="F404" s="74" t="str">
        <f t="shared" si="1"/>
        <v/>
      </c>
      <c r="G404" s="78"/>
      <c r="I404" s="74" t="str">
        <f t="shared" si="2"/>
        <v/>
      </c>
      <c r="J404" s="75" t="str">
        <f t="shared" si="3"/>
        <v>YES</v>
      </c>
      <c r="K404" s="37" t="s">
        <v>86</v>
      </c>
      <c r="M404" s="76"/>
      <c r="N404" s="75" t="str">
        <f t="shared" si="4"/>
        <v>NO</v>
      </c>
      <c r="O404" s="76"/>
      <c r="P404" s="76"/>
      <c r="Q404" s="75" t="str">
        <f t="shared" si="5"/>
        <v/>
      </c>
      <c r="R404" s="75" t="str">
        <f t="shared" si="6"/>
        <v>NO</v>
      </c>
      <c r="S404" s="75"/>
      <c r="T404" s="75"/>
      <c r="U404" s="75" t="str">
        <f t="shared" si="8"/>
        <v/>
      </c>
      <c r="V404" s="76"/>
      <c r="W404" s="14"/>
    </row>
    <row r="405">
      <c r="A405" s="37" t="s">
        <v>1074</v>
      </c>
      <c r="B405" s="37">
        <v>2016.0</v>
      </c>
      <c r="C405" s="69" t="s">
        <v>1075</v>
      </c>
      <c r="D405" s="71" t="s">
        <v>95</v>
      </c>
      <c r="E405" s="13"/>
      <c r="F405" s="74" t="str">
        <f t="shared" si="1"/>
        <v/>
      </c>
      <c r="G405" s="78"/>
      <c r="H405" s="13"/>
      <c r="I405" s="74" t="str">
        <f t="shared" si="2"/>
        <v/>
      </c>
      <c r="J405" s="75" t="str">
        <f t="shared" si="3"/>
        <v>NO</v>
      </c>
      <c r="K405" s="20"/>
      <c r="M405" s="76"/>
      <c r="N405" s="75" t="str">
        <f t="shared" si="4"/>
        <v>NO</v>
      </c>
      <c r="O405" s="76"/>
      <c r="P405" s="76"/>
      <c r="Q405" s="75" t="str">
        <f t="shared" si="5"/>
        <v/>
      </c>
      <c r="R405" s="75" t="str">
        <f t="shared" si="6"/>
        <v>NO</v>
      </c>
      <c r="S405" s="75"/>
      <c r="T405" s="75"/>
      <c r="U405" s="75" t="str">
        <f t="shared" si="8"/>
        <v/>
      </c>
      <c r="V405" s="76"/>
      <c r="W405" s="14"/>
    </row>
    <row r="406">
      <c r="A406" s="37" t="s">
        <v>1076</v>
      </c>
      <c r="B406" s="37">
        <v>2016.0</v>
      </c>
      <c r="C406" s="69" t="s">
        <v>1077</v>
      </c>
      <c r="D406" s="78"/>
      <c r="E406" s="13" t="s">
        <v>247</v>
      </c>
      <c r="F406" s="74" t="str">
        <f t="shared" si="1"/>
        <v>YES</v>
      </c>
      <c r="G406" s="78"/>
      <c r="H406" s="13" t="s">
        <v>247</v>
      </c>
      <c r="I406" s="74" t="str">
        <f t="shared" si="2"/>
        <v>YES</v>
      </c>
      <c r="J406" s="75" t="str">
        <f t="shared" si="3"/>
        <v>YES</v>
      </c>
      <c r="K406" s="37" t="s">
        <v>86</v>
      </c>
      <c r="M406" s="76"/>
      <c r="N406" s="75" t="str">
        <f t="shared" si="4"/>
        <v>NO</v>
      </c>
      <c r="O406" s="76"/>
      <c r="P406" s="76"/>
      <c r="Q406" s="75" t="str">
        <f t="shared" si="5"/>
        <v/>
      </c>
      <c r="R406" s="75" t="str">
        <f t="shared" si="6"/>
        <v>NO</v>
      </c>
      <c r="S406" s="75"/>
      <c r="T406" s="75"/>
      <c r="U406" s="75" t="str">
        <f t="shared" si="8"/>
        <v/>
      </c>
      <c r="V406" s="76"/>
      <c r="W406" s="14"/>
    </row>
    <row r="407">
      <c r="A407" s="37" t="s">
        <v>1078</v>
      </c>
      <c r="B407" s="37">
        <v>2015.0</v>
      </c>
      <c r="C407" s="69" t="s">
        <v>1079</v>
      </c>
      <c r="D407" s="71" t="s">
        <v>95</v>
      </c>
      <c r="E407" s="13" t="s">
        <v>95</v>
      </c>
      <c r="F407" s="74" t="str">
        <f t="shared" si="1"/>
        <v>YES</v>
      </c>
      <c r="G407" s="78"/>
      <c r="H407" s="13" t="s">
        <v>247</v>
      </c>
      <c r="I407" s="74" t="str">
        <f t="shared" si="2"/>
        <v>YES</v>
      </c>
      <c r="J407" s="75" t="str">
        <f t="shared" si="3"/>
        <v>NO</v>
      </c>
      <c r="K407" s="20"/>
      <c r="M407" s="76"/>
      <c r="N407" s="75" t="str">
        <f t="shared" si="4"/>
        <v>NO</v>
      </c>
      <c r="O407" s="76"/>
      <c r="P407" s="76"/>
      <c r="Q407" s="75" t="str">
        <f t="shared" si="5"/>
        <v/>
      </c>
      <c r="R407" s="75" t="str">
        <f t="shared" si="6"/>
        <v>NO</v>
      </c>
      <c r="S407" s="75"/>
      <c r="T407" s="75"/>
      <c r="U407" s="75" t="str">
        <f t="shared" si="8"/>
        <v/>
      </c>
      <c r="V407" s="76"/>
      <c r="W407" s="14"/>
    </row>
    <row r="408">
      <c r="A408" s="37" t="s">
        <v>1080</v>
      </c>
      <c r="B408" s="37">
        <v>2012.0</v>
      </c>
      <c r="C408" s="69" t="s">
        <v>1081</v>
      </c>
      <c r="D408" s="78"/>
      <c r="F408" s="74" t="str">
        <f t="shared" si="1"/>
        <v/>
      </c>
      <c r="G408" s="78"/>
      <c r="I408" s="74" t="str">
        <f t="shared" si="2"/>
        <v/>
      </c>
      <c r="J408" s="75" t="str">
        <f t="shared" si="3"/>
        <v>YES</v>
      </c>
      <c r="K408" s="37" t="s">
        <v>130</v>
      </c>
      <c r="L408" s="13" t="s">
        <v>7</v>
      </c>
      <c r="M408" s="75" t="s">
        <v>142</v>
      </c>
      <c r="N408" s="75" t="str">
        <f t="shared" si="4"/>
        <v>YES</v>
      </c>
      <c r="O408" s="75" t="s">
        <v>131</v>
      </c>
      <c r="P408" s="75"/>
      <c r="Q408" s="75" t="str">
        <f t="shared" si="5"/>
        <v/>
      </c>
      <c r="R408" s="75" t="str">
        <f t="shared" si="6"/>
        <v>YES</v>
      </c>
      <c r="S408" s="75"/>
      <c r="T408" s="75"/>
      <c r="U408" s="75" t="str">
        <f t="shared" si="8"/>
        <v/>
      </c>
      <c r="V408" s="76"/>
      <c r="W408" s="14"/>
    </row>
    <row r="409">
      <c r="A409" s="37" t="s">
        <v>1082</v>
      </c>
      <c r="B409" s="37">
        <v>2015.0</v>
      </c>
      <c r="C409" s="69" t="s">
        <v>1083</v>
      </c>
      <c r="D409" s="78"/>
      <c r="F409" s="74" t="str">
        <f t="shared" si="1"/>
        <v/>
      </c>
      <c r="G409" s="78"/>
      <c r="I409" s="74" t="str">
        <f t="shared" si="2"/>
        <v/>
      </c>
      <c r="J409" s="75" t="str">
        <f t="shared" si="3"/>
        <v>YES</v>
      </c>
      <c r="K409" s="37" t="s">
        <v>86</v>
      </c>
      <c r="M409" s="76"/>
      <c r="N409" s="75" t="str">
        <f t="shared" si="4"/>
        <v>NO</v>
      </c>
      <c r="O409" s="76"/>
      <c r="P409" s="76"/>
      <c r="Q409" s="75" t="str">
        <f t="shared" si="5"/>
        <v/>
      </c>
      <c r="R409" s="75" t="str">
        <f t="shared" si="6"/>
        <v>NO</v>
      </c>
      <c r="S409" s="75"/>
      <c r="T409" s="75"/>
      <c r="U409" s="75" t="str">
        <f t="shared" si="8"/>
        <v/>
      </c>
      <c r="V409" s="76"/>
      <c r="W409" s="14"/>
    </row>
    <row r="410">
      <c r="A410" s="37" t="s">
        <v>1084</v>
      </c>
      <c r="B410" s="37">
        <v>2015.0</v>
      </c>
      <c r="C410" s="69" t="s">
        <v>1085</v>
      </c>
      <c r="D410" s="71"/>
      <c r="E410" s="13" t="s">
        <v>95</v>
      </c>
      <c r="F410" s="74" t="str">
        <f t="shared" si="1"/>
        <v>NO</v>
      </c>
      <c r="G410" s="71" t="s">
        <v>95</v>
      </c>
      <c r="H410" s="13" t="s">
        <v>247</v>
      </c>
      <c r="I410" s="74" t="str">
        <f t="shared" si="2"/>
        <v>YES</v>
      </c>
      <c r="J410" s="75" t="str">
        <f t="shared" si="3"/>
        <v>NO</v>
      </c>
      <c r="K410" s="20"/>
      <c r="M410" s="76"/>
      <c r="N410" s="75" t="str">
        <f t="shared" si="4"/>
        <v>NO</v>
      </c>
      <c r="O410" s="76"/>
      <c r="P410" s="76"/>
      <c r="Q410" s="75" t="str">
        <f t="shared" si="5"/>
        <v/>
      </c>
      <c r="R410" s="75" t="str">
        <f t="shared" si="6"/>
        <v>NO</v>
      </c>
      <c r="S410" s="75"/>
      <c r="T410" s="75"/>
      <c r="U410" s="75" t="str">
        <f t="shared" si="8"/>
        <v/>
      </c>
      <c r="V410" s="76"/>
      <c r="W410" s="14"/>
    </row>
    <row r="411">
      <c r="A411" s="37" t="s">
        <v>1086</v>
      </c>
      <c r="B411" s="37">
        <v>2016.0</v>
      </c>
      <c r="C411" s="69" t="s">
        <v>1087</v>
      </c>
      <c r="D411" s="78"/>
      <c r="F411" s="74" t="str">
        <f t="shared" si="1"/>
        <v/>
      </c>
      <c r="G411" s="78"/>
      <c r="I411" s="74" t="str">
        <f t="shared" si="2"/>
        <v/>
      </c>
      <c r="J411" s="75" t="str">
        <f t="shared" si="3"/>
        <v>YES</v>
      </c>
      <c r="K411" s="37" t="s">
        <v>86</v>
      </c>
      <c r="L411" s="13" t="s">
        <v>32</v>
      </c>
      <c r="M411" s="75" t="s">
        <v>142</v>
      </c>
      <c r="N411" s="75" t="str">
        <f t="shared" si="4"/>
        <v>NO</v>
      </c>
      <c r="O411" s="76"/>
      <c r="P411" s="75"/>
      <c r="Q411" s="75" t="str">
        <f t="shared" si="5"/>
        <v/>
      </c>
      <c r="R411" s="75" t="str">
        <f t="shared" si="6"/>
        <v>NO</v>
      </c>
      <c r="S411" s="75"/>
      <c r="T411" s="75"/>
      <c r="U411" s="75" t="str">
        <f t="shared" si="8"/>
        <v/>
      </c>
      <c r="V411" s="76"/>
      <c r="W411" s="14"/>
    </row>
    <row r="412">
      <c r="A412" s="37" t="s">
        <v>1088</v>
      </c>
      <c r="B412" s="37">
        <v>2013.0</v>
      </c>
      <c r="C412" s="69" t="s">
        <v>1089</v>
      </c>
      <c r="D412" s="71" t="s">
        <v>95</v>
      </c>
      <c r="E412" s="13"/>
      <c r="F412" s="74" t="str">
        <f t="shared" si="1"/>
        <v/>
      </c>
      <c r="G412" s="78"/>
      <c r="H412" s="13"/>
      <c r="I412" s="74" t="str">
        <f t="shared" si="2"/>
        <v/>
      </c>
      <c r="J412" s="75" t="str">
        <f t="shared" si="3"/>
        <v>NO</v>
      </c>
      <c r="K412" s="20"/>
      <c r="M412" s="76"/>
      <c r="N412" s="75" t="str">
        <f t="shared" si="4"/>
        <v>NO</v>
      </c>
      <c r="O412" s="76"/>
      <c r="P412" s="76"/>
      <c r="Q412" s="75" t="str">
        <f t="shared" si="5"/>
        <v/>
      </c>
      <c r="R412" s="75" t="str">
        <f t="shared" si="6"/>
        <v>NO</v>
      </c>
      <c r="S412" s="75"/>
      <c r="T412" s="75"/>
      <c r="U412" s="75" t="str">
        <f t="shared" si="8"/>
        <v/>
      </c>
      <c r="V412" s="76"/>
      <c r="W412" s="14"/>
    </row>
    <row r="413">
      <c r="A413" s="37" t="s">
        <v>1090</v>
      </c>
      <c r="B413" s="37">
        <v>2016.0</v>
      </c>
      <c r="C413" s="69" t="s">
        <v>1091</v>
      </c>
      <c r="D413" s="78"/>
      <c r="F413" s="74" t="str">
        <f t="shared" si="1"/>
        <v/>
      </c>
      <c r="G413" s="78"/>
      <c r="I413" s="74" t="str">
        <f t="shared" si="2"/>
        <v/>
      </c>
      <c r="J413" s="75" t="str">
        <f t="shared" si="3"/>
        <v>YES</v>
      </c>
      <c r="K413" s="37" t="s">
        <v>490</v>
      </c>
      <c r="L413" s="13" t="s">
        <v>32</v>
      </c>
      <c r="M413" s="75" t="s">
        <v>142</v>
      </c>
      <c r="N413" s="75" t="str">
        <f t="shared" si="4"/>
        <v>NO</v>
      </c>
      <c r="O413" s="76"/>
      <c r="P413" s="75"/>
      <c r="Q413" s="75" t="str">
        <f t="shared" si="5"/>
        <v/>
      </c>
      <c r="R413" s="75" t="str">
        <f t="shared" si="6"/>
        <v>NO</v>
      </c>
      <c r="S413" s="75"/>
      <c r="T413" s="75"/>
      <c r="U413" s="75" t="str">
        <f t="shared" si="8"/>
        <v/>
      </c>
      <c r="V413" s="76"/>
      <c r="W413" s="14"/>
    </row>
    <row r="414">
      <c r="A414" s="37" t="s">
        <v>1092</v>
      </c>
      <c r="B414" s="37">
        <v>2016.0</v>
      </c>
      <c r="C414" s="69" t="s">
        <v>1093</v>
      </c>
      <c r="D414" s="78"/>
      <c r="F414" s="74" t="str">
        <f t="shared" si="1"/>
        <v/>
      </c>
      <c r="G414" s="78"/>
      <c r="I414" s="74" t="str">
        <f t="shared" si="2"/>
        <v/>
      </c>
      <c r="J414" s="75" t="str">
        <f t="shared" si="3"/>
        <v>YES</v>
      </c>
      <c r="K414" s="37" t="s">
        <v>86</v>
      </c>
      <c r="L414" s="13" t="s">
        <v>32</v>
      </c>
      <c r="M414" s="75" t="s">
        <v>142</v>
      </c>
      <c r="N414" s="75" t="str">
        <f t="shared" si="4"/>
        <v>NO</v>
      </c>
      <c r="O414" s="76"/>
      <c r="P414" s="75"/>
      <c r="Q414" s="75" t="str">
        <f t="shared" si="5"/>
        <v/>
      </c>
      <c r="R414" s="75" t="str">
        <f t="shared" si="6"/>
        <v>NO</v>
      </c>
      <c r="S414" s="75"/>
      <c r="T414" s="75"/>
      <c r="U414" s="75" t="str">
        <f t="shared" si="8"/>
        <v/>
      </c>
      <c r="V414" s="76"/>
      <c r="W414" s="14"/>
    </row>
    <row r="415">
      <c r="A415" s="37" t="s">
        <v>1094</v>
      </c>
      <c r="B415" s="37">
        <v>2016.0</v>
      </c>
      <c r="C415" s="69" t="s">
        <v>1095</v>
      </c>
      <c r="D415" s="71" t="s">
        <v>95</v>
      </c>
      <c r="E415" s="13"/>
      <c r="F415" s="74" t="str">
        <f t="shared" si="1"/>
        <v/>
      </c>
      <c r="G415" s="78"/>
      <c r="H415" s="13"/>
      <c r="I415" s="74" t="str">
        <f t="shared" si="2"/>
        <v/>
      </c>
      <c r="J415" s="75" t="str">
        <f t="shared" si="3"/>
        <v>NO</v>
      </c>
      <c r="K415" s="20"/>
      <c r="M415" s="76"/>
      <c r="N415" s="75" t="str">
        <f t="shared" si="4"/>
        <v>NO</v>
      </c>
      <c r="O415" s="76"/>
      <c r="P415" s="76"/>
      <c r="Q415" s="75" t="str">
        <f t="shared" si="5"/>
        <v/>
      </c>
      <c r="R415" s="75" t="str">
        <f t="shared" si="6"/>
        <v>NO</v>
      </c>
      <c r="S415" s="75"/>
      <c r="T415" s="75"/>
      <c r="U415" s="75" t="str">
        <f t="shared" si="8"/>
        <v/>
      </c>
      <c r="V415" s="76"/>
      <c r="W415" s="14"/>
    </row>
    <row r="416">
      <c r="A416" s="37" t="s">
        <v>1096</v>
      </c>
      <c r="B416" s="37">
        <v>2015.0</v>
      </c>
      <c r="C416" s="69" t="s">
        <v>1097</v>
      </c>
      <c r="D416" s="78"/>
      <c r="E416" s="13" t="s">
        <v>247</v>
      </c>
      <c r="F416" s="74" t="str">
        <f t="shared" si="1"/>
        <v>YES</v>
      </c>
      <c r="G416" s="71" t="s">
        <v>95</v>
      </c>
      <c r="H416" s="13" t="s">
        <v>247</v>
      </c>
      <c r="I416" s="74" t="str">
        <f t="shared" si="2"/>
        <v>NO</v>
      </c>
      <c r="J416" s="75" t="str">
        <f t="shared" si="3"/>
        <v>NO</v>
      </c>
      <c r="K416" s="20"/>
      <c r="M416" s="76"/>
      <c r="N416" s="75" t="str">
        <f t="shared" si="4"/>
        <v>NO</v>
      </c>
      <c r="O416" s="76"/>
      <c r="P416" s="76"/>
      <c r="Q416" s="75" t="str">
        <f t="shared" si="5"/>
        <v/>
      </c>
      <c r="R416" s="75" t="str">
        <f t="shared" si="6"/>
        <v>NO</v>
      </c>
      <c r="S416" s="75"/>
      <c r="T416" s="75"/>
      <c r="U416" s="75" t="str">
        <f t="shared" si="8"/>
        <v/>
      </c>
      <c r="V416" s="76"/>
      <c r="W416" s="14"/>
    </row>
    <row r="417">
      <c r="A417" s="37" t="s">
        <v>1098</v>
      </c>
      <c r="B417" s="37">
        <v>2016.0</v>
      </c>
      <c r="C417" s="69" t="s">
        <v>1099</v>
      </c>
      <c r="D417" s="78"/>
      <c r="F417" s="74" t="str">
        <f t="shared" si="1"/>
        <v/>
      </c>
      <c r="G417" s="71" t="s">
        <v>95</v>
      </c>
      <c r="I417" s="74" t="str">
        <f t="shared" si="2"/>
        <v/>
      </c>
      <c r="J417" s="75" t="str">
        <f t="shared" si="3"/>
        <v>NO</v>
      </c>
      <c r="K417" s="20"/>
      <c r="M417" s="76"/>
      <c r="N417" s="75" t="str">
        <f t="shared" si="4"/>
        <v>NO</v>
      </c>
      <c r="O417" s="76"/>
      <c r="P417" s="76"/>
      <c r="Q417" s="75" t="str">
        <f t="shared" si="5"/>
        <v/>
      </c>
      <c r="R417" s="75" t="str">
        <f t="shared" si="6"/>
        <v>NO</v>
      </c>
      <c r="S417" s="75"/>
      <c r="T417" s="75"/>
      <c r="U417" s="75" t="str">
        <f t="shared" si="8"/>
        <v/>
      </c>
      <c r="V417" s="76"/>
      <c r="W417" s="14"/>
    </row>
    <row r="418">
      <c r="A418" s="37" t="s">
        <v>1100</v>
      </c>
      <c r="B418" s="37">
        <v>2016.0</v>
      </c>
      <c r="C418" s="69" t="s">
        <v>1101</v>
      </c>
      <c r="D418" s="78"/>
      <c r="F418" s="74" t="str">
        <f t="shared" si="1"/>
        <v/>
      </c>
      <c r="G418" s="78"/>
      <c r="I418" s="74" t="str">
        <f t="shared" si="2"/>
        <v/>
      </c>
      <c r="J418" s="75" t="str">
        <f t="shared" si="3"/>
        <v>YES</v>
      </c>
      <c r="K418" s="37" t="s">
        <v>86</v>
      </c>
      <c r="M418" s="76"/>
      <c r="N418" s="75" t="str">
        <f t="shared" si="4"/>
        <v>NO</v>
      </c>
      <c r="O418" s="76"/>
      <c r="P418" s="76"/>
      <c r="Q418" s="75" t="str">
        <f t="shared" si="5"/>
        <v/>
      </c>
      <c r="R418" s="75" t="str">
        <f t="shared" si="6"/>
        <v>NO</v>
      </c>
      <c r="S418" s="75"/>
      <c r="T418" s="75"/>
      <c r="U418" s="75" t="str">
        <f t="shared" si="8"/>
        <v/>
      </c>
      <c r="V418" s="76"/>
      <c r="W418" s="14"/>
    </row>
    <row r="419">
      <c r="A419" s="37" t="s">
        <v>1102</v>
      </c>
      <c r="B419" s="37">
        <v>2015.0</v>
      </c>
      <c r="C419" s="69" t="s">
        <v>1103</v>
      </c>
      <c r="D419" s="71" t="s">
        <v>95</v>
      </c>
      <c r="E419" s="13"/>
      <c r="F419" s="74" t="str">
        <f t="shared" si="1"/>
        <v/>
      </c>
      <c r="G419" s="78"/>
      <c r="H419" s="13"/>
      <c r="I419" s="74" t="str">
        <f t="shared" si="2"/>
        <v/>
      </c>
      <c r="J419" s="75" t="str">
        <f t="shared" si="3"/>
        <v>NO</v>
      </c>
      <c r="K419" s="20"/>
      <c r="M419" s="76"/>
      <c r="N419" s="75" t="str">
        <f t="shared" si="4"/>
        <v>NO</v>
      </c>
      <c r="O419" s="76"/>
      <c r="P419" s="76"/>
      <c r="Q419" s="75" t="str">
        <f t="shared" si="5"/>
        <v/>
      </c>
      <c r="R419" s="75" t="str">
        <f t="shared" si="6"/>
        <v>NO</v>
      </c>
      <c r="S419" s="75"/>
      <c r="T419" s="75"/>
      <c r="U419" s="75" t="str">
        <f t="shared" si="8"/>
        <v/>
      </c>
      <c r="V419" s="76"/>
      <c r="W419" s="14"/>
    </row>
    <row r="420">
      <c r="A420" s="37" t="s">
        <v>1104</v>
      </c>
      <c r="B420" s="37">
        <v>2014.0</v>
      </c>
      <c r="C420" s="69" t="s">
        <v>1105</v>
      </c>
      <c r="D420" s="78"/>
      <c r="E420" s="13" t="s">
        <v>247</v>
      </c>
      <c r="F420" s="74" t="str">
        <f t="shared" si="1"/>
        <v>YES</v>
      </c>
      <c r="G420" s="78"/>
      <c r="H420" s="13" t="s">
        <v>247</v>
      </c>
      <c r="I420" s="74" t="str">
        <f t="shared" si="2"/>
        <v>YES</v>
      </c>
      <c r="J420" s="75" t="str">
        <f t="shared" si="3"/>
        <v>YES</v>
      </c>
      <c r="K420" s="37" t="s">
        <v>86</v>
      </c>
      <c r="L420" s="13" t="s">
        <v>32</v>
      </c>
      <c r="M420" s="75" t="s">
        <v>142</v>
      </c>
      <c r="N420" s="75" t="str">
        <f t="shared" si="4"/>
        <v>NO</v>
      </c>
      <c r="O420" s="76"/>
      <c r="P420" s="75"/>
      <c r="Q420" s="75" t="str">
        <f t="shared" si="5"/>
        <v/>
      </c>
      <c r="R420" s="75" t="str">
        <f t="shared" si="6"/>
        <v>NO</v>
      </c>
      <c r="S420" s="75"/>
      <c r="T420" s="75"/>
      <c r="U420" s="75" t="str">
        <f t="shared" si="8"/>
        <v/>
      </c>
      <c r="V420" s="76"/>
      <c r="W420" s="14"/>
    </row>
    <row r="421">
      <c r="A421" s="37" t="s">
        <v>1106</v>
      </c>
      <c r="B421" s="37">
        <v>2014.0</v>
      </c>
      <c r="C421" s="69" t="s">
        <v>1107</v>
      </c>
      <c r="D421" s="78"/>
      <c r="E421" s="13" t="s">
        <v>247</v>
      </c>
      <c r="F421" s="74" t="str">
        <f t="shared" si="1"/>
        <v>YES</v>
      </c>
      <c r="G421" s="78"/>
      <c r="H421" s="13" t="s">
        <v>247</v>
      </c>
      <c r="I421" s="74" t="str">
        <f t="shared" si="2"/>
        <v>YES</v>
      </c>
      <c r="J421" s="75" t="str">
        <f t="shared" si="3"/>
        <v>YES</v>
      </c>
      <c r="K421" s="37" t="s">
        <v>86</v>
      </c>
      <c r="M421" s="76"/>
      <c r="N421" s="75" t="str">
        <f t="shared" si="4"/>
        <v>NO</v>
      </c>
      <c r="O421" s="76"/>
      <c r="P421" s="76"/>
      <c r="Q421" s="75" t="str">
        <f t="shared" si="5"/>
        <v/>
      </c>
      <c r="R421" s="75" t="str">
        <f t="shared" si="6"/>
        <v>NO</v>
      </c>
      <c r="S421" s="75"/>
      <c r="T421" s="75"/>
      <c r="U421" s="75" t="str">
        <f t="shared" si="8"/>
        <v/>
      </c>
      <c r="V421" s="76"/>
      <c r="W421" s="14"/>
    </row>
    <row r="422">
      <c r="A422" s="37" t="s">
        <v>1108</v>
      </c>
      <c r="B422" s="37">
        <v>2016.0</v>
      </c>
      <c r="C422" s="69" t="s">
        <v>1109</v>
      </c>
      <c r="D422" s="78"/>
      <c r="F422" s="74" t="str">
        <f t="shared" si="1"/>
        <v/>
      </c>
      <c r="G422" s="71" t="s">
        <v>95</v>
      </c>
      <c r="I422" s="74" t="str">
        <f t="shared" si="2"/>
        <v/>
      </c>
      <c r="J422" s="75" t="str">
        <f t="shared" si="3"/>
        <v>NO</v>
      </c>
      <c r="K422" s="20"/>
      <c r="M422" s="76"/>
      <c r="N422" s="75" t="str">
        <f t="shared" si="4"/>
        <v>NO</v>
      </c>
      <c r="O422" s="76"/>
      <c r="P422" s="76"/>
      <c r="Q422" s="75" t="str">
        <f t="shared" si="5"/>
        <v/>
      </c>
      <c r="R422" s="75" t="str">
        <f t="shared" si="6"/>
        <v>NO</v>
      </c>
      <c r="S422" s="75"/>
      <c r="T422" s="75"/>
      <c r="U422" s="75" t="str">
        <f t="shared" si="8"/>
        <v/>
      </c>
      <c r="V422" s="76"/>
      <c r="W422" s="14"/>
    </row>
    <row r="423">
      <c r="A423" s="37" t="s">
        <v>1110</v>
      </c>
      <c r="B423" s="37">
        <v>2013.0</v>
      </c>
      <c r="C423" s="69" t="s">
        <v>1111</v>
      </c>
      <c r="D423" s="71" t="s">
        <v>95</v>
      </c>
      <c r="E423" s="13"/>
      <c r="F423" s="74" t="str">
        <f t="shared" si="1"/>
        <v/>
      </c>
      <c r="G423" s="78"/>
      <c r="H423" s="13"/>
      <c r="I423" s="74" t="str">
        <f t="shared" si="2"/>
        <v/>
      </c>
      <c r="J423" s="75" t="str">
        <f t="shared" si="3"/>
        <v>NO</v>
      </c>
      <c r="K423" s="20"/>
      <c r="M423" s="76"/>
      <c r="N423" s="75" t="str">
        <f t="shared" si="4"/>
        <v>NO</v>
      </c>
      <c r="O423" s="76"/>
      <c r="P423" s="76"/>
      <c r="Q423" s="75" t="str">
        <f t="shared" si="5"/>
        <v/>
      </c>
      <c r="R423" s="75" t="str">
        <f t="shared" si="6"/>
        <v>NO</v>
      </c>
      <c r="S423" s="75"/>
      <c r="T423" s="75"/>
      <c r="U423" s="75" t="str">
        <f t="shared" si="8"/>
        <v/>
      </c>
      <c r="V423" s="76"/>
      <c r="W423" s="14"/>
    </row>
    <row r="424">
      <c r="A424" s="37" t="s">
        <v>1112</v>
      </c>
      <c r="B424" s="37">
        <v>2016.0</v>
      </c>
      <c r="C424" s="69" t="s">
        <v>1113</v>
      </c>
      <c r="D424" s="78"/>
      <c r="F424" s="74" t="str">
        <f t="shared" si="1"/>
        <v/>
      </c>
      <c r="G424" s="78"/>
      <c r="I424" s="74" t="str">
        <f t="shared" si="2"/>
        <v/>
      </c>
      <c r="J424" s="75" t="str">
        <f t="shared" si="3"/>
        <v>YES</v>
      </c>
      <c r="K424" s="37" t="s">
        <v>86</v>
      </c>
      <c r="M424" s="76"/>
      <c r="N424" s="75" t="str">
        <f t="shared" si="4"/>
        <v>NO</v>
      </c>
      <c r="O424" s="76"/>
      <c r="P424" s="76"/>
      <c r="Q424" s="75" t="str">
        <f t="shared" si="5"/>
        <v/>
      </c>
      <c r="R424" s="75" t="str">
        <f t="shared" si="6"/>
        <v>NO</v>
      </c>
      <c r="S424" s="75"/>
      <c r="T424" s="75"/>
      <c r="U424" s="75" t="str">
        <f t="shared" si="8"/>
        <v/>
      </c>
      <c r="V424" s="76"/>
      <c r="W424" s="14"/>
    </row>
    <row r="425">
      <c r="A425" s="37" t="s">
        <v>1114</v>
      </c>
      <c r="B425" s="37">
        <v>2015.0</v>
      </c>
      <c r="C425" s="69" t="s">
        <v>1115</v>
      </c>
      <c r="D425" s="78"/>
      <c r="F425" s="74" t="str">
        <f t="shared" si="1"/>
        <v/>
      </c>
      <c r="G425" s="78"/>
      <c r="I425" s="74" t="str">
        <f t="shared" si="2"/>
        <v/>
      </c>
      <c r="J425" s="75" t="str">
        <f t="shared" si="3"/>
        <v>YES</v>
      </c>
      <c r="K425" s="37" t="s">
        <v>490</v>
      </c>
      <c r="M425" s="76"/>
      <c r="N425" s="75" t="str">
        <f t="shared" si="4"/>
        <v>NO</v>
      </c>
      <c r="O425" s="76"/>
      <c r="P425" s="76"/>
      <c r="Q425" s="75" t="str">
        <f t="shared" si="5"/>
        <v/>
      </c>
      <c r="R425" s="75" t="str">
        <f t="shared" si="6"/>
        <v>NO</v>
      </c>
      <c r="S425" s="75"/>
      <c r="T425" s="75"/>
      <c r="U425" s="75" t="str">
        <f t="shared" si="8"/>
        <v/>
      </c>
      <c r="V425" s="76"/>
      <c r="W425" s="14"/>
    </row>
    <row r="426">
      <c r="A426" s="37" t="s">
        <v>1116</v>
      </c>
      <c r="B426" s="37">
        <v>2016.0</v>
      </c>
      <c r="C426" s="69" t="s">
        <v>1117</v>
      </c>
      <c r="D426" s="78"/>
      <c r="F426" s="74" t="str">
        <f t="shared" si="1"/>
        <v/>
      </c>
      <c r="G426" s="78"/>
      <c r="I426" s="74" t="str">
        <f t="shared" si="2"/>
        <v/>
      </c>
      <c r="J426" s="75" t="str">
        <f t="shared" si="3"/>
        <v>YES</v>
      </c>
      <c r="K426" s="37" t="s">
        <v>86</v>
      </c>
      <c r="M426" s="76"/>
      <c r="N426" s="75" t="str">
        <f t="shared" si="4"/>
        <v>NO</v>
      </c>
      <c r="O426" s="76"/>
      <c r="P426" s="76"/>
      <c r="Q426" s="75" t="str">
        <f t="shared" si="5"/>
        <v/>
      </c>
      <c r="R426" s="75" t="str">
        <f t="shared" si="6"/>
        <v>NO</v>
      </c>
      <c r="S426" s="75"/>
      <c r="T426" s="75"/>
      <c r="U426" s="75" t="str">
        <f t="shared" si="8"/>
        <v/>
      </c>
      <c r="V426" s="76"/>
      <c r="W426" s="14"/>
    </row>
    <row r="427">
      <c r="A427" s="37" t="s">
        <v>1118</v>
      </c>
      <c r="B427" s="37">
        <v>2016.0</v>
      </c>
      <c r="C427" s="69" t="s">
        <v>1119</v>
      </c>
      <c r="D427" s="78"/>
      <c r="F427" s="74" t="str">
        <f t="shared" si="1"/>
        <v/>
      </c>
      <c r="G427" s="78"/>
      <c r="I427" s="74" t="str">
        <f t="shared" si="2"/>
        <v/>
      </c>
      <c r="J427" s="75" t="str">
        <f t="shared" si="3"/>
        <v>YES</v>
      </c>
      <c r="K427" s="37" t="s">
        <v>86</v>
      </c>
      <c r="M427" s="76"/>
      <c r="N427" s="75" t="str">
        <f t="shared" si="4"/>
        <v>NO</v>
      </c>
      <c r="O427" s="76"/>
      <c r="P427" s="76"/>
      <c r="Q427" s="75" t="str">
        <f t="shared" si="5"/>
        <v/>
      </c>
      <c r="R427" s="75" t="str">
        <f t="shared" si="6"/>
        <v>NO</v>
      </c>
      <c r="S427" s="75"/>
      <c r="T427" s="75"/>
      <c r="U427" s="75" t="str">
        <f t="shared" si="8"/>
        <v/>
      </c>
      <c r="V427" s="76"/>
      <c r="W427" s="14"/>
    </row>
    <row r="428">
      <c r="A428" s="37" t="s">
        <v>1121</v>
      </c>
      <c r="B428" s="37">
        <v>2012.0</v>
      </c>
      <c r="C428" s="69" t="s">
        <v>1122</v>
      </c>
      <c r="D428" s="78"/>
      <c r="F428" s="74" t="str">
        <f t="shared" si="1"/>
        <v/>
      </c>
      <c r="G428" s="78"/>
      <c r="I428" s="74" t="str">
        <f t="shared" si="2"/>
        <v/>
      </c>
      <c r="J428" s="75" t="str">
        <f t="shared" si="3"/>
        <v>YES</v>
      </c>
      <c r="K428" s="37" t="s">
        <v>91</v>
      </c>
      <c r="M428" s="76"/>
      <c r="N428" s="75" t="str">
        <f t="shared" si="4"/>
        <v>NO</v>
      </c>
      <c r="O428" s="76"/>
      <c r="P428" s="76"/>
      <c r="Q428" s="75" t="str">
        <f t="shared" si="5"/>
        <v/>
      </c>
      <c r="R428" s="75" t="str">
        <f t="shared" si="6"/>
        <v>NO</v>
      </c>
      <c r="S428" s="75"/>
      <c r="T428" s="75"/>
      <c r="U428" s="75" t="str">
        <f t="shared" si="8"/>
        <v/>
      </c>
      <c r="V428" s="76"/>
      <c r="W428" s="14"/>
    </row>
    <row r="429">
      <c r="A429" s="37" t="s">
        <v>1123</v>
      </c>
      <c r="B429" s="37">
        <v>2013.0</v>
      </c>
      <c r="C429" s="69" t="s">
        <v>1124</v>
      </c>
      <c r="D429" s="78"/>
      <c r="F429" s="74" t="str">
        <f t="shared" si="1"/>
        <v/>
      </c>
      <c r="G429" s="78"/>
      <c r="I429" s="74" t="str">
        <f t="shared" si="2"/>
        <v/>
      </c>
      <c r="J429" s="75" t="str">
        <f t="shared" si="3"/>
        <v>YES</v>
      </c>
      <c r="K429" s="37" t="s">
        <v>130</v>
      </c>
      <c r="M429" s="76"/>
      <c r="N429" s="75" t="str">
        <f t="shared" si="4"/>
        <v>YES</v>
      </c>
      <c r="O429" s="75" t="s">
        <v>131</v>
      </c>
      <c r="P429" s="75" t="s">
        <v>131</v>
      </c>
      <c r="Q429" s="75" t="str">
        <f t="shared" si="5"/>
        <v>YES</v>
      </c>
      <c r="R429" s="75" t="str">
        <f t="shared" si="6"/>
        <v>YES</v>
      </c>
      <c r="S429" s="75"/>
      <c r="T429" s="75"/>
      <c r="U429" s="75" t="str">
        <f t="shared" si="8"/>
        <v/>
      </c>
      <c r="V429" s="76"/>
      <c r="W429" s="14"/>
    </row>
    <row r="430">
      <c r="A430" s="37" t="s">
        <v>1127</v>
      </c>
      <c r="B430" s="37">
        <v>2012.0</v>
      </c>
      <c r="C430" s="69" t="s">
        <v>1128</v>
      </c>
      <c r="D430" s="78"/>
      <c r="E430" s="13" t="s">
        <v>247</v>
      </c>
      <c r="F430" s="74" t="str">
        <f t="shared" si="1"/>
        <v>YES</v>
      </c>
      <c r="G430" s="78"/>
      <c r="H430" s="13" t="s">
        <v>247</v>
      </c>
      <c r="I430" s="74" t="str">
        <f t="shared" si="2"/>
        <v>YES</v>
      </c>
      <c r="J430" s="75" t="str">
        <f t="shared" si="3"/>
        <v>YES</v>
      </c>
      <c r="K430" s="37" t="s">
        <v>91</v>
      </c>
      <c r="M430" s="76"/>
      <c r="N430" s="75" t="str">
        <f t="shared" si="4"/>
        <v>NO</v>
      </c>
      <c r="O430" s="76"/>
      <c r="P430" s="76"/>
      <c r="Q430" s="75" t="str">
        <f t="shared" si="5"/>
        <v/>
      </c>
      <c r="R430" s="75" t="str">
        <f t="shared" si="6"/>
        <v>NO</v>
      </c>
      <c r="S430" s="75"/>
      <c r="T430" s="75"/>
      <c r="U430" s="75" t="str">
        <f t="shared" si="8"/>
        <v/>
      </c>
      <c r="V430" s="76"/>
      <c r="W430" s="14"/>
    </row>
    <row r="431">
      <c r="A431" s="37" t="s">
        <v>1129</v>
      </c>
      <c r="B431" s="37">
        <v>2014.0</v>
      </c>
      <c r="C431" s="69" t="s">
        <v>1130</v>
      </c>
      <c r="D431" s="78"/>
      <c r="E431" s="13" t="s">
        <v>247</v>
      </c>
      <c r="F431" s="74" t="str">
        <f t="shared" si="1"/>
        <v>YES</v>
      </c>
      <c r="G431" s="78"/>
      <c r="H431" s="13" t="s">
        <v>247</v>
      </c>
      <c r="I431" s="74" t="str">
        <f t="shared" si="2"/>
        <v>YES</v>
      </c>
      <c r="J431" s="75" t="str">
        <f t="shared" si="3"/>
        <v>YES</v>
      </c>
      <c r="K431" s="37" t="s">
        <v>130</v>
      </c>
      <c r="M431" s="76"/>
      <c r="N431" s="75" t="str">
        <f t="shared" si="4"/>
        <v>YES</v>
      </c>
      <c r="O431" s="75" t="s">
        <v>131</v>
      </c>
      <c r="P431" s="76"/>
      <c r="Q431" s="75" t="str">
        <f t="shared" si="5"/>
        <v/>
      </c>
      <c r="R431" s="75" t="str">
        <f t="shared" si="6"/>
        <v>YES</v>
      </c>
      <c r="S431" s="75" t="s">
        <v>131</v>
      </c>
      <c r="T431" s="75" t="s">
        <v>131</v>
      </c>
      <c r="U431" s="75" t="str">
        <f t="shared" si="8"/>
        <v>YES</v>
      </c>
      <c r="V431" s="75" t="s">
        <v>1519</v>
      </c>
      <c r="W431" s="14"/>
    </row>
    <row r="432">
      <c r="A432" s="37" t="s">
        <v>1135</v>
      </c>
      <c r="B432" s="37">
        <v>2010.0</v>
      </c>
      <c r="C432" s="69" t="s">
        <v>1136</v>
      </c>
      <c r="D432" s="78"/>
      <c r="F432" s="74" t="str">
        <f t="shared" si="1"/>
        <v/>
      </c>
      <c r="G432" s="78"/>
      <c r="I432" s="74" t="str">
        <f t="shared" si="2"/>
        <v/>
      </c>
      <c r="J432" s="75" t="str">
        <f t="shared" si="3"/>
        <v>YES</v>
      </c>
      <c r="K432" s="37" t="s">
        <v>86</v>
      </c>
      <c r="L432" s="13" t="s">
        <v>32</v>
      </c>
      <c r="M432" s="75" t="s">
        <v>142</v>
      </c>
      <c r="N432" s="75" t="str">
        <f t="shared" si="4"/>
        <v>NO</v>
      </c>
      <c r="O432" s="76"/>
      <c r="P432" s="75"/>
      <c r="Q432" s="75" t="str">
        <f t="shared" si="5"/>
        <v/>
      </c>
      <c r="R432" s="75" t="str">
        <f t="shared" si="6"/>
        <v>NO</v>
      </c>
      <c r="S432" s="75"/>
      <c r="T432" s="75"/>
      <c r="U432" s="75" t="str">
        <f t="shared" si="8"/>
        <v/>
      </c>
      <c r="V432" s="76"/>
      <c r="W432" s="14"/>
    </row>
    <row r="433">
      <c r="A433" s="37" t="s">
        <v>1137</v>
      </c>
      <c r="B433" s="37">
        <v>2012.0</v>
      </c>
      <c r="C433" s="69" t="s">
        <v>1138</v>
      </c>
      <c r="D433" s="78"/>
      <c r="F433" s="74" t="str">
        <f t="shared" si="1"/>
        <v/>
      </c>
      <c r="G433" s="78"/>
      <c r="I433" s="74" t="str">
        <f t="shared" si="2"/>
        <v/>
      </c>
      <c r="J433" s="75" t="str">
        <f t="shared" si="3"/>
        <v>YES</v>
      </c>
      <c r="K433" s="37" t="s">
        <v>86</v>
      </c>
      <c r="M433" s="76"/>
      <c r="N433" s="75" t="str">
        <f t="shared" si="4"/>
        <v>NO</v>
      </c>
      <c r="O433" s="76"/>
      <c r="P433" s="76"/>
      <c r="Q433" s="75" t="str">
        <f t="shared" si="5"/>
        <v/>
      </c>
      <c r="R433" s="75" t="str">
        <f t="shared" si="6"/>
        <v>NO</v>
      </c>
      <c r="S433" s="75"/>
      <c r="T433" s="75"/>
      <c r="U433" s="75" t="str">
        <f t="shared" si="8"/>
        <v/>
      </c>
      <c r="V433" s="76"/>
      <c r="W433" s="14"/>
    </row>
    <row r="434">
      <c r="A434" s="37" t="s">
        <v>1139</v>
      </c>
      <c r="B434" s="37">
        <v>2014.0</v>
      </c>
      <c r="C434" s="69" t="s">
        <v>1140</v>
      </c>
      <c r="D434" s="78"/>
      <c r="F434" s="74" t="str">
        <f t="shared" si="1"/>
        <v/>
      </c>
      <c r="G434" s="78"/>
      <c r="I434" s="74" t="str">
        <f t="shared" si="2"/>
        <v/>
      </c>
      <c r="J434" s="75" t="str">
        <f t="shared" si="3"/>
        <v>YES</v>
      </c>
      <c r="K434" s="37" t="s">
        <v>86</v>
      </c>
      <c r="M434" s="76"/>
      <c r="N434" s="75" t="str">
        <f t="shared" si="4"/>
        <v>NO</v>
      </c>
      <c r="O434" s="76"/>
      <c r="P434" s="76"/>
      <c r="Q434" s="75" t="str">
        <f t="shared" si="5"/>
        <v/>
      </c>
      <c r="R434" s="75" t="str">
        <f t="shared" si="6"/>
        <v>NO</v>
      </c>
      <c r="S434" s="75"/>
      <c r="T434" s="75"/>
      <c r="U434" s="75" t="str">
        <f t="shared" si="8"/>
        <v/>
      </c>
      <c r="V434" s="76"/>
      <c r="W434" s="14"/>
    </row>
    <row r="435">
      <c r="A435" s="37" t="s">
        <v>1141</v>
      </c>
      <c r="B435" s="37">
        <v>2013.0</v>
      </c>
      <c r="C435" s="69" t="s">
        <v>1142</v>
      </c>
      <c r="D435" s="78"/>
      <c r="F435" s="74" t="str">
        <f t="shared" si="1"/>
        <v/>
      </c>
      <c r="G435" s="78"/>
      <c r="I435" s="74" t="str">
        <f t="shared" si="2"/>
        <v/>
      </c>
      <c r="J435" s="75" t="str">
        <f t="shared" si="3"/>
        <v>YES</v>
      </c>
      <c r="K435" s="37" t="s">
        <v>187</v>
      </c>
      <c r="M435" s="76"/>
      <c r="N435" s="75" t="str">
        <f t="shared" si="4"/>
        <v>NO</v>
      </c>
      <c r="O435" s="76"/>
      <c r="P435" s="76"/>
      <c r="Q435" s="75" t="str">
        <f t="shared" si="5"/>
        <v/>
      </c>
      <c r="R435" s="75" t="str">
        <f t="shared" si="6"/>
        <v>NO</v>
      </c>
      <c r="S435" s="75"/>
      <c r="T435" s="75"/>
      <c r="U435" s="75" t="str">
        <f t="shared" si="8"/>
        <v/>
      </c>
      <c r="V435" s="76"/>
      <c r="W435" s="14"/>
    </row>
    <row r="436">
      <c r="A436" s="37" t="s">
        <v>1143</v>
      </c>
      <c r="B436" s="37">
        <v>2012.0</v>
      </c>
      <c r="C436" s="69" t="s">
        <v>1144</v>
      </c>
      <c r="D436" s="78"/>
      <c r="F436" s="74" t="str">
        <f t="shared" si="1"/>
        <v/>
      </c>
      <c r="G436" s="78"/>
      <c r="I436" s="74" t="str">
        <f t="shared" si="2"/>
        <v/>
      </c>
      <c r="J436" s="75" t="str">
        <f t="shared" si="3"/>
        <v>YES</v>
      </c>
      <c r="K436" s="96" t="s">
        <v>91</v>
      </c>
      <c r="M436" s="76"/>
      <c r="N436" s="75" t="str">
        <f t="shared" si="4"/>
        <v>NO</v>
      </c>
      <c r="O436" s="76"/>
      <c r="P436" s="76"/>
      <c r="Q436" s="75" t="str">
        <f t="shared" si="5"/>
        <v/>
      </c>
      <c r="R436" s="75" t="str">
        <f t="shared" si="6"/>
        <v>NO</v>
      </c>
      <c r="S436" s="75"/>
      <c r="T436" s="75"/>
      <c r="U436" s="75" t="str">
        <f t="shared" si="8"/>
        <v/>
      </c>
      <c r="V436" s="76"/>
      <c r="W436" s="14"/>
    </row>
    <row r="437">
      <c r="A437" s="37" t="s">
        <v>1145</v>
      </c>
      <c r="B437" s="37">
        <v>2013.0</v>
      </c>
      <c r="C437" s="69" t="s">
        <v>1146</v>
      </c>
      <c r="D437" s="78"/>
      <c r="F437" s="74" t="str">
        <f t="shared" si="1"/>
        <v/>
      </c>
      <c r="G437" s="78"/>
      <c r="I437" s="74" t="str">
        <f t="shared" si="2"/>
        <v/>
      </c>
      <c r="J437" s="75" t="str">
        <f t="shared" si="3"/>
        <v>YES</v>
      </c>
      <c r="K437" s="37" t="s">
        <v>86</v>
      </c>
      <c r="M437" s="76"/>
      <c r="N437" s="75" t="str">
        <f t="shared" si="4"/>
        <v>NO</v>
      </c>
      <c r="O437" s="76"/>
      <c r="P437" s="76"/>
      <c r="Q437" s="75" t="str">
        <f t="shared" si="5"/>
        <v/>
      </c>
      <c r="R437" s="75" t="str">
        <f t="shared" si="6"/>
        <v>NO</v>
      </c>
      <c r="S437" s="75"/>
      <c r="T437" s="75"/>
      <c r="U437" s="75" t="str">
        <f t="shared" si="8"/>
        <v/>
      </c>
      <c r="V437" s="76"/>
      <c r="W437" s="14"/>
    </row>
    <row r="438">
      <c r="A438" s="37" t="s">
        <v>1147</v>
      </c>
      <c r="B438" s="37">
        <v>2013.0</v>
      </c>
      <c r="C438" s="69" t="s">
        <v>1148</v>
      </c>
      <c r="D438" s="78"/>
      <c r="F438" s="74" t="str">
        <f t="shared" si="1"/>
        <v/>
      </c>
      <c r="G438" s="78"/>
      <c r="I438" s="74" t="str">
        <f t="shared" si="2"/>
        <v/>
      </c>
      <c r="J438" s="75" t="str">
        <f t="shared" si="3"/>
        <v>YES</v>
      </c>
      <c r="K438" s="37" t="s">
        <v>86</v>
      </c>
      <c r="M438" s="76"/>
      <c r="N438" s="75" t="str">
        <f t="shared" si="4"/>
        <v>NO</v>
      </c>
      <c r="O438" s="76"/>
      <c r="P438" s="76"/>
      <c r="Q438" s="75" t="str">
        <f t="shared" si="5"/>
        <v/>
      </c>
      <c r="R438" s="75" t="str">
        <f t="shared" si="6"/>
        <v>NO</v>
      </c>
      <c r="S438" s="75"/>
      <c r="T438" s="75"/>
      <c r="U438" s="75" t="str">
        <f t="shared" si="8"/>
        <v/>
      </c>
      <c r="V438" s="76"/>
      <c r="W438" s="14"/>
    </row>
    <row r="439">
      <c r="A439" s="37" t="s">
        <v>1149</v>
      </c>
      <c r="B439" s="37">
        <v>2014.0</v>
      </c>
      <c r="C439" s="69" t="s">
        <v>1150</v>
      </c>
      <c r="D439" s="78"/>
      <c r="E439" s="13" t="s">
        <v>247</v>
      </c>
      <c r="F439" s="74" t="str">
        <f t="shared" si="1"/>
        <v>YES</v>
      </c>
      <c r="G439" s="78"/>
      <c r="H439" s="13" t="s">
        <v>247</v>
      </c>
      <c r="I439" s="74" t="str">
        <f t="shared" si="2"/>
        <v>YES</v>
      </c>
      <c r="J439" s="75" t="str">
        <f t="shared" si="3"/>
        <v>YES</v>
      </c>
      <c r="K439" s="37" t="s">
        <v>199</v>
      </c>
      <c r="M439" s="76"/>
      <c r="N439" s="75" t="str">
        <f t="shared" si="4"/>
        <v>YES</v>
      </c>
      <c r="O439" s="75" t="s">
        <v>149</v>
      </c>
      <c r="P439" s="75" t="s">
        <v>149</v>
      </c>
      <c r="Q439" s="75" t="str">
        <f t="shared" si="5"/>
        <v>YES</v>
      </c>
      <c r="R439" s="75" t="str">
        <f t="shared" si="6"/>
        <v>NO</v>
      </c>
      <c r="S439" s="75"/>
      <c r="T439" s="75"/>
      <c r="U439" s="75" t="str">
        <f t="shared" si="8"/>
        <v/>
      </c>
      <c r="V439" s="76"/>
      <c r="W439" s="14"/>
    </row>
    <row r="440">
      <c r="A440" s="37" t="s">
        <v>1151</v>
      </c>
      <c r="B440" s="37">
        <v>2013.0</v>
      </c>
      <c r="C440" s="69" t="s">
        <v>1152</v>
      </c>
      <c r="D440" s="78"/>
      <c r="F440" s="74" t="str">
        <f t="shared" si="1"/>
        <v/>
      </c>
      <c r="G440" s="78"/>
      <c r="I440" s="74" t="str">
        <f t="shared" si="2"/>
        <v/>
      </c>
      <c r="J440" s="75" t="str">
        <f t="shared" si="3"/>
        <v>YES</v>
      </c>
      <c r="K440" s="37" t="s">
        <v>490</v>
      </c>
      <c r="M440" s="76"/>
      <c r="N440" s="75" t="str">
        <f t="shared" si="4"/>
        <v>NO</v>
      </c>
      <c r="O440" s="76"/>
      <c r="P440" s="76"/>
      <c r="Q440" s="75" t="str">
        <f t="shared" si="5"/>
        <v/>
      </c>
      <c r="R440" s="75" t="str">
        <f t="shared" si="6"/>
        <v>NO</v>
      </c>
      <c r="S440" s="75"/>
      <c r="T440" s="75"/>
      <c r="U440" s="75" t="str">
        <f t="shared" si="8"/>
        <v/>
      </c>
      <c r="V440" s="76"/>
      <c r="W440" s="14"/>
    </row>
    <row r="441">
      <c r="A441" s="37" t="s">
        <v>1153</v>
      </c>
      <c r="B441" s="37">
        <v>2015.0</v>
      </c>
      <c r="C441" s="69" t="s">
        <v>1154</v>
      </c>
      <c r="D441" s="78"/>
      <c r="F441" s="74" t="str">
        <f t="shared" si="1"/>
        <v/>
      </c>
      <c r="G441" s="78"/>
      <c r="I441" s="74" t="str">
        <f t="shared" si="2"/>
        <v/>
      </c>
      <c r="J441" s="75" t="str">
        <f t="shared" si="3"/>
        <v>YES</v>
      </c>
      <c r="K441" s="37" t="s">
        <v>86</v>
      </c>
      <c r="M441" s="76"/>
      <c r="N441" s="75" t="str">
        <f t="shared" si="4"/>
        <v>NO</v>
      </c>
      <c r="O441" s="76"/>
      <c r="P441" s="76"/>
      <c r="Q441" s="75" t="str">
        <f t="shared" si="5"/>
        <v/>
      </c>
      <c r="R441" s="75" t="str">
        <f t="shared" si="6"/>
        <v>NO</v>
      </c>
      <c r="S441" s="75"/>
      <c r="T441" s="75"/>
      <c r="U441" s="75" t="str">
        <f t="shared" si="8"/>
        <v/>
      </c>
      <c r="V441" s="76"/>
      <c r="W441" s="14"/>
    </row>
    <row r="442">
      <c r="A442" s="37" t="s">
        <v>1155</v>
      </c>
      <c r="B442" s="37">
        <v>2014.0</v>
      </c>
      <c r="C442" s="69" t="s">
        <v>1526</v>
      </c>
      <c r="D442" s="78"/>
      <c r="E442" s="13" t="s">
        <v>247</v>
      </c>
      <c r="F442" s="74" t="str">
        <f t="shared" si="1"/>
        <v>YES</v>
      </c>
      <c r="G442" s="78"/>
      <c r="H442" s="13" t="s">
        <v>247</v>
      </c>
      <c r="I442" s="74" t="str">
        <f t="shared" si="2"/>
        <v>YES</v>
      </c>
      <c r="J442" s="75" t="str">
        <f t="shared" si="3"/>
        <v>YES</v>
      </c>
      <c r="K442" s="37" t="s">
        <v>130</v>
      </c>
      <c r="M442" s="76"/>
      <c r="N442" s="75" t="str">
        <f t="shared" si="4"/>
        <v>YES</v>
      </c>
      <c r="O442" s="75" t="s">
        <v>131</v>
      </c>
      <c r="P442" s="76"/>
      <c r="Q442" s="75" t="str">
        <f t="shared" si="5"/>
        <v/>
      </c>
      <c r="R442" s="75" t="str">
        <f t="shared" si="6"/>
        <v>YES</v>
      </c>
      <c r="S442" s="75"/>
      <c r="T442" s="75"/>
      <c r="U442" s="75" t="str">
        <f t="shared" si="8"/>
        <v/>
      </c>
      <c r="V442" s="76"/>
      <c r="W442" s="14"/>
    </row>
    <row r="443">
      <c r="A443" s="37" t="s">
        <v>1158</v>
      </c>
      <c r="B443" s="37">
        <v>2014.0</v>
      </c>
      <c r="C443" s="69" t="s">
        <v>1159</v>
      </c>
      <c r="D443" s="78"/>
      <c r="F443" s="74" t="str">
        <f t="shared" si="1"/>
        <v/>
      </c>
      <c r="G443" s="78"/>
      <c r="I443" s="74" t="str">
        <f t="shared" si="2"/>
        <v/>
      </c>
      <c r="J443" s="75" t="str">
        <f t="shared" si="3"/>
        <v>YES</v>
      </c>
      <c r="K443" s="37" t="s">
        <v>490</v>
      </c>
      <c r="M443" s="76"/>
      <c r="N443" s="75" t="str">
        <f t="shared" si="4"/>
        <v>NO</v>
      </c>
      <c r="O443" s="76"/>
      <c r="P443" s="76"/>
      <c r="Q443" s="75" t="str">
        <f t="shared" si="5"/>
        <v/>
      </c>
      <c r="R443" s="75" t="str">
        <f t="shared" si="6"/>
        <v>NO</v>
      </c>
      <c r="S443" s="75"/>
      <c r="T443" s="75"/>
      <c r="U443" s="75" t="str">
        <f t="shared" si="8"/>
        <v/>
      </c>
      <c r="V443" s="76"/>
      <c r="W443" s="14"/>
    </row>
    <row r="444">
      <c r="A444" s="37" t="s">
        <v>1160</v>
      </c>
      <c r="B444" s="37">
        <v>2012.0</v>
      </c>
      <c r="C444" s="69" t="s">
        <v>1161</v>
      </c>
      <c r="D444" s="78"/>
      <c r="F444" s="74" t="str">
        <f t="shared" si="1"/>
        <v/>
      </c>
      <c r="G444" s="78"/>
      <c r="I444" s="74" t="str">
        <f t="shared" si="2"/>
        <v/>
      </c>
      <c r="J444" s="75" t="str">
        <f t="shared" si="3"/>
        <v>YES</v>
      </c>
      <c r="K444" s="37" t="s">
        <v>86</v>
      </c>
      <c r="M444" s="76"/>
      <c r="N444" s="75" t="str">
        <f t="shared" si="4"/>
        <v>NO</v>
      </c>
      <c r="O444" s="76"/>
      <c r="P444" s="76"/>
      <c r="Q444" s="75" t="str">
        <f t="shared" si="5"/>
        <v/>
      </c>
      <c r="R444" s="75" t="str">
        <f t="shared" si="6"/>
        <v>NO</v>
      </c>
      <c r="S444" s="75"/>
      <c r="T444" s="75"/>
      <c r="U444" s="75" t="str">
        <f t="shared" si="8"/>
        <v/>
      </c>
      <c r="V444" s="76"/>
      <c r="W444" s="14"/>
    </row>
    <row r="445">
      <c r="A445" s="37" t="s">
        <v>1162</v>
      </c>
      <c r="B445" s="37">
        <v>2013.0</v>
      </c>
      <c r="C445" s="69" t="s">
        <v>1163</v>
      </c>
      <c r="D445" s="78"/>
      <c r="F445" s="74" t="str">
        <f t="shared" si="1"/>
        <v/>
      </c>
      <c r="G445" s="78"/>
      <c r="I445" s="74" t="str">
        <f t="shared" si="2"/>
        <v/>
      </c>
      <c r="J445" s="75" t="str">
        <f t="shared" si="3"/>
        <v>YES</v>
      </c>
      <c r="K445" s="37" t="s">
        <v>187</v>
      </c>
      <c r="L445" s="13" t="s">
        <v>37</v>
      </c>
      <c r="M445" s="75" t="s">
        <v>142</v>
      </c>
      <c r="N445" s="75" t="str">
        <f t="shared" si="4"/>
        <v>NO</v>
      </c>
      <c r="O445" s="76"/>
      <c r="P445" s="75"/>
      <c r="Q445" s="75" t="str">
        <f t="shared" si="5"/>
        <v/>
      </c>
      <c r="R445" s="75" t="str">
        <f t="shared" si="6"/>
        <v>NO</v>
      </c>
      <c r="S445" s="75"/>
      <c r="T445" s="75"/>
      <c r="U445" s="75" t="str">
        <f t="shared" si="8"/>
        <v/>
      </c>
      <c r="V445" s="76"/>
      <c r="W445" s="14"/>
    </row>
    <row r="446">
      <c r="A446" s="37" t="s">
        <v>1164</v>
      </c>
      <c r="B446" s="37">
        <v>2013.0</v>
      </c>
      <c r="C446" s="69" t="s">
        <v>1165</v>
      </c>
      <c r="D446" s="78"/>
      <c r="F446" s="74" t="str">
        <f t="shared" si="1"/>
        <v/>
      </c>
      <c r="G446" s="78"/>
      <c r="I446" s="74" t="str">
        <f t="shared" si="2"/>
        <v/>
      </c>
      <c r="J446" s="75" t="str">
        <f t="shared" si="3"/>
        <v>YES</v>
      </c>
      <c r="K446" s="37" t="s">
        <v>187</v>
      </c>
      <c r="M446" s="76"/>
      <c r="N446" s="75" t="str">
        <f t="shared" si="4"/>
        <v>NO</v>
      </c>
      <c r="O446" s="76"/>
      <c r="P446" s="76"/>
      <c r="Q446" s="75" t="str">
        <f t="shared" si="5"/>
        <v/>
      </c>
      <c r="R446" s="75" t="str">
        <f t="shared" si="6"/>
        <v>NO</v>
      </c>
      <c r="S446" s="75"/>
      <c r="T446" s="75"/>
      <c r="U446" s="75" t="str">
        <f t="shared" si="8"/>
        <v/>
      </c>
      <c r="V446" s="76"/>
      <c r="W446" s="14"/>
    </row>
    <row r="447">
      <c r="A447" s="37" t="s">
        <v>1166</v>
      </c>
      <c r="B447" s="37">
        <v>2013.0</v>
      </c>
      <c r="C447" s="69" t="s">
        <v>1167</v>
      </c>
      <c r="D447" s="78"/>
      <c r="F447" s="74" t="str">
        <f t="shared" si="1"/>
        <v/>
      </c>
      <c r="G447" s="78"/>
      <c r="I447" s="74" t="str">
        <f t="shared" si="2"/>
        <v/>
      </c>
      <c r="J447" s="75" t="str">
        <f t="shared" si="3"/>
        <v>YES</v>
      </c>
      <c r="K447" s="37" t="s">
        <v>187</v>
      </c>
      <c r="M447" s="76"/>
      <c r="N447" s="75" t="str">
        <f t="shared" si="4"/>
        <v>NO</v>
      </c>
      <c r="O447" s="76"/>
      <c r="P447" s="76"/>
      <c r="Q447" s="75" t="str">
        <f t="shared" si="5"/>
        <v/>
      </c>
      <c r="R447" s="75" t="str">
        <f t="shared" si="6"/>
        <v>NO</v>
      </c>
      <c r="S447" s="75"/>
      <c r="T447" s="75"/>
      <c r="U447" s="75" t="str">
        <f t="shared" si="8"/>
        <v/>
      </c>
      <c r="V447" s="76"/>
      <c r="W447" s="14"/>
    </row>
    <row r="448">
      <c r="A448" s="37" t="s">
        <v>1168</v>
      </c>
      <c r="B448" s="37">
        <v>2015.0</v>
      </c>
      <c r="C448" s="69" t="s">
        <v>1169</v>
      </c>
      <c r="D448" s="78"/>
      <c r="F448" s="74" t="str">
        <f t="shared" si="1"/>
        <v/>
      </c>
      <c r="G448" s="78"/>
      <c r="I448" s="74" t="str">
        <f t="shared" si="2"/>
        <v/>
      </c>
      <c r="J448" s="75" t="str">
        <f t="shared" si="3"/>
        <v>YES</v>
      </c>
      <c r="K448" s="37" t="s">
        <v>86</v>
      </c>
      <c r="M448" s="76"/>
      <c r="N448" s="75" t="str">
        <f t="shared" si="4"/>
        <v>NO</v>
      </c>
      <c r="O448" s="76"/>
      <c r="P448" s="76"/>
      <c r="Q448" s="75" t="str">
        <f t="shared" si="5"/>
        <v/>
      </c>
      <c r="R448" s="75" t="str">
        <f t="shared" si="6"/>
        <v>NO</v>
      </c>
      <c r="S448" s="75"/>
      <c r="T448" s="75"/>
      <c r="U448" s="75" t="str">
        <f t="shared" si="8"/>
        <v/>
      </c>
      <c r="V448" s="76"/>
      <c r="W448" s="14"/>
    </row>
    <row r="449">
      <c r="A449" s="37" t="s">
        <v>1170</v>
      </c>
      <c r="B449" s="37">
        <v>2015.0</v>
      </c>
      <c r="C449" s="69" t="s">
        <v>1171</v>
      </c>
      <c r="D449" s="78"/>
      <c r="F449" s="74" t="str">
        <f t="shared" si="1"/>
        <v/>
      </c>
      <c r="G449" s="78"/>
      <c r="I449" s="74" t="str">
        <f t="shared" si="2"/>
        <v/>
      </c>
      <c r="J449" s="75" t="str">
        <f t="shared" si="3"/>
        <v>YES</v>
      </c>
      <c r="K449" s="37" t="s">
        <v>130</v>
      </c>
      <c r="M449" s="76"/>
      <c r="N449" s="75" t="str">
        <f t="shared" si="4"/>
        <v>YES</v>
      </c>
      <c r="O449" s="75" t="s">
        <v>131</v>
      </c>
      <c r="P449" s="75" t="s">
        <v>131</v>
      </c>
      <c r="Q449" s="75" t="str">
        <f t="shared" si="5"/>
        <v>YES</v>
      </c>
      <c r="R449" s="75" t="str">
        <f t="shared" si="6"/>
        <v>YES</v>
      </c>
      <c r="S449" s="75"/>
      <c r="T449" s="75"/>
      <c r="U449" s="75" t="str">
        <f t="shared" si="8"/>
        <v/>
      </c>
      <c r="V449" s="76"/>
      <c r="W449" s="14"/>
    </row>
    <row r="450">
      <c r="A450" s="37" t="s">
        <v>1173</v>
      </c>
      <c r="B450" s="37">
        <v>2014.0</v>
      </c>
      <c r="C450" s="69" t="s">
        <v>1174</v>
      </c>
      <c r="D450" s="78"/>
      <c r="F450" s="74" t="str">
        <f t="shared" si="1"/>
        <v/>
      </c>
      <c r="G450" s="78"/>
      <c r="I450" s="74" t="str">
        <f t="shared" si="2"/>
        <v/>
      </c>
      <c r="J450" s="75" t="str">
        <f t="shared" si="3"/>
        <v>YES</v>
      </c>
      <c r="K450" s="37" t="s">
        <v>130</v>
      </c>
      <c r="M450" s="76"/>
      <c r="N450" s="75" t="str">
        <f t="shared" si="4"/>
        <v>YES</v>
      </c>
      <c r="O450" s="75" t="s">
        <v>149</v>
      </c>
      <c r="P450" s="76"/>
      <c r="Q450" s="75" t="str">
        <f t="shared" si="5"/>
        <v/>
      </c>
      <c r="R450" s="75" t="str">
        <f t="shared" si="6"/>
        <v>NO</v>
      </c>
      <c r="S450" s="75"/>
      <c r="T450" s="75"/>
      <c r="U450" s="75" t="str">
        <f t="shared" si="8"/>
        <v/>
      </c>
      <c r="V450" s="76"/>
      <c r="W450" s="14"/>
    </row>
    <row r="451">
      <c r="A451" s="37" t="s">
        <v>1175</v>
      </c>
      <c r="B451" s="37">
        <v>2014.0</v>
      </c>
      <c r="C451" s="69" t="s">
        <v>1176</v>
      </c>
      <c r="D451" s="78"/>
      <c r="E451" s="13" t="s">
        <v>247</v>
      </c>
      <c r="F451" s="74" t="str">
        <f t="shared" si="1"/>
        <v>YES</v>
      </c>
      <c r="G451" s="78"/>
      <c r="H451" s="13" t="s">
        <v>247</v>
      </c>
      <c r="I451" s="74" t="str">
        <f t="shared" si="2"/>
        <v>YES</v>
      </c>
      <c r="J451" s="75" t="str">
        <f t="shared" si="3"/>
        <v>YES</v>
      </c>
      <c r="K451" s="37" t="s">
        <v>187</v>
      </c>
      <c r="L451" s="13" t="s">
        <v>37</v>
      </c>
      <c r="M451" s="75" t="s">
        <v>142</v>
      </c>
      <c r="N451" s="75" t="str">
        <f t="shared" si="4"/>
        <v>NO</v>
      </c>
      <c r="O451" s="76"/>
      <c r="P451" s="75"/>
      <c r="Q451" s="75" t="str">
        <f t="shared" si="5"/>
        <v/>
      </c>
      <c r="R451" s="75" t="str">
        <f t="shared" si="6"/>
        <v>NO</v>
      </c>
      <c r="S451" s="75"/>
      <c r="T451" s="75"/>
      <c r="U451" s="75" t="str">
        <f t="shared" si="8"/>
        <v/>
      </c>
      <c r="V451" s="76"/>
      <c r="W451" s="14"/>
    </row>
    <row r="452">
      <c r="A452" s="37" t="s">
        <v>1177</v>
      </c>
      <c r="B452" s="37">
        <v>2016.0</v>
      </c>
      <c r="C452" s="69" t="s">
        <v>1178</v>
      </c>
      <c r="D452" s="78"/>
      <c r="F452" s="74" t="str">
        <f t="shared" si="1"/>
        <v/>
      </c>
      <c r="G452" s="78"/>
      <c r="I452" s="74" t="str">
        <f t="shared" si="2"/>
        <v/>
      </c>
      <c r="J452" s="75" t="str">
        <f t="shared" si="3"/>
        <v>YES</v>
      </c>
      <c r="K452" s="37" t="s">
        <v>199</v>
      </c>
      <c r="M452" s="76"/>
      <c r="N452" s="75" t="str">
        <f t="shared" si="4"/>
        <v>YES</v>
      </c>
      <c r="O452" s="75" t="s">
        <v>149</v>
      </c>
      <c r="P452" s="76"/>
      <c r="Q452" s="75" t="str">
        <f t="shared" si="5"/>
        <v/>
      </c>
      <c r="R452" s="75" t="str">
        <f t="shared" si="6"/>
        <v>NO</v>
      </c>
      <c r="S452" s="75"/>
      <c r="T452" s="75"/>
      <c r="U452" s="75" t="str">
        <f t="shared" si="8"/>
        <v/>
      </c>
      <c r="V452" s="76"/>
      <c r="W452" s="14"/>
    </row>
    <row r="453">
      <c r="A453" s="37" t="s">
        <v>1180</v>
      </c>
      <c r="B453" s="37">
        <v>2015.0</v>
      </c>
      <c r="C453" s="69" t="s">
        <v>1181</v>
      </c>
      <c r="D453" s="78"/>
      <c r="F453" s="74" t="str">
        <f t="shared" si="1"/>
        <v/>
      </c>
      <c r="G453" s="78"/>
      <c r="I453" s="74" t="str">
        <f t="shared" si="2"/>
        <v/>
      </c>
      <c r="J453" s="75" t="str">
        <f t="shared" si="3"/>
        <v>YES</v>
      </c>
      <c r="K453" s="37" t="s">
        <v>490</v>
      </c>
      <c r="M453" s="76"/>
      <c r="N453" s="75" t="str">
        <f t="shared" si="4"/>
        <v>NO</v>
      </c>
      <c r="O453" s="76"/>
      <c r="P453" s="76"/>
      <c r="Q453" s="75" t="str">
        <f t="shared" si="5"/>
        <v/>
      </c>
      <c r="R453" s="75" t="str">
        <f t="shared" si="6"/>
        <v>NO</v>
      </c>
      <c r="S453" s="75"/>
      <c r="T453" s="75"/>
      <c r="U453" s="75" t="str">
        <f t="shared" si="8"/>
        <v/>
      </c>
      <c r="V453" s="76"/>
      <c r="W453" s="14"/>
    </row>
    <row r="454">
      <c r="A454" s="37" t="s">
        <v>1182</v>
      </c>
      <c r="B454" s="37">
        <v>2014.0</v>
      </c>
      <c r="C454" s="69" t="s">
        <v>1183</v>
      </c>
      <c r="D454" s="78"/>
      <c r="E454" s="13" t="s">
        <v>247</v>
      </c>
      <c r="F454" s="74" t="str">
        <f t="shared" si="1"/>
        <v>YES</v>
      </c>
      <c r="G454" s="78"/>
      <c r="H454" s="13" t="s">
        <v>247</v>
      </c>
      <c r="I454" s="74" t="str">
        <f t="shared" si="2"/>
        <v>YES</v>
      </c>
      <c r="J454" s="75" t="str">
        <f t="shared" si="3"/>
        <v>YES</v>
      </c>
      <c r="K454" s="37" t="s">
        <v>91</v>
      </c>
      <c r="M454" s="76"/>
      <c r="N454" s="75" t="str">
        <f t="shared" si="4"/>
        <v>NO</v>
      </c>
      <c r="O454" s="76"/>
      <c r="P454" s="76"/>
      <c r="Q454" s="75" t="str">
        <f t="shared" si="5"/>
        <v/>
      </c>
      <c r="R454" s="75" t="str">
        <f t="shared" si="6"/>
        <v>NO</v>
      </c>
      <c r="S454" s="75"/>
      <c r="T454" s="75"/>
      <c r="U454" s="75" t="str">
        <f t="shared" si="8"/>
        <v/>
      </c>
      <c r="V454" s="76"/>
      <c r="W454" s="14"/>
    </row>
    <row r="455">
      <c r="A455" s="37" t="s">
        <v>1184</v>
      </c>
      <c r="B455" s="37">
        <v>2015.0</v>
      </c>
      <c r="C455" s="69" t="s">
        <v>1185</v>
      </c>
      <c r="D455" s="78"/>
      <c r="F455" s="74" t="str">
        <f t="shared" si="1"/>
        <v/>
      </c>
      <c r="G455" s="78"/>
      <c r="I455" s="74" t="str">
        <f t="shared" si="2"/>
        <v/>
      </c>
      <c r="J455" s="75" t="str">
        <f t="shared" si="3"/>
        <v>YES</v>
      </c>
      <c r="K455" s="37" t="s">
        <v>91</v>
      </c>
      <c r="M455" s="76"/>
      <c r="N455" s="75" t="str">
        <f t="shared" si="4"/>
        <v>NO</v>
      </c>
      <c r="O455" s="76"/>
      <c r="P455" s="76"/>
      <c r="Q455" s="75" t="str">
        <f t="shared" si="5"/>
        <v/>
      </c>
      <c r="R455" s="75" t="str">
        <f t="shared" si="6"/>
        <v>NO</v>
      </c>
      <c r="S455" s="75"/>
      <c r="T455" s="75"/>
      <c r="U455" s="75" t="str">
        <f t="shared" si="8"/>
        <v/>
      </c>
      <c r="V455" s="76"/>
      <c r="W455" s="14"/>
    </row>
    <row r="456">
      <c r="A456" s="37" t="s">
        <v>1186</v>
      </c>
      <c r="B456" s="37">
        <v>2015.0</v>
      </c>
      <c r="C456" s="69" t="s">
        <v>1187</v>
      </c>
      <c r="D456" s="78"/>
      <c r="E456" s="13" t="s">
        <v>247</v>
      </c>
      <c r="F456" s="74" t="str">
        <f t="shared" si="1"/>
        <v>YES</v>
      </c>
      <c r="G456" s="78"/>
      <c r="H456" s="13" t="s">
        <v>247</v>
      </c>
      <c r="I456" s="74" t="str">
        <f t="shared" si="2"/>
        <v>YES</v>
      </c>
      <c r="J456" s="75" t="str">
        <f t="shared" si="3"/>
        <v>YES</v>
      </c>
      <c r="K456" s="37" t="s">
        <v>130</v>
      </c>
      <c r="M456" s="76"/>
      <c r="N456" s="75" t="str">
        <f t="shared" si="4"/>
        <v>YES</v>
      </c>
      <c r="O456" s="75" t="s">
        <v>149</v>
      </c>
      <c r="P456" s="76"/>
      <c r="Q456" s="75" t="str">
        <f t="shared" si="5"/>
        <v/>
      </c>
      <c r="R456" s="75" t="str">
        <f t="shared" si="6"/>
        <v>NO</v>
      </c>
      <c r="S456" s="75"/>
      <c r="T456" s="75"/>
      <c r="U456" s="75" t="str">
        <f t="shared" si="8"/>
        <v/>
      </c>
      <c r="V456" s="76"/>
      <c r="W456" s="14"/>
    </row>
    <row r="457">
      <c r="A457" s="37" t="s">
        <v>1188</v>
      </c>
      <c r="B457" s="37">
        <v>2014.0</v>
      </c>
      <c r="C457" s="69" t="s">
        <v>1189</v>
      </c>
      <c r="D457" s="78"/>
      <c r="F457" s="74" t="str">
        <f t="shared" si="1"/>
        <v/>
      </c>
      <c r="G457" s="78"/>
      <c r="I457" s="74" t="str">
        <f t="shared" si="2"/>
        <v/>
      </c>
      <c r="J457" s="75" t="str">
        <f t="shared" si="3"/>
        <v>YES</v>
      </c>
      <c r="K457" s="37" t="s">
        <v>86</v>
      </c>
      <c r="M457" s="76"/>
      <c r="N457" s="75" t="str">
        <f t="shared" si="4"/>
        <v>NO</v>
      </c>
      <c r="O457" s="76"/>
      <c r="P457" s="76"/>
      <c r="Q457" s="75" t="str">
        <f t="shared" si="5"/>
        <v/>
      </c>
      <c r="R457" s="75" t="str">
        <f t="shared" si="6"/>
        <v>NO</v>
      </c>
      <c r="S457" s="75"/>
      <c r="T457" s="75"/>
      <c r="U457" s="75" t="str">
        <f t="shared" si="8"/>
        <v/>
      </c>
      <c r="V457" s="76"/>
      <c r="W457" s="14"/>
    </row>
    <row r="458">
      <c r="A458" s="37" t="s">
        <v>1190</v>
      </c>
      <c r="B458" s="37">
        <v>2015.0</v>
      </c>
      <c r="C458" s="69" t="s">
        <v>1191</v>
      </c>
      <c r="D458" s="78"/>
      <c r="F458" s="74" t="str">
        <f t="shared" si="1"/>
        <v/>
      </c>
      <c r="G458" s="78"/>
      <c r="I458" s="74" t="str">
        <f t="shared" si="2"/>
        <v/>
      </c>
      <c r="J458" s="75" t="str">
        <f t="shared" si="3"/>
        <v>YES</v>
      </c>
      <c r="K458" s="37" t="s">
        <v>199</v>
      </c>
      <c r="M458" s="76"/>
      <c r="N458" s="75" t="str">
        <f t="shared" si="4"/>
        <v>YES</v>
      </c>
      <c r="O458" s="75" t="s">
        <v>149</v>
      </c>
      <c r="P458" s="76"/>
      <c r="Q458" s="75" t="str">
        <f t="shared" si="5"/>
        <v/>
      </c>
      <c r="R458" s="75" t="str">
        <f t="shared" si="6"/>
        <v>NO</v>
      </c>
      <c r="S458" s="75"/>
      <c r="T458" s="75"/>
      <c r="U458" s="75" t="str">
        <f t="shared" si="8"/>
        <v/>
      </c>
      <c r="V458" s="76"/>
      <c r="W458" s="14"/>
    </row>
    <row r="459">
      <c r="A459" s="37" t="s">
        <v>1192</v>
      </c>
      <c r="B459" s="37">
        <v>2015.0</v>
      </c>
      <c r="C459" s="69" t="s">
        <v>1193</v>
      </c>
      <c r="D459" s="78"/>
      <c r="E459" s="13" t="s">
        <v>247</v>
      </c>
      <c r="F459" s="74" t="str">
        <f t="shared" si="1"/>
        <v>YES</v>
      </c>
      <c r="G459" s="78"/>
      <c r="H459" s="13" t="s">
        <v>247</v>
      </c>
      <c r="I459" s="74" t="str">
        <f t="shared" si="2"/>
        <v>YES</v>
      </c>
      <c r="J459" s="75" t="str">
        <f t="shared" si="3"/>
        <v>YES</v>
      </c>
      <c r="K459" s="37" t="s">
        <v>86</v>
      </c>
      <c r="L459" s="13" t="s">
        <v>32</v>
      </c>
      <c r="M459" s="75" t="s">
        <v>142</v>
      </c>
      <c r="N459" s="75" t="str">
        <f t="shared" si="4"/>
        <v>NO</v>
      </c>
      <c r="O459" s="76"/>
      <c r="P459" s="75"/>
      <c r="Q459" s="75" t="str">
        <f t="shared" si="5"/>
        <v/>
      </c>
      <c r="R459" s="75" t="str">
        <f t="shared" si="6"/>
        <v>NO</v>
      </c>
      <c r="S459" s="75"/>
      <c r="T459" s="75"/>
      <c r="U459" s="75" t="str">
        <f t="shared" si="8"/>
        <v/>
      </c>
      <c r="V459" s="76"/>
      <c r="W459" s="14"/>
    </row>
    <row r="460">
      <c r="A460" s="37" t="s">
        <v>1194</v>
      </c>
      <c r="B460" s="37">
        <v>2015.0</v>
      </c>
      <c r="C460" s="69" t="s">
        <v>1195</v>
      </c>
      <c r="D460" s="78"/>
      <c r="E460" s="13" t="s">
        <v>247</v>
      </c>
      <c r="F460" s="74" t="str">
        <f t="shared" si="1"/>
        <v>YES</v>
      </c>
      <c r="G460" s="78"/>
      <c r="H460" s="13" t="s">
        <v>247</v>
      </c>
      <c r="I460" s="74" t="str">
        <f t="shared" si="2"/>
        <v>YES</v>
      </c>
      <c r="J460" s="75" t="str">
        <f t="shared" si="3"/>
        <v>YES</v>
      </c>
      <c r="K460" s="37" t="s">
        <v>187</v>
      </c>
      <c r="L460" s="13" t="s">
        <v>37</v>
      </c>
      <c r="M460" s="75" t="s">
        <v>142</v>
      </c>
      <c r="N460" s="75" t="str">
        <f t="shared" si="4"/>
        <v>NO</v>
      </c>
      <c r="O460" s="76"/>
      <c r="P460" s="75"/>
      <c r="Q460" s="75" t="str">
        <f t="shared" si="5"/>
        <v/>
      </c>
      <c r="R460" s="75" t="str">
        <f t="shared" si="6"/>
        <v>NO</v>
      </c>
      <c r="S460" s="75"/>
      <c r="T460" s="75"/>
      <c r="U460" s="75" t="str">
        <f t="shared" si="8"/>
        <v/>
      </c>
      <c r="V460" s="76"/>
      <c r="W460" s="14"/>
    </row>
    <row r="461">
      <c r="A461" s="37" t="s">
        <v>1196</v>
      </c>
      <c r="B461" s="37">
        <v>2015.0</v>
      </c>
      <c r="C461" s="69" t="s">
        <v>1197</v>
      </c>
      <c r="D461" s="78"/>
      <c r="F461" s="74" t="str">
        <f t="shared" si="1"/>
        <v/>
      </c>
      <c r="G461" s="78"/>
      <c r="I461" s="74" t="str">
        <f t="shared" si="2"/>
        <v/>
      </c>
      <c r="J461" s="75" t="str">
        <f t="shared" si="3"/>
        <v>YES</v>
      </c>
      <c r="K461" s="37" t="s">
        <v>187</v>
      </c>
      <c r="M461" s="76"/>
      <c r="N461" s="75" t="str">
        <f t="shared" si="4"/>
        <v>NO</v>
      </c>
      <c r="O461" s="76"/>
      <c r="P461" s="76"/>
      <c r="Q461" s="75" t="str">
        <f t="shared" si="5"/>
        <v/>
      </c>
      <c r="R461" s="75" t="str">
        <f t="shared" si="6"/>
        <v>NO</v>
      </c>
      <c r="S461" s="75"/>
      <c r="T461" s="75"/>
      <c r="U461" s="75" t="str">
        <f t="shared" si="8"/>
        <v/>
      </c>
      <c r="V461" s="76"/>
      <c r="W461" s="14"/>
    </row>
    <row r="462">
      <c r="A462" s="37" t="s">
        <v>1198</v>
      </c>
      <c r="B462" s="37">
        <v>2015.0</v>
      </c>
      <c r="C462" s="69" t="s">
        <v>1199</v>
      </c>
      <c r="D462" s="78"/>
      <c r="F462" s="74" t="str">
        <f t="shared" si="1"/>
        <v/>
      </c>
      <c r="G462" s="78"/>
      <c r="I462" s="74" t="str">
        <f t="shared" si="2"/>
        <v/>
      </c>
      <c r="J462" s="75" t="str">
        <f t="shared" si="3"/>
        <v>YES</v>
      </c>
      <c r="K462" s="37" t="s">
        <v>187</v>
      </c>
      <c r="M462" s="76"/>
      <c r="N462" s="75" t="str">
        <f t="shared" si="4"/>
        <v>NO</v>
      </c>
      <c r="O462" s="76"/>
      <c r="P462" s="76"/>
      <c r="Q462" s="75" t="str">
        <f t="shared" si="5"/>
        <v/>
      </c>
      <c r="R462" s="75" t="str">
        <f t="shared" si="6"/>
        <v>NO</v>
      </c>
      <c r="S462" s="75"/>
      <c r="T462" s="75"/>
      <c r="U462" s="75" t="str">
        <f t="shared" si="8"/>
        <v/>
      </c>
      <c r="V462" s="76"/>
      <c r="W462" s="14"/>
    </row>
    <row r="463">
      <c r="A463" s="37" t="s">
        <v>1200</v>
      </c>
      <c r="B463" s="37">
        <v>2016.0</v>
      </c>
      <c r="C463" s="69" t="s">
        <v>1201</v>
      </c>
      <c r="D463" s="78"/>
      <c r="E463" s="13" t="s">
        <v>247</v>
      </c>
      <c r="F463" s="74" t="str">
        <f t="shared" si="1"/>
        <v>YES</v>
      </c>
      <c r="G463" s="78"/>
      <c r="H463" s="13" t="s">
        <v>247</v>
      </c>
      <c r="I463" s="74" t="str">
        <f t="shared" si="2"/>
        <v>YES</v>
      </c>
      <c r="J463" s="75" t="str">
        <f t="shared" si="3"/>
        <v>YES</v>
      </c>
      <c r="K463" s="37" t="s">
        <v>199</v>
      </c>
      <c r="M463" s="76"/>
      <c r="N463" s="75" t="str">
        <f t="shared" si="4"/>
        <v>YES</v>
      </c>
      <c r="O463" s="75" t="s">
        <v>149</v>
      </c>
      <c r="P463" s="75" t="s">
        <v>149</v>
      </c>
      <c r="Q463" s="75" t="str">
        <f t="shared" si="5"/>
        <v>YES</v>
      </c>
      <c r="R463" s="75" t="str">
        <f t="shared" si="6"/>
        <v>NO</v>
      </c>
      <c r="S463" s="75"/>
      <c r="T463" s="75"/>
      <c r="U463" s="75" t="str">
        <f t="shared" si="8"/>
        <v/>
      </c>
      <c r="V463" s="76"/>
      <c r="W463" s="14"/>
    </row>
    <row r="464">
      <c r="A464" s="37" t="s">
        <v>1202</v>
      </c>
      <c r="B464" s="37">
        <v>2014.0</v>
      </c>
      <c r="C464" s="69" t="s">
        <v>1203</v>
      </c>
      <c r="D464" s="78"/>
      <c r="F464" s="74" t="str">
        <f t="shared" si="1"/>
        <v/>
      </c>
      <c r="G464" s="78"/>
      <c r="I464" s="74" t="str">
        <f t="shared" si="2"/>
        <v/>
      </c>
      <c r="J464" s="75" t="str">
        <f t="shared" si="3"/>
        <v>YES</v>
      </c>
      <c r="K464" s="37" t="s">
        <v>86</v>
      </c>
      <c r="L464" s="13" t="s">
        <v>32</v>
      </c>
      <c r="M464" s="75" t="s">
        <v>142</v>
      </c>
      <c r="N464" s="75" t="str">
        <f t="shared" si="4"/>
        <v>NO</v>
      </c>
      <c r="O464" s="76"/>
      <c r="P464" s="75"/>
      <c r="Q464" s="75" t="str">
        <f t="shared" si="5"/>
        <v/>
      </c>
      <c r="R464" s="75" t="str">
        <f t="shared" si="6"/>
        <v>NO</v>
      </c>
      <c r="S464" s="75"/>
      <c r="T464" s="75"/>
      <c r="U464" s="75" t="str">
        <f t="shared" si="8"/>
        <v/>
      </c>
      <c r="V464" s="76"/>
      <c r="W464" s="14"/>
    </row>
    <row r="465">
      <c r="A465" s="37" t="s">
        <v>1204</v>
      </c>
      <c r="B465" s="37">
        <v>2013.0</v>
      </c>
      <c r="C465" s="69" t="s">
        <v>1205</v>
      </c>
      <c r="D465" s="78"/>
      <c r="E465" s="13" t="s">
        <v>247</v>
      </c>
      <c r="F465" s="74" t="str">
        <f t="shared" si="1"/>
        <v>YES</v>
      </c>
      <c r="G465" s="78"/>
      <c r="H465" s="13" t="s">
        <v>247</v>
      </c>
      <c r="I465" s="74" t="str">
        <f t="shared" si="2"/>
        <v>YES</v>
      </c>
      <c r="J465" s="75" t="str">
        <f t="shared" si="3"/>
        <v>YES</v>
      </c>
      <c r="K465" s="37" t="s">
        <v>187</v>
      </c>
      <c r="M465" s="76"/>
      <c r="N465" s="75" t="str">
        <f t="shared" si="4"/>
        <v>NO</v>
      </c>
      <c r="O465" s="76"/>
      <c r="P465" s="76"/>
      <c r="Q465" s="75" t="str">
        <f t="shared" si="5"/>
        <v/>
      </c>
      <c r="R465" s="75" t="str">
        <f t="shared" si="6"/>
        <v>NO</v>
      </c>
      <c r="S465" s="75"/>
      <c r="T465" s="75"/>
      <c r="U465" s="75" t="str">
        <f t="shared" si="8"/>
        <v/>
      </c>
      <c r="V465" s="76"/>
      <c r="W465" s="14"/>
    </row>
    <row r="466">
      <c r="A466" s="37" t="s">
        <v>1206</v>
      </c>
      <c r="B466" s="37">
        <v>2016.0</v>
      </c>
      <c r="C466" s="69" t="s">
        <v>1207</v>
      </c>
      <c r="D466" s="78"/>
      <c r="F466" s="74" t="str">
        <f t="shared" si="1"/>
        <v/>
      </c>
      <c r="G466" s="78"/>
      <c r="I466" s="74" t="str">
        <f t="shared" si="2"/>
        <v/>
      </c>
      <c r="J466" s="75" t="str">
        <f t="shared" si="3"/>
        <v>YES</v>
      </c>
      <c r="K466" s="37" t="s">
        <v>86</v>
      </c>
      <c r="M466" s="76"/>
      <c r="N466" s="75" t="str">
        <f t="shared" si="4"/>
        <v>NO</v>
      </c>
      <c r="O466" s="76"/>
      <c r="P466" s="76"/>
      <c r="Q466" s="75" t="str">
        <f t="shared" si="5"/>
        <v/>
      </c>
      <c r="R466" s="75" t="str">
        <f t="shared" si="6"/>
        <v>NO</v>
      </c>
      <c r="S466" s="75"/>
      <c r="T466" s="75"/>
      <c r="U466" s="75" t="str">
        <f t="shared" si="8"/>
        <v/>
      </c>
      <c r="V466" s="76"/>
      <c r="W466" s="14"/>
    </row>
    <row r="467">
      <c r="A467" s="37" t="s">
        <v>1209</v>
      </c>
      <c r="B467" s="37">
        <v>2016.0</v>
      </c>
      <c r="C467" s="69" t="s">
        <v>1210</v>
      </c>
      <c r="D467" s="78"/>
      <c r="F467" s="74" t="str">
        <f t="shared" si="1"/>
        <v/>
      </c>
      <c r="G467" s="78"/>
      <c r="I467" s="74" t="str">
        <f t="shared" si="2"/>
        <v/>
      </c>
      <c r="J467" s="75" t="str">
        <f t="shared" si="3"/>
        <v>YES</v>
      </c>
      <c r="K467" s="37" t="s">
        <v>130</v>
      </c>
      <c r="M467" s="76"/>
      <c r="N467" s="75" t="str">
        <f t="shared" si="4"/>
        <v>YES</v>
      </c>
      <c r="O467" s="75" t="s">
        <v>131</v>
      </c>
      <c r="P467" s="76"/>
      <c r="Q467" s="75" t="str">
        <f t="shared" si="5"/>
        <v/>
      </c>
      <c r="R467" s="75" t="str">
        <f t="shared" si="6"/>
        <v>YES</v>
      </c>
      <c r="S467" s="75"/>
      <c r="T467" s="75"/>
      <c r="U467" s="75" t="str">
        <f t="shared" si="8"/>
        <v/>
      </c>
      <c r="V467" s="76"/>
      <c r="W467" s="14"/>
    </row>
    <row r="468">
      <c r="A468" s="37" t="s">
        <v>1213</v>
      </c>
      <c r="B468" s="37">
        <v>2014.0</v>
      </c>
      <c r="C468" s="69" t="s">
        <v>1214</v>
      </c>
      <c r="D468" s="78"/>
      <c r="F468" s="74" t="str">
        <f t="shared" si="1"/>
        <v/>
      </c>
      <c r="G468" s="78"/>
      <c r="I468" s="74" t="str">
        <f t="shared" si="2"/>
        <v/>
      </c>
      <c r="J468" s="75" t="str">
        <f t="shared" si="3"/>
        <v>YES</v>
      </c>
      <c r="K468" s="37" t="s">
        <v>187</v>
      </c>
      <c r="M468" s="76"/>
      <c r="N468" s="75" t="str">
        <f t="shared" si="4"/>
        <v>NO</v>
      </c>
      <c r="O468" s="76"/>
      <c r="P468" s="76"/>
      <c r="Q468" s="75" t="str">
        <f t="shared" si="5"/>
        <v/>
      </c>
      <c r="R468" s="75" t="str">
        <f t="shared" si="6"/>
        <v>NO</v>
      </c>
      <c r="S468" s="75"/>
      <c r="T468" s="75"/>
      <c r="U468" s="75" t="str">
        <f t="shared" si="8"/>
        <v/>
      </c>
      <c r="V468" s="76"/>
      <c r="W468" s="14"/>
    </row>
    <row r="469">
      <c r="A469" s="37" t="s">
        <v>1215</v>
      </c>
      <c r="B469" s="37">
        <v>2015.0</v>
      </c>
      <c r="C469" s="69" t="s">
        <v>1216</v>
      </c>
      <c r="D469" s="78"/>
      <c r="E469" s="13" t="s">
        <v>247</v>
      </c>
      <c r="F469" s="74" t="str">
        <f t="shared" si="1"/>
        <v>YES</v>
      </c>
      <c r="G469" s="78"/>
      <c r="H469" s="13" t="s">
        <v>247</v>
      </c>
      <c r="I469" s="74" t="str">
        <f t="shared" si="2"/>
        <v>YES</v>
      </c>
      <c r="J469" s="75" t="str">
        <f t="shared" si="3"/>
        <v>YES</v>
      </c>
      <c r="K469" s="37" t="s">
        <v>130</v>
      </c>
      <c r="M469" s="76"/>
      <c r="N469" s="75" t="str">
        <f t="shared" si="4"/>
        <v>YES</v>
      </c>
      <c r="O469" s="75" t="s">
        <v>131</v>
      </c>
      <c r="P469" s="76"/>
      <c r="Q469" s="75" t="str">
        <f t="shared" si="5"/>
        <v/>
      </c>
      <c r="R469" s="75" t="str">
        <f t="shared" si="6"/>
        <v>YES</v>
      </c>
      <c r="S469" s="75"/>
      <c r="T469" s="75"/>
      <c r="U469" s="75" t="str">
        <f t="shared" si="8"/>
        <v/>
      </c>
      <c r="V469" s="76"/>
      <c r="W469" s="14"/>
    </row>
    <row r="470">
      <c r="A470" s="37" t="s">
        <v>1217</v>
      </c>
      <c r="B470" s="37">
        <v>2016.0</v>
      </c>
      <c r="C470" s="69" t="s">
        <v>1218</v>
      </c>
      <c r="D470" s="78"/>
      <c r="F470" s="74" t="str">
        <f t="shared" si="1"/>
        <v/>
      </c>
      <c r="G470" s="78"/>
      <c r="I470" s="74" t="str">
        <f t="shared" si="2"/>
        <v/>
      </c>
      <c r="J470" s="75" t="str">
        <f t="shared" si="3"/>
        <v>YES</v>
      </c>
      <c r="K470" s="37" t="s">
        <v>86</v>
      </c>
      <c r="M470" s="76"/>
      <c r="N470" s="75" t="str">
        <f t="shared" si="4"/>
        <v>NO</v>
      </c>
      <c r="O470" s="76"/>
      <c r="P470" s="76"/>
      <c r="Q470" s="75" t="str">
        <f t="shared" si="5"/>
        <v/>
      </c>
      <c r="R470" s="75" t="str">
        <f t="shared" si="6"/>
        <v>NO</v>
      </c>
      <c r="S470" s="75"/>
      <c r="T470" s="75"/>
      <c r="U470" s="75" t="str">
        <f t="shared" si="8"/>
        <v/>
      </c>
      <c r="V470" s="76"/>
      <c r="W470" s="14"/>
    </row>
    <row r="471">
      <c r="A471" s="37" t="s">
        <v>1219</v>
      </c>
      <c r="B471" s="37">
        <v>2015.0</v>
      </c>
      <c r="C471" s="69" t="s">
        <v>1220</v>
      </c>
      <c r="D471" s="78"/>
      <c r="E471" s="13" t="s">
        <v>247</v>
      </c>
      <c r="F471" s="74" t="str">
        <f t="shared" si="1"/>
        <v>YES</v>
      </c>
      <c r="G471" s="78"/>
      <c r="H471" s="13" t="s">
        <v>247</v>
      </c>
      <c r="I471" s="74" t="str">
        <f t="shared" si="2"/>
        <v>YES</v>
      </c>
      <c r="J471" s="75" t="str">
        <f t="shared" si="3"/>
        <v>YES</v>
      </c>
      <c r="K471" s="37" t="s">
        <v>86</v>
      </c>
      <c r="M471" s="76"/>
      <c r="N471" s="75" t="str">
        <f t="shared" si="4"/>
        <v>NO</v>
      </c>
      <c r="O471" s="76"/>
      <c r="P471" s="76"/>
      <c r="Q471" s="75" t="str">
        <f t="shared" si="5"/>
        <v/>
      </c>
      <c r="R471" s="75" t="str">
        <f t="shared" si="6"/>
        <v>NO</v>
      </c>
      <c r="S471" s="75"/>
      <c r="T471" s="75"/>
      <c r="U471" s="75" t="str">
        <f t="shared" si="8"/>
        <v/>
      </c>
      <c r="V471" s="76"/>
      <c r="W471" s="14"/>
    </row>
    <row r="472">
      <c r="A472" s="37" t="s">
        <v>1222</v>
      </c>
      <c r="B472" s="37">
        <v>2014.0</v>
      </c>
      <c r="C472" s="69" t="s">
        <v>1223</v>
      </c>
      <c r="D472" s="78"/>
      <c r="F472" s="74" t="str">
        <f t="shared" si="1"/>
        <v/>
      </c>
      <c r="G472" s="78"/>
      <c r="I472" s="74" t="str">
        <f t="shared" si="2"/>
        <v/>
      </c>
      <c r="J472" s="75" t="str">
        <f t="shared" si="3"/>
        <v>YES</v>
      </c>
      <c r="K472" s="37" t="s">
        <v>490</v>
      </c>
      <c r="M472" s="76"/>
      <c r="N472" s="75" t="str">
        <f t="shared" si="4"/>
        <v>NO</v>
      </c>
      <c r="O472" s="76"/>
      <c r="P472" s="76"/>
      <c r="Q472" s="75" t="str">
        <f t="shared" si="5"/>
        <v/>
      </c>
      <c r="R472" s="75" t="str">
        <f t="shared" si="6"/>
        <v>NO</v>
      </c>
      <c r="S472" s="75"/>
      <c r="T472" s="75"/>
      <c r="U472" s="75" t="str">
        <f t="shared" si="8"/>
        <v/>
      </c>
      <c r="V472" s="76"/>
      <c r="W472" s="14"/>
    </row>
    <row r="473">
      <c r="A473" s="37" t="s">
        <v>1224</v>
      </c>
      <c r="B473" s="37">
        <v>2016.0</v>
      </c>
      <c r="C473" s="69" t="s">
        <v>1225</v>
      </c>
      <c r="D473" s="71" t="s">
        <v>95</v>
      </c>
      <c r="E473" s="13"/>
      <c r="F473" s="74" t="str">
        <f t="shared" si="1"/>
        <v/>
      </c>
      <c r="G473" s="78"/>
      <c r="H473" s="13"/>
      <c r="I473" s="74" t="str">
        <f t="shared" si="2"/>
        <v/>
      </c>
      <c r="J473" s="75" t="str">
        <f t="shared" si="3"/>
        <v>NO</v>
      </c>
      <c r="K473" s="37"/>
      <c r="M473" s="76"/>
      <c r="N473" s="75" t="str">
        <f t="shared" si="4"/>
        <v>NO</v>
      </c>
      <c r="O473" s="76"/>
      <c r="P473" s="76"/>
      <c r="Q473" s="75" t="str">
        <f t="shared" si="5"/>
        <v/>
      </c>
      <c r="R473" s="75" t="str">
        <f t="shared" si="6"/>
        <v>NO</v>
      </c>
      <c r="S473" s="75"/>
      <c r="T473" s="75"/>
      <c r="U473" s="75" t="str">
        <f t="shared" si="8"/>
        <v/>
      </c>
      <c r="V473" s="76"/>
      <c r="W473" s="14"/>
    </row>
    <row r="474">
      <c r="A474" s="37" t="s">
        <v>1226</v>
      </c>
      <c r="B474" s="37">
        <v>2014.0</v>
      </c>
      <c r="C474" s="69" t="s">
        <v>1227</v>
      </c>
      <c r="D474" s="78"/>
      <c r="F474" s="74" t="str">
        <f t="shared" si="1"/>
        <v/>
      </c>
      <c r="G474" s="78"/>
      <c r="I474" s="74" t="str">
        <f t="shared" si="2"/>
        <v/>
      </c>
      <c r="J474" s="75" t="str">
        <f t="shared" si="3"/>
        <v>YES</v>
      </c>
      <c r="K474" s="37" t="s">
        <v>199</v>
      </c>
      <c r="M474" s="76"/>
      <c r="N474" s="75" t="str">
        <f t="shared" si="4"/>
        <v>YES</v>
      </c>
      <c r="O474" s="75" t="s">
        <v>149</v>
      </c>
      <c r="P474" s="76"/>
      <c r="Q474" s="75" t="str">
        <f t="shared" si="5"/>
        <v/>
      </c>
      <c r="R474" s="75" t="str">
        <f t="shared" si="6"/>
        <v>NO</v>
      </c>
      <c r="S474" s="75"/>
      <c r="T474" s="75"/>
      <c r="U474" s="75" t="str">
        <f t="shared" si="8"/>
        <v/>
      </c>
      <c r="V474" s="76"/>
      <c r="W474" s="14"/>
    </row>
    <row r="475">
      <c r="A475" s="37" t="s">
        <v>1228</v>
      </c>
      <c r="B475" s="37">
        <v>2015.0</v>
      </c>
      <c r="C475" s="69" t="s">
        <v>1229</v>
      </c>
      <c r="D475" s="78"/>
      <c r="E475" s="13" t="s">
        <v>247</v>
      </c>
      <c r="F475" s="74" t="str">
        <f t="shared" si="1"/>
        <v>YES</v>
      </c>
      <c r="G475" s="78"/>
      <c r="H475" s="13" t="s">
        <v>247</v>
      </c>
      <c r="I475" s="74" t="str">
        <f t="shared" si="2"/>
        <v>YES</v>
      </c>
      <c r="J475" s="75" t="str">
        <f t="shared" si="3"/>
        <v>YES</v>
      </c>
      <c r="K475" s="37" t="s">
        <v>199</v>
      </c>
      <c r="M475" s="76"/>
      <c r="N475" s="75" t="str">
        <f t="shared" si="4"/>
        <v>YES</v>
      </c>
      <c r="O475" s="75" t="s">
        <v>149</v>
      </c>
      <c r="P475" s="75" t="s">
        <v>149</v>
      </c>
      <c r="Q475" s="75" t="str">
        <f t="shared" si="5"/>
        <v>YES</v>
      </c>
      <c r="R475" s="75" t="str">
        <f t="shared" si="6"/>
        <v>NO</v>
      </c>
      <c r="S475" s="75"/>
      <c r="T475" s="75"/>
      <c r="U475" s="75" t="str">
        <f t="shared" si="8"/>
        <v/>
      </c>
      <c r="V475" s="76"/>
      <c r="W475" s="14"/>
    </row>
    <row r="476">
      <c r="A476" s="37" t="s">
        <v>1230</v>
      </c>
      <c r="B476" s="37">
        <v>2015.0</v>
      </c>
      <c r="C476" s="69" t="s">
        <v>1231</v>
      </c>
      <c r="D476" s="78"/>
      <c r="F476" s="74" t="str">
        <f t="shared" si="1"/>
        <v/>
      </c>
      <c r="G476" s="78"/>
      <c r="I476" s="74" t="str">
        <f t="shared" si="2"/>
        <v/>
      </c>
      <c r="J476" s="75" t="str">
        <f t="shared" si="3"/>
        <v>YES</v>
      </c>
      <c r="K476" s="37" t="s">
        <v>130</v>
      </c>
      <c r="L476" s="13" t="s">
        <v>7</v>
      </c>
      <c r="M476" s="75" t="s">
        <v>142</v>
      </c>
      <c r="N476" s="75" t="str">
        <f t="shared" si="4"/>
        <v>YES</v>
      </c>
      <c r="O476" s="75" t="s">
        <v>149</v>
      </c>
      <c r="P476" s="75" t="s">
        <v>131</v>
      </c>
      <c r="Q476" s="75" t="str">
        <f t="shared" si="5"/>
        <v>NO</v>
      </c>
      <c r="R476" s="75" t="str">
        <f t="shared" si="6"/>
        <v>NO</v>
      </c>
      <c r="S476" s="75"/>
      <c r="T476" s="75"/>
      <c r="U476" s="75" t="str">
        <f t="shared" si="8"/>
        <v/>
      </c>
      <c r="V476" s="76"/>
      <c r="W476" s="14"/>
    </row>
    <row r="477">
      <c r="A477" s="37" t="s">
        <v>1232</v>
      </c>
      <c r="B477" s="37">
        <v>2016.0</v>
      </c>
      <c r="C477" s="69" t="s">
        <v>1233</v>
      </c>
      <c r="D477" s="78"/>
      <c r="F477" s="74" t="str">
        <f t="shared" si="1"/>
        <v/>
      </c>
      <c r="G477" s="78"/>
      <c r="I477" s="74" t="str">
        <f t="shared" si="2"/>
        <v/>
      </c>
      <c r="J477" s="75" t="str">
        <f t="shared" si="3"/>
        <v>YES</v>
      </c>
      <c r="K477" s="37" t="s">
        <v>199</v>
      </c>
      <c r="M477" s="76"/>
      <c r="N477" s="75" t="str">
        <f t="shared" si="4"/>
        <v>YES</v>
      </c>
      <c r="O477" s="75" t="s">
        <v>149</v>
      </c>
      <c r="P477" s="76"/>
      <c r="Q477" s="75" t="str">
        <f t="shared" si="5"/>
        <v/>
      </c>
      <c r="R477" s="75" t="str">
        <f t="shared" si="6"/>
        <v>NO</v>
      </c>
      <c r="S477" s="75"/>
      <c r="T477" s="75"/>
      <c r="U477" s="75" t="str">
        <f t="shared" si="8"/>
        <v/>
      </c>
      <c r="V477" s="76"/>
      <c r="W477" s="14"/>
    </row>
    <row r="478">
      <c r="A478" s="37" t="s">
        <v>1234</v>
      </c>
      <c r="B478" s="37">
        <v>2016.0</v>
      </c>
      <c r="C478" s="69" t="s">
        <v>1235</v>
      </c>
      <c r="D478" s="78"/>
      <c r="F478" s="74" t="str">
        <f t="shared" si="1"/>
        <v/>
      </c>
      <c r="G478" s="78"/>
      <c r="I478" s="74" t="str">
        <f t="shared" si="2"/>
        <v/>
      </c>
      <c r="J478" s="75" t="str">
        <f t="shared" si="3"/>
        <v>YES</v>
      </c>
      <c r="K478" s="37" t="s">
        <v>187</v>
      </c>
      <c r="M478" s="76"/>
      <c r="N478" s="75" t="str">
        <f t="shared" si="4"/>
        <v>NO</v>
      </c>
      <c r="O478" s="76"/>
      <c r="P478" s="76"/>
      <c r="Q478" s="75" t="str">
        <f t="shared" si="5"/>
        <v/>
      </c>
      <c r="R478" s="75" t="str">
        <f t="shared" si="6"/>
        <v>NO</v>
      </c>
      <c r="S478" s="75"/>
      <c r="T478" s="75"/>
      <c r="U478" s="75" t="str">
        <f t="shared" si="8"/>
        <v/>
      </c>
      <c r="V478" s="76"/>
      <c r="W478" s="14"/>
    </row>
    <row r="479">
      <c r="A479" s="37" t="s">
        <v>1236</v>
      </c>
      <c r="B479" s="37">
        <v>2015.0</v>
      </c>
      <c r="C479" s="69" t="s">
        <v>1237</v>
      </c>
      <c r="D479" s="78"/>
      <c r="F479" s="74" t="str">
        <f t="shared" si="1"/>
        <v/>
      </c>
      <c r="G479" s="78"/>
      <c r="I479" s="74" t="str">
        <f t="shared" si="2"/>
        <v/>
      </c>
      <c r="J479" s="75" t="str">
        <f t="shared" si="3"/>
        <v>YES</v>
      </c>
      <c r="K479" s="37" t="s">
        <v>199</v>
      </c>
      <c r="M479" s="76"/>
      <c r="N479" s="75" t="str">
        <f t="shared" si="4"/>
        <v>YES</v>
      </c>
      <c r="O479" s="75" t="s">
        <v>149</v>
      </c>
      <c r="P479" s="76"/>
      <c r="Q479" s="75" t="str">
        <f t="shared" si="5"/>
        <v/>
      </c>
      <c r="R479" s="75" t="str">
        <f t="shared" si="6"/>
        <v>NO</v>
      </c>
      <c r="S479" s="75"/>
      <c r="T479" s="75"/>
      <c r="U479" s="75" t="str">
        <f t="shared" si="8"/>
        <v/>
      </c>
      <c r="V479" s="76"/>
      <c r="W479" s="14"/>
    </row>
    <row r="480">
      <c r="A480" s="37" t="s">
        <v>1238</v>
      </c>
      <c r="B480" s="37">
        <v>2015.0</v>
      </c>
      <c r="C480" s="69" t="s">
        <v>1239</v>
      </c>
      <c r="D480" s="78"/>
      <c r="F480" s="74" t="str">
        <f t="shared" si="1"/>
        <v/>
      </c>
      <c r="G480" s="78"/>
      <c r="I480" s="74" t="str">
        <f t="shared" si="2"/>
        <v/>
      </c>
      <c r="J480" s="75" t="str">
        <f t="shared" si="3"/>
        <v>YES</v>
      </c>
      <c r="K480" s="37" t="s">
        <v>130</v>
      </c>
      <c r="M480" s="76"/>
      <c r="N480" s="75" t="str">
        <f t="shared" si="4"/>
        <v>YES</v>
      </c>
      <c r="O480" s="75" t="s">
        <v>149</v>
      </c>
      <c r="P480" s="76"/>
      <c r="Q480" s="75" t="str">
        <f t="shared" si="5"/>
        <v/>
      </c>
      <c r="R480" s="75" t="str">
        <f t="shared" si="6"/>
        <v>NO</v>
      </c>
      <c r="S480" s="75"/>
      <c r="T480" s="75"/>
      <c r="U480" s="75" t="str">
        <f t="shared" si="8"/>
        <v/>
      </c>
      <c r="V480" s="76"/>
      <c r="W480" s="14"/>
    </row>
    <row r="481">
      <c r="A481" s="37" t="s">
        <v>1240</v>
      </c>
      <c r="B481" s="37">
        <v>2015.0</v>
      </c>
      <c r="C481" s="69" t="s">
        <v>1241</v>
      </c>
      <c r="D481" s="78"/>
      <c r="F481" s="74" t="str">
        <f t="shared" si="1"/>
        <v/>
      </c>
      <c r="G481" s="78"/>
      <c r="I481" s="74" t="str">
        <f t="shared" si="2"/>
        <v/>
      </c>
      <c r="J481" s="75" t="str">
        <f t="shared" si="3"/>
        <v>YES</v>
      </c>
      <c r="K481" s="37" t="s">
        <v>130</v>
      </c>
      <c r="M481" s="76"/>
      <c r="N481" s="75" t="str">
        <f t="shared" si="4"/>
        <v>YES</v>
      </c>
      <c r="O481" s="75" t="s">
        <v>149</v>
      </c>
      <c r="P481" s="76"/>
      <c r="Q481" s="75" t="str">
        <f t="shared" si="5"/>
        <v/>
      </c>
      <c r="R481" s="75" t="str">
        <f t="shared" si="6"/>
        <v>NO</v>
      </c>
      <c r="S481" s="75"/>
      <c r="T481" s="75"/>
      <c r="U481" s="75" t="str">
        <f t="shared" si="8"/>
        <v/>
      </c>
      <c r="V481" s="76"/>
      <c r="W481" s="14"/>
    </row>
    <row r="482">
      <c r="A482" s="37" t="s">
        <v>1242</v>
      </c>
      <c r="B482" s="37">
        <v>2013.0</v>
      </c>
      <c r="C482" s="69" t="s">
        <v>1243</v>
      </c>
      <c r="D482" s="78"/>
      <c r="E482" s="13" t="s">
        <v>247</v>
      </c>
      <c r="F482" s="74" t="str">
        <f t="shared" si="1"/>
        <v>YES</v>
      </c>
      <c r="G482" s="78"/>
      <c r="H482" s="13" t="s">
        <v>247</v>
      </c>
      <c r="I482" s="74" t="str">
        <f t="shared" si="2"/>
        <v>YES</v>
      </c>
      <c r="J482" s="75" t="str">
        <f t="shared" si="3"/>
        <v>YES</v>
      </c>
      <c r="K482" s="37" t="s">
        <v>187</v>
      </c>
      <c r="M482" s="76"/>
      <c r="N482" s="75" t="str">
        <f t="shared" si="4"/>
        <v>NO</v>
      </c>
      <c r="O482" s="76"/>
      <c r="P482" s="76"/>
      <c r="Q482" s="75" t="str">
        <f t="shared" si="5"/>
        <v/>
      </c>
      <c r="R482" s="75" t="str">
        <f t="shared" si="6"/>
        <v>NO</v>
      </c>
      <c r="S482" s="75"/>
      <c r="T482" s="75"/>
      <c r="U482" s="75" t="str">
        <f t="shared" si="8"/>
        <v/>
      </c>
      <c r="V482" s="76"/>
      <c r="W482" s="14"/>
    </row>
    <row r="483">
      <c r="A483" s="37" t="s">
        <v>1244</v>
      </c>
      <c r="B483" s="37">
        <v>2015.0</v>
      </c>
      <c r="C483" s="69" t="s">
        <v>1245</v>
      </c>
      <c r="D483" s="78"/>
      <c r="E483" s="13" t="s">
        <v>247</v>
      </c>
      <c r="F483" s="74" t="str">
        <f t="shared" si="1"/>
        <v>YES</v>
      </c>
      <c r="G483" s="78"/>
      <c r="H483" s="13" t="s">
        <v>247</v>
      </c>
      <c r="I483" s="74" t="str">
        <f t="shared" si="2"/>
        <v>YES</v>
      </c>
      <c r="J483" s="75" t="str">
        <f t="shared" si="3"/>
        <v>YES</v>
      </c>
      <c r="K483" s="37" t="s">
        <v>187</v>
      </c>
      <c r="M483" s="76"/>
      <c r="N483" s="75" t="str">
        <f t="shared" si="4"/>
        <v>NO</v>
      </c>
      <c r="O483" s="76"/>
      <c r="P483" s="76"/>
      <c r="Q483" s="75" t="str">
        <f t="shared" si="5"/>
        <v/>
      </c>
      <c r="R483" s="75" t="str">
        <f t="shared" si="6"/>
        <v>NO</v>
      </c>
      <c r="S483" s="75"/>
      <c r="T483" s="75"/>
      <c r="U483" s="75" t="str">
        <f t="shared" si="8"/>
        <v/>
      </c>
      <c r="V483" s="76"/>
      <c r="W483" s="14"/>
    </row>
    <row r="484">
      <c r="A484" s="37" t="s">
        <v>1246</v>
      </c>
      <c r="B484" s="37">
        <v>2015.0</v>
      </c>
      <c r="C484" s="69" t="s">
        <v>1247</v>
      </c>
      <c r="D484" s="78"/>
      <c r="E484" s="13" t="s">
        <v>247</v>
      </c>
      <c r="F484" s="74" t="str">
        <f t="shared" si="1"/>
        <v>YES</v>
      </c>
      <c r="G484" s="78"/>
      <c r="H484" s="13" t="s">
        <v>247</v>
      </c>
      <c r="I484" s="74" t="str">
        <f t="shared" si="2"/>
        <v>YES</v>
      </c>
      <c r="J484" s="75" t="str">
        <f t="shared" si="3"/>
        <v>YES</v>
      </c>
      <c r="K484" s="37" t="s">
        <v>199</v>
      </c>
      <c r="M484" s="76"/>
      <c r="N484" s="75" t="str">
        <f t="shared" si="4"/>
        <v>YES</v>
      </c>
      <c r="O484" s="75" t="s">
        <v>149</v>
      </c>
      <c r="P484" s="75" t="s">
        <v>149</v>
      </c>
      <c r="Q484" s="75" t="str">
        <f t="shared" si="5"/>
        <v>YES</v>
      </c>
      <c r="R484" s="75" t="str">
        <f t="shared" si="6"/>
        <v>NO</v>
      </c>
      <c r="S484" s="75"/>
      <c r="T484" s="75"/>
      <c r="U484" s="75" t="str">
        <f t="shared" si="8"/>
        <v/>
      </c>
      <c r="V484" s="76"/>
      <c r="W484" s="14"/>
    </row>
    <row r="485">
      <c r="A485" s="37" t="s">
        <v>1248</v>
      </c>
      <c r="B485" s="37">
        <v>2016.0</v>
      </c>
      <c r="C485" s="69" t="s">
        <v>1249</v>
      </c>
      <c r="D485" s="78"/>
      <c r="F485" s="74" t="str">
        <f t="shared" si="1"/>
        <v/>
      </c>
      <c r="G485" s="78"/>
      <c r="I485" s="74" t="str">
        <f t="shared" si="2"/>
        <v/>
      </c>
      <c r="J485" s="75" t="str">
        <f t="shared" si="3"/>
        <v>YES</v>
      </c>
      <c r="K485" s="37" t="s">
        <v>187</v>
      </c>
      <c r="L485" s="13" t="s">
        <v>37</v>
      </c>
      <c r="M485" s="75" t="s">
        <v>142</v>
      </c>
      <c r="N485" s="75" t="str">
        <f t="shared" si="4"/>
        <v>NO</v>
      </c>
      <c r="O485" s="76"/>
      <c r="P485" s="75"/>
      <c r="Q485" s="75" t="str">
        <f t="shared" si="5"/>
        <v/>
      </c>
      <c r="R485" s="75" t="str">
        <f t="shared" si="6"/>
        <v>NO</v>
      </c>
      <c r="S485" s="75"/>
      <c r="T485" s="75"/>
      <c r="U485" s="75" t="str">
        <f t="shared" si="8"/>
        <v/>
      </c>
      <c r="V485" s="76"/>
      <c r="W485" s="14"/>
    </row>
    <row r="486">
      <c r="A486" s="37" t="s">
        <v>1250</v>
      </c>
      <c r="B486" s="37">
        <v>2016.0</v>
      </c>
      <c r="C486" s="69" t="s">
        <v>1251</v>
      </c>
      <c r="D486" s="78"/>
      <c r="F486" s="74" t="str">
        <f t="shared" si="1"/>
        <v/>
      </c>
      <c r="G486" s="78"/>
      <c r="I486" s="74" t="str">
        <f t="shared" si="2"/>
        <v/>
      </c>
      <c r="J486" s="75" t="str">
        <f t="shared" si="3"/>
        <v>YES</v>
      </c>
      <c r="K486" s="37" t="s">
        <v>86</v>
      </c>
      <c r="M486" s="76"/>
      <c r="N486" s="75" t="str">
        <f t="shared" si="4"/>
        <v>NO</v>
      </c>
      <c r="O486" s="76"/>
      <c r="P486" s="76"/>
      <c r="Q486" s="75" t="str">
        <f t="shared" si="5"/>
        <v/>
      </c>
      <c r="R486" s="75" t="str">
        <f t="shared" si="6"/>
        <v>NO</v>
      </c>
      <c r="S486" s="75"/>
      <c r="T486" s="75"/>
      <c r="U486" s="75" t="str">
        <f t="shared" si="8"/>
        <v/>
      </c>
      <c r="V486" s="76"/>
      <c r="W486" s="14"/>
    </row>
    <row r="487">
      <c r="A487" s="37" t="s">
        <v>1252</v>
      </c>
      <c r="B487" s="37">
        <v>2015.0</v>
      </c>
      <c r="C487" s="69" t="s">
        <v>1253</v>
      </c>
      <c r="D487" s="78"/>
      <c r="E487" s="13" t="s">
        <v>247</v>
      </c>
      <c r="F487" s="74" t="str">
        <f t="shared" si="1"/>
        <v>YES</v>
      </c>
      <c r="G487" s="78"/>
      <c r="H487" s="13" t="s">
        <v>247</v>
      </c>
      <c r="I487" s="74" t="str">
        <f t="shared" si="2"/>
        <v>YES</v>
      </c>
      <c r="J487" s="75" t="str">
        <f t="shared" si="3"/>
        <v>YES</v>
      </c>
      <c r="K487" s="37" t="s">
        <v>86</v>
      </c>
      <c r="M487" s="76"/>
      <c r="N487" s="75" t="str">
        <f t="shared" si="4"/>
        <v>NO</v>
      </c>
      <c r="O487" s="76"/>
      <c r="P487" s="76"/>
      <c r="Q487" s="75" t="str">
        <f t="shared" si="5"/>
        <v/>
      </c>
      <c r="R487" s="75" t="str">
        <f t="shared" si="6"/>
        <v>NO</v>
      </c>
      <c r="S487" s="75"/>
      <c r="T487" s="75"/>
      <c r="U487" s="75" t="str">
        <f t="shared" si="8"/>
        <v/>
      </c>
      <c r="V487" s="76"/>
      <c r="W487" s="14"/>
    </row>
    <row r="488">
      <c r="A488" s="37" t="s">
        <v>1254</v>
      </c>
      <c r="B488" s="37">
        <v>2013.0</v>
      </c>
      <c r="C488" s="69" t="s">
        <v>1255</v>
      </c>
      <c r="D488" s="78"/>
      <c r="F488" s="74" t="str">
        <f t="shared" si="1"/>
        <v/>
      </c>
      <c r="G488" s="78"/>
      <c r="I488" s="74" t="str">
        <f t="shared" si="2"/>
        <v/>
      </c>
      <c r="J488" s="75" t="str">
        <f t="shared" si="3"/>
        <v>YES</v>
      </c>
      <c r="K488" s="37" t="s">
        <v>490</v>
      </c>
      <c r="M488" s="76"/>
      <c r="N488" s="75" t="str">
        <f t="shared" si="4"/>
        <v>NO</v>
      </c>
      <c r="O488" s="76"/>
      <c r="P488" s="76"/>
      <c r="Q488" s="75" t="str">
        <f t="shared" si="5"/>
        <v/>
      </c>
      <c r="R488" s="75" t="str">
        <f t="shared" si="6"/>
        <v>NO</v>
      </c>
      <c r="S488" s="75"/>
      <c r="T488" s="75"/>
      <c r="U488" s="75" t="str">
        <f t="shared" si="8"/>
        <v/>
      </c>
      <c r="V488" s="76"/>
      <c r="W488" s="14"/>
    </row>
    <row r="489">
      <c r="A489" s="37" t="s">
        <v>1256</v>
      </c>
      <c r="B489" s="37">
        <v>2016.0</v>
      </c>
      <c r="C489" s="69" t="s">
        <v>1257</v>
      </c>
      <c r="D489" s="78"/>
      <c r="F489" s="74" t="str">
        <f t="shared" si="1"/>
        <v/>
      </c>
      <c r="G489" s="78"/>
      <c r="I489" s="74" t="str">
        <f t="shared" si="2"/>
        <v/>
      </c>
      <c r="J489" s="75" t="str">
        <f t="shared" si="3"/>
        <v>YES</v>
      </c>
      <c r="K489" s="37" t="s">
        <v>130</v>
      </c>
      <c r="L489" s="13" t="s">
        <v>7</v>
      </c>
      <c r="M489" s="75" t="s">
        <v>142</v>
      </c>
      <c r="N489" s="75" t="str">
        <f t="shared" si="4"/>
        <v>YES</v>
      </c>
      <c r="O489" s="75" t="s">
        <v>131</v>
      </c>
      <c r="P489" s="75"/>
      <c r="Q489" s="75" t="str">
        <f t="shared" si="5"/>
        <v/>
      </c>
      <c r="R489" s="75" t="str">
        <f t="shared" si="6"/>
        <v>YES</v>
      </c>
      <c r="S489" s="75"/>
      <c r="T489" s="75"/>
      <c r="U489" s="75" t="str">
        <f t="shared" si="8"/>
        <v/>
      </c>
      <c r="V489" s="76"/>
      <c r="W489" s="14"/>
    </row>
    <row r="490">
      <c r="A490" s="37" t="s">
        <v>1260</v>
      </c>
      <c r="B490" s="37">
        <v>2016.0</v>
      </c>
      <c r="C490" s="69" t="s">
        <v>1261</v>
      </c>
      <c r="D490" s="78"/>
      <c r="E490" s="13" t="s">
        <v>247</v>
      </c>
      <c r="F490" s="74" t="str">
        <f t="shared" si="1"/>
        <v>YES</v>
      </c>
      <c r="G490" s="78"/>
      <c r="H490" s="13" t="s">
        <v>247</v>
      </c>
      <c r="I490" s="74" t="str">
        <f t="shared" si="2"/>
        <v>YES</v>
      </c>
      <c r="J490" s="75" t="str">
        <f t="shared" si="3"/>
        <v>YES</v>
      </c>
      <c r="K490" s="37" t="s">
        <v>130</v>
      </c>
      <c r="L490" s="13" t="s">
        <v>7</v>
      </c>
      <c r="M490" s="75" t="s">
        <v>142</v>
      </c>
      <c r="N490" s="75" t="str">
        <f t="shared" si="4"/>
        <v>YES</v>
      </c>
      <c r="O490" s="75" t="s">
        <v>131</v>
      </c>
      <c r="P490" s="75"/>
      <c r="Q490" s="75" t="str">
        <f t="shared" si="5"/>
        <v/>
      </c>
      <c r="R490" s="75" t="str">
        <f t="shared" si="6"/>
        <v>YES</v>
      </c>
      <c r="S490" s="75"/>
      <c r="T490" s="75"/>
      <c r="U490" s="75" t="str">
        <f t="shared" si="8"/>
        <v/>
      </c>
      <c r="V490" s="76"/>
      <c r="W490" s="14"/>
    </row>
    <row r="491">
      <c r="A491" s="149" t="s">
        <v>1263</v>
      </c>
      <c r="B491" s="37">
        <v>2012.0</v>
      </c>
      <c r="C491" s="69" t="s">
        <v>1264</v>
      </c>
      <c r="D491" s="78"/>
      <c r="F491" s="74" t="str">
        <f t="shared" si="1"/>
        <v/>
      </c>
      <c r="G491" s="78"/>
      <c r="I491" s="74" t="str">
        <f t="shared" si="2"/>
        <v/>
      </c>
      <c r="J491" s="75" t="str">
        <f t="shared" si="3"/>
        <v>YES</v>
      </c>
      <c r="K491" s="37" t="s">
        <v>130</v>
      </c>
      <c r="M491" s="76"/>
      <c r="N491" s="75" t="str">
        <f t="shared" si="4"/>
        <v>YES</v>
      </c>
      <c r="O491" s="75" t="s">
        <v>131</v>
      </c>
      <c r="P491" s="76"/>
      <c r="Q491" s="75" t="str">
        <f t="shared" si="5"/>
        <v/>
      </c>
      <c r="R491" s="75" t="str">
        <f t="shared" si="6"/>
        <v>YES</v>
      </c>
      <c r="S491" s="75"/>
      <c r="T491" s="75"/>
      <c r="U491" s="75" t="str">
        <f t="shared" si="8"/>
        <v/>
      </c>
      <c r="V491" s="76"/>
      <c r="W491" s="14"/>
    </row>
    <row r="492">
      <c r="A492" s="149" t="s">
        <v>1265</v>
      </c>
      <c r="B492" s="37">
        <v>2014.0</v>
      </c>
      <c r="C492" s="69" t="s">
        <v>1266</v>
      </c>
      <c r="D492" s="78"/>
      <c r="F492" s="74" t="str">
        <f t="shared" si="1"/>
        <v/>
      </c>
      <c r="G492" s="78"/>
      <c r="I492" s="74" t="str">
        <f t="shared" si="2"/>
        <v/>
      </c>
      <c r="J492" s="75" t="str">
        <f t="shared" si="3"/>
        <v>YES</v>
      </c>
      <c r="K492" s="37" t="s">
        <v>130</v>
      </c>
      <c r="M492" s="76"/>
      <c r="N492" s="75" t="str">
        <f t="shared" si="4"/>
        <v>YES</v>
      </c>
      <c r="O492" s="75" t="s">
        <v>149</v>
      </c>
      <c r="P492" s="75" t="s">
        <v>149</v>
      </c>
      <c r="Q492" s="75" t="str">
        <f t="shared" si="5"/>
        <v>YES</v>
      </c>
      <c r="R492" s="75" t="str">
        <f t="shared" si="6"/>
        <v>NO</v>
      </c>
      <c r="S492" s="75"/>
      <c r="T492" s="75"/>
      <c r="U492" s="75" t="str">
        <f t="shared" si="8"/>
        <v/>
      </c>
      <c r="V492" s="76"/>
      <c r="W492" s="14"/>
    </row>
    <row r="493">
      <c r="A493" s="61" t="s">
        <v>1267</v>
      </c>
      <c r="B493" s="61">
        <v>2013.0</v>
      </c>
      <c r="C493" s="208" t="s">
        <v>1268</v>
      </c>
      <c r="D493" s="209" t="s">
        <v>95</v>
      </c>
      <c r="E493" s="13"/>
      <c r="F493" s="74" t="str">
        <f t="shared" si="1"/>
        <v/>
      </c>
      <c r="G493" s="210"/>
      <c r="H493" s="13"/>
      <c r="I493" s="74" t="str">
        <f t="shared" si="2"/>
        <v/>
      </c>
      <c r="J493" s="75" t="str">
        <f t="shared" si="3"/>
        <v>NO</v>
      </c>
      <c r="L493" s="13"/>
      <c r="M493" s="76"/>
      <c r="N493" s="75" t="str">
        <f t="shared" si="4"/>
        <v>NO</v>
      </c>
      <c r="O493" s="76"/>
      <c r="P493" s="76"/>
      <c r="Q493" s="75" t="str">
        <f t="shared" si="5"/>
        <v/>
      </c>
      <c r="R493" s="75" t="str">
        <f t="shared" si="6"/>
        <v>NO</v>
      </c>
      <c r="S493" s="75"/>
      <c r="T493" s="75"/>
      <c r="U493" s="75" t="str">
        <f t="shared" si="8"/>
        <v/>
      </c>
      <c r="V493" s="76"/>
      <c r="W493" s="14"/>
    </row>
    <row r="494">
      <c r="A494" s="61" t="s">
        <v>1269</v>
      </c>
      <c r="B494" s="61">
        <v>2015.0</v>
      </c>
      <c r="C494" s="208" t="s">
        <v>1270</v>
      </c>
      <c r="D494" s="209" t="s">
        <v>95</v>
      </c>
      <c r="E494" s="13" t="s">
        <v>247</v>
      </c>
      <c r="F494" s="74" t="str">
        <f t="shared" si="1"/>
        <v>NO</v>
      </c>
      <c r="G494" s="210"/>
      <c r="H494" s="13" t="s">
        <v>247</v>
      </c>
      <c r="I494" s="74" t="str">
        <f t="shared" si="2"/>
        <v>NO</v>
      </c>
      <c r="J494" s="75" t="str">
        <f t="shared" si="3"/>
        <v>NO</v>
      </c>
      <c r="L494" s="13"/>
      <c r="M494" s="76"/>
      <c r="N494" s="75" t="str">
        <f t="shared" si="4"/>
        <v>NO</v>
      </c>
      <c r="O494" s="76"/>
      <c r="P494" s="76"/>
      <c r="Q494" s="75" t="str">
        <f t="shared" si="5"/>
        <v/>
      </c>
      <c r="R494" s="75" t="str">
        <f t="shared" si="6"/>
        <v>NO</v>
      </c>
      <c r="S494" s="75"/>
      <c r="T494" s="75"/>
      <c r="U494" s="75" t="str">
        <f t="shared" si="8"/>
        <v/>
      </c>
      <c r="V494" s="76"/>
      <c r="W494" s="14"/>
    </row>
    <row r="495">
      <c r="A495" s="13" t="s">
        <v>1271</v>
      </c>
      <c r="B495" s="61">
        <v>2014.0</v>
      </c>
      <c r="C495" s="211" t="s">
        <v>1272</v>
      </c>
      <c r="D495" s="76"/>
      <c r="E495" s="13" t="s">
        <v>247</v>
      </c>
      <c r="F495" s="74" t="str">
        <f t="shared" si="1"/>
        <v>YES</v>
      </c>
      <c r="G495" s="76"/>
      <c r="H495" s="13" t="s">
        <v>247</v>
      </c>
      <c r="I495" s="74" t="str">
        <f t="shared" si="2"/>
        <v>YES</v>
      </c>
      <c r="J495" s="75" t="str">
        <f t="shared" si="3"/>
        <v>YES</v>
      </c>
      <c r="K495" s="61" t="s">
        <v>86</v>
      </c>
      <c r="M495" s="76"/>
      <c r="N495" s="75" t="str">
        <f t="shared" si="4"/>
        <v>NO</v>
      </c>
      <c r="O495" s="76"/>
      <c r="P495" s="76"/>
      <c r="Q495" s="75" t="str">
        <f t="shared" si="5"/>
        <v/>
      </c>
      <c r="R495" s="75" t="str">
        <f t="shared" si="6"/>
        <v>NO</v>
      </c>
      <c r="S495" s="75"/>
      <c r="T495" s="75"/>
      <c r="U495" s="75" t="str">
        <f t="shared" si="8"/>
        <v/>
      </c>
      <c r="V495" s="76"/>
      <c r="W495" s="14"/>
    </row>
    <row r="496">
      <c r="A496" s="13" t="s">
        <v>1273</v>
      </c>
      <c r="B496" s="61">
        <v>2012.0</v>
      </c>
      <c r="C496" s="211" t="s">
        <v>1274</v>
      </c>
      <c r="D496" s="75" t="s">
        <v>95</v>
      </c>
      <c r="E496" s="13"/>
      <c r="F496" s="74" t="str">
        <f t="shared" si="1"/>
        <v/>
      </c>
      <c r="G496" s="76"/>
      <c r="H496" s="13"/>
      <c r="I496" s="74" t="str">
        <f t="shared" si="2"/>
        <v/>
      </c>
      <c r="J496" s="75" t="str">
        <f t="shared" si="3"/>
        <v>NO</v>
      </c>
      <c r="L496" s="13"/>
      <c r="M496" s="76"/>
      <c r="N496" s="75" t="str">
        <f t="shared" si="4"/>
        <v>NO</v>
      </c>
      <c r="O496" s="76"/>
      <c r="P496" s="76"/>
      <c r="Q496" s="75" t="str">
        <f t="shared" si="5"/>
        <v/>
      </c>
      <c r="R496" s="75" t="str">
        <f t="shared" si="6"/>
        <v>NO</v>
      </c>
      <c r="S496" s="75"/>
      <c r="T496" s="75"/>
      <c r="U496" s="75" t="str">
        <f t="shared" si="8"/>
        <v/>
      </c>
      <c r="V496" s="76"/>
      <c r="W496" s="14"/>
    </row>
    <row r="497">
      <c r="A497" s="13" t="s">
        <v>1275</v>
      </c>
      <c r="B497" s="61">
        <v>2014.0</v>
      </c>
      <c r="C497" s="211" t="s">
        <v>1276</v>
      </c>
      <c r="D497" s="76"/>
      <c r="F497" s="74" t="str">
        <f t="shared" si="1"/>
        <v/>
      </c>
      <c r="G497" s="76"/>
      <c r="I497" s="74" t="str">
        <f t="shared" si="2"/>
        <v/>
      </c>
      <c r="J497" s="75" t="str">
        <f t="shared" si="3"/>
        <v>YES</v>
      </c>
      <c r="K497" s="13" t="s">
        <v>130</v>
      </c>
      <c r="M497" s="76"/>
      <c r="N497" s="75" t="str">
        <f t="shared" si="4"/>
        <v>YES</v>
      </c>
      <c r="O497" s="75" t="s">
        <v>131</v>
      </c>
      <c r="P497" s="76"/>
      <c r="Q497" s="75" t="str">
        <f t="shared" si="5"/>
        <v/>
      </c>
      <c r="R497" s="75" t="str">
        <f t="shared" si="6"/>
        <v>YES</v>
      </c>
      <c r="S497" s="75" t="s">
        <v>131</v>
      </c>
      <c r="T497" s="75" t="s">
        <v>131</v>
      </c>
      <c r="U497" s="75" t="str">
        <f t="shared" si="8"/>
        <v>YES</v>
      </c>
      <c r="V497" s="75" t="s">
        <v>285</v>
      </c>
      <c r="W497" s="14"/>
    </row>
    <row r="498">
      <c r="A498" s="13" t="s">
        <v>1280</v>
      </c>
      <c r="B498" s="61">
        <v>2014.0</v>
      </c>
      <c r="C498" s="211" t="s">
        <v>1281</v>
      </c>
      <c r="D498" s="75" t="s">
        <v>95</v>
      </c>
      <c r="E498" s="13"/>
      <c r="F498" s="74" t="str">
        <f t="shared" si="1"/>
        <v/>
      </c>
      <c r="G498" s="76"/>
      <c r="H498" s="13"/>
      <c r="I498" s="74" t="str">
        <f t="shared" si="2"/>
        <v/>
      </c>
      <c r="J498" s="75" t="str">
        <f t="shared" si="3"/>
        <v>NO</v>
      </c>
      <c r="L498" s="13"/>
      <c r="M498" s="76"/>
      <c r="N498" s="75" t="str">
        <f t="shared" si="4"/>
        <v>NO</v>
      </c>
      <c r="O498" s="76"/>
      <c r="P498" s="76"/>
      <c r="Q498" s="75" t="str">
        <f t="shared" si="5"/>
        <v/>
      </c>
      <c r="R498" s="75" t="str">
        <f t="shared" si="6"/>
        <v>NO</v>
      </c>
      <c r="S498" s="75"/>
      <c r="T498" s="75"/>
      <c r="U498" s="75" t="str">
        <f t="shared" si="8"/>
        <v/>
      </c>
      <c r="V498" s="76"/>
      <c r="W498" s="14"/>
    </row>
    <row r="499">
      <c r="A499" s="13" t="s">
        <v>1282</v>
      </c>
      <c r="B499" s="61">
        <v>2014.0</v>
      </c>
      <c r="C499" s="211" t="s">
        <v>1283</v>
      </c>
      <c r="D499" s="76"/>
      <c r="F499" s="74" t="str">
        <f t="shared" si="1"/>
        <v/>
      </c>
      <c r="G499" s="76"/>
      <c r="I499" s="74" t="str">
        <f t="shared" si="2"/>
        <v/>
      </c>
      <c r="J499" s="75" t="str">
        <f t="shared" si="3"/>
        <v>YES</v>
      </c>
      <c r="K499" s="61" t="s">
        <v>86</v>
      </c>
      <c r="M499" s="76"/>
      <c r="N499" s="75" t="str">
        <f t="shared" si="4"/>
        <v>NO</v>
      </c>
      <c r="O499" s="76"/>
      <c r="P499" s="76"/>
      <c r="Q499" s="75" t="str">
        <f t="shared" si="5"/>
        <v/>
      </c>
      <c r="R499" s="75" t="str">
        <f t="shared" si="6"/>
        <v>NO</v>
      </c>
      <c r="S499" s="75"/>
      <c r="T499" s="75"/>
      <c r="U499" s="75" t="str">
        <f t="shared" si="8"/>
        <v/>
      </c>
      <c r="V499" s="76"/>
      <c r="W499" s="14"/>
    </row>
    <row r="500">
      <c r="A500" s="13" t="s">
        <v>1284</v>
      </c>
      <c r="B500" s="61">
        <v>2014.0</v>
      </c>
      <c r="C500" s="211" t="s">
        <v>1285</v>
      </c>
      <c r="D500" s="75" t="s">
        <v>95</v>
      </c>
      <c r="E500" s="13"/>
      <c r="F500" s="74" t="str">
        <f t="shared" si="1"/>
        <v/>
      </c>
      <c r="G500" s="76"/>
      <c r="H500" s="13"/>
      <c r="I500" s="74" t="str">
        <f t="shared" si="2"/>
        <v/>
      </c>
      <c r="J500" s="75" t="str">
        <f t="shared" si="3"/>
        <v>NO</v>
      </c>
      <c r="L500" s="13"/>
      <c r="M500" s="76"/>
      <c r="N500" s="75" t="str">
        <f t="shared" si="4"/>
        <v>NO</v>
      </c>
      <c r="O500" s="76"/>
      <c r="P500" s="76"/>
      <c r="Q500" s="75" t="str">
        <f t="shared" si="5"/>
        <v/>
      </c>
      <c r="R500" s="75" t="str">
        <f t="shared" si="6"/>
        <v>NO</v>
      </c>
      <c r="S500" s="75"/>
      <c r="T500" s="75"/>
      <c r="U500" s="75" t="str">
        <f t="shared" si="8"/>
        <v/>
      </c>
      <c r="V500" s="76"/>
      <c r="W500" s="14"/>
    </row>
    <row r="501">
      <c r="A501" s="13" t="s">
        <v>1286</v>
      </c>
      <c r="B501" s="61">
        <v>2015.0</v>
      </c>
      <c r="C501" s="211" t="s">
        <v>1287</v>
      </c>
      <c r="D501" s="75" t="s">
        <v>95</v>
      </c>
      <c r="E501" s="13"/>
      <c r="F501" s="74" t="str">
        <f t="shared" si="1"/>
        <v/>
      </c>
      <c r="G501" s="76"/>
      <c r="H501" s="13"/>
      <c r="I501" s="74" t="str">
        <f t="shared" si="2"/>
        <v/>
      </c>
      <c r="J501" s="75" t="str">
        <f t="shared" si="3"/>
        <v>NO</v>
      </c>
      <c r="L501" s="13"/>
      <c r="M501" s="76"/>
      <c r="N501" s="75" t="str">
        <f t="shared" si="4"/>
        <v>NO</v>
      </c>
      <c r="O501" s="76"/>
      <c r="P501" s="76"/>
      <c r="Q501" s="75" t="str">
        <f t="shared" si="5"/>
        <v/>
      </c>
      <c r="R501" s="75" t="str">
        <f t="shared" si="6"/>
        <v>NO</v>
      </c>
      <c r="S501" s="75"/>
      <c r="T501" s="75"/>
      <c r="U501" s="75" t="str">
        <f t="shared" si="8"/>
        <v/>
      </c>
      <c r="V501" s="76"/>
      <c r="W501" s="14"/>
    </row>
    <row r="502">
      <c r="A502" s="13" t="s">
        <v>1288</v>
      </c>
      <c r="B502" s="61">
        <v>2014.0</v>
      </c>
      <c r="C502" s="211" t="s">
        <v>1289</v>
      </c>
      <c r="D502" s="76"/>
      <c r="F502" s="74" t="str">
        <f t="shared" si="1"/>
        <v/>
      </c>
      <c r="G502" s="76"/>
      <c r="I502" s="74" t="str">
        <f t="shared" si="2"/>
        <v/>
      </c>
      <c r="J502" s="75" t="str">
        <f t="shared" si="3"/>
        <v>YES</v>
      </c>
      <c r="K502" s="13" t="s">
        <v>91</v>
      </c>
      <c r="M502" s="76"/>
      <c r="N502" s="75" t="str">
        <f t="shared" si="4"/>
        <v>NO</v>
      </c>
      <c r="O502" s="76"/>
      <c r="P502" s="76"/>
      <c r="Q502" s="75" t="str">
        <f t="shared" si="5"/>
        <v/>
      </c>
      <c r="R502" s="75" t="str">
        <f t="shared" si="6"/>
        <v>NO</v>
      </c>
      <c r="S502" s="75"/>
      <c r="T502" s="75"/>
      <c r="U502" s="75" t="str">
        <f t="shared" si="8"/>
        <v/>
      </c>
      <c r="V502" s="76"/>
      <c r="W502" s="14"/>
    </row>
    <row r="503">
      <c r="A503" s="13" t="s">
        <v>1290</v>
      </c>
      <c r="B503" s="61">
        <v>2014.0</v>
      </c>
      <c r="C503" s="211" t="s">
        <v>1291</v>
      </c>
      <c r="D503" s="76"/>
      <c r="F503" s="74" t="str">
        <f t="shared" si="1"/>
        <v/>
      </c>
      <c r="G503" s="76"/>
      <c r="I503" s="74" t="str">
        <f t="shared" si="2"/>
        <v/>
      </c>
      <c r="J503" s="75" t="str">
        <f t="shared" si="3"/>
        <v>YES</v>
      </c>
      <c r="K503" s="13" t="s">
        <v>91</v>
      </c>
      <c r="M503" s="76"/>
      <c r="N503" s="75" t="str">
        <f t="shared" si="4"/>
        <v>NO</v>
      </c>
      <c r="O503" s="76"/>
      <c r="P503" s="76"/>
      <c r="Q503" s="75" t="str">
        <f t="shared" si="5"/>
        <v/>
      </c>
      <c r="R503" s="75" t="str">
        <f t="shared" si="6"/>
        <v>NO</v>
      </c>
      <c r="S503" s="75"/>
      <c r="T503" s="75"/>
      <c r="U503" s="75" t="str">
        <f t="shared" si="8"/>
        <v/>
      </c>
      <c r="V503" s="76"/>
      <c r="W503" s="14"/>
    </row>
    <row r="504">
      <c r="A504" s="13" t="s">
        <v>1292</v>
      </c>
      <c r="B504" s="61">
        <v>2013.0</v>
      </c>
      <c r="C504" s="211" t="s">
        <v>1293</v>
      </c>
      <c r="D504" s="75" t="s">
        <v>95</v>
      </c>
      <c r="E504" s="13"/>
      <c r="F504" s="74" t="str">
        <f t="shared" si="1"/>
        <v/>
      </c>
      <c r="G504" s="76"/>
      <c r="H504" s="13"/>
      <c r="I504" s="74" t="str">
        <f t="shared" si="2"/>
        <v/>
      </c>
      <c r="J504" s="75" t="str">
        <f t="shared" si="3"/>
        <v>NO</v>
      </c>
      <c r="L504" s="13"/>
      <c r="M504" s="76"/>
      <c r="N504" s="75" t="str">
        <f t="shared" si="4"/>
        <v>NO</v>
      </c>
      <c r="O504" s="76"/>
      <c r="P504" s="76"/>
      <c r="Q504" s="75" t="str">
        <f t="shared" si="5"/>
        <v/>
      </c>
      <c r="R504" s="75" t="str">
        <f t="shared" si="6"/>
        <v>NO</v>
      </c>
      <c r="S504" s="75"/>
      <c r="T504" s="75"/>
      <c r="U504" s="75" t="str">
        <f t="shared" si="8"/>
        <v/>
      </c>
      <c r="V504" s="76"/>
      <c r="W504" s="14"/>
    </row>
    <row r="505">
      <c r="A505" s="13" t="s">
        <v>1294</v>
      </c>
      <c r="B505" s="61">
        <v>2015.0</v>
      </c>
      <c r="C505" s="211" t="s">
        <v>1295</v>
      </c>
      <c r="D505" s="75" t="s">
        <v>95</v>
      </c>
      <c r="E505" s="13"/>
      <c r="F505" s="74" t="str">
        <f t="shared" si="1"/>
        <v/>
      </c>
      <c r="G505" s="76"/>
      <c r="H505" s="13"/>
      <c r="I505" s="74" t="str">
        <f t="shared" si="2"/>
        <v/>
      </c>
      <c r="J505" s="75" t="str">
        <f t="shared" si="3"/>
        <v>NO</v>
      </c>
      <c r="L505" s="13"/>
      <c r="M505" s="76"/>
      <c r="N505" s="75" t="str">
        <f t="shared" si="4"/>
        <v>NO</v>
      </c>
      <c r="O505" s="75" t="s">
        <v>131</v>
      </c>
      <c r="P505" s="76"/>
      <c r="Q505" s="75" t="str">
        <f t="shared" si="5"/>
        <v/>
      </c>
      <c r="R505" s="75" t="str">
        <f t="shared" si="6"/>
        <v>YES</v>
      </c>
      <c r="S505" s="75"/>
      <c r="T505" s="75"/>
      <c r="U505" s="75" t="str">
        <f t="shared" si="8"/>
        <v/>
      </c>
      <c r="V505" s="76"/>
      <c r="W505" s="14"/>
    </row>
    <row r="506">
      <c r="A506" s="13" t="s">
        <v>1296</v>
      </c>
      <c r="B506" s="61">
        <v>2015.0</v>
      </c>
      <c r="C506" s="211" t="s">
        <v>1297</v>
      </c>
      <c r="D506" s="75" t="s">
        <v>95</v>
      </c>
      <c r="E506" s="13"/>
      <c r="F506" s="74" t="str">
        <f t="shared" si="1"/>
        <v/>
      </c>
      <c r="G506" s="76"/>
      <c r="H506" s="13"/>
      <c r="I506" s="74" t="str">
        <f t="shared" si="2"/>
        <v/>
      </c>
      <c r="J506" s="75" t="str">
        <f t="shared" si="3"/>
        <v>NO</v>
      </c>
      <c r="L506" s="13"/>
      <c r="M506" s="76"/>
      <c r="N506" s="75" t="str">
        <f t="shared" si="4"/>
        <v>NO</v>
      </c>
      <c r="O506" s="76"/>
      <c r="P506" s="76"/>
      <c r="Q506" s="75" t="str">
        <f t="shared" si="5"/>
        <v/>
      </c>
      <c r="R506" s="75" t="str">
        <f t="shared" si="6"/>
        <v>NO</v>
      </c>
      <c r="S506" s="75"/>
      <c r="T506" s="75"/>
      <c r="U506" s="75" t="str">
        <f t="shared" si="8"/>
        <v/>
      </c>
      <c r="V506" s="76"/>
      <c r="W506" s="14"/>
    </row>
    <row r="507">
      <c r="A507" s="13" t="s">
        <v>1298</v>
      </c>
      <c r="B507" s="61">
        <v>2013.0</v>
      </c>
      <c r="C507" s="211" t="s">
        <v>1299</v>
      </c>
      <c r="D507" s="75" t="s">
        <v>95</v>
      </c>
      <c r="E507" s="13"/>
      <c r="F507" s="74" t="str">
        <f t="shared" si="1"/>
        <v/>
      </c>
      <c r="G507" s="76"/>
      <c r="H507" s="13"/>
      <c r="I507" s="74" t="str">
        <f t="shared" si="2"/>
        <v/>
      </c>
      <c r="J507" s="75" t="str">
        <f t="shared" si="3"/>
        <v>NO</v>
      </c>
      <c r="L507" s="13"/>
      <c r="M507" s="76"/>
      <c r="N507" s="75" t="str">
        <f t="shared" si="4"/>
        <v>NO</v>
      </c>
      <c r="O507" s="76"/>
      <c r="P507" s="76"/>
      <c r="Q507" s="75" t="str">
        <f t="shared" si="5"/>
        <v/>
      </c>
      <c r="R507" s="75" t="str">
        <f t="shared" si="6"/>
        <v>NO</v>
      </c>
      <c r="S507" s="75"/>
      <c r="T507" s="75"/>
      <c r="U507" s="75" t="str">
        <f t="shared" si="8"/>
        <v/>
      </c>
      <c r="V507" s="76"/>
      <c r="W507" s="14"/>
    </row>
    <row r="508">
      <c r="A508" s="13" t="s">
        <v>1300</v>
      </c>
      <c r="B508" s="61">
        <v>2014.0</v>
      </c>
      <c r="C508" s="211" t="s">
        <v>1301</v>
      </c>
      <c r="D508" s="75" t="s">
        <v>95</v>
      </c>
      <c r="E508" s="13"/>
      <c r="F508" s="74" t="str">
        <f t="shared" si="1"/>
        <v/>
      </c>
      <c r="G508" s="76"/>
      <c r="H508" s="13"/>
      <c r="I508" s="74" t="str">
        <f t="shared" si="2"/>
        <v/>
      </c>
      <c r="J508" s="75" t="str">
        <f t="shared" si="3"/>
        <v>NO</v>
      </c>
      <c r="L508" s="13"/>
      <c r="M508" s="76"/>
      <c r="N508" s="75" t="str">
        <f t="shared" si="4"/>
        <v>NO</v>
      </c>
      <c r="O508" s="76"/>
      <c r="P508" s="75"/>
      <c r="Q508" s="75" t="str">
        <f t="shared" si="5"/>
        <v/>
      </c>
      <c r="R508" s="75" t="str">
        <f t="shared" si="6"/>
        <v>NO</v>
      </c>
      <c r="S508" s="75"/>
      <c r="T508" s="75"/>
      <c r="U508" s="75" t="str">
        <f t="shared" si="8"/>
        <v/>
      </c>
      <c r="V508" s="76"/>
      <c r="W508" s="14"/>
    </row>
    <row r="509">
      <c r="A509" s="13" t="s">
        <v>1302</v>
      </c>
      <c r="B509" s="61">
        <v>2015.0</v>
      </c>
      <c r="C509" s="211" t="s">
        <v>1303</v>
      </c>
      <c r="D509" s="76"/>
      <c r="F509" s="74" t="str">
        <f t="shared" si="1"/>
        <v/>
      </c>
      <c r="G509" s="76"/>
      <c r="I509" s="74" t="str">
        <f t="shared" si="2"/>
        <v/>
      </c>
      <c r="J509" s="75" t="str">
        <f t="shared" si="3"/>
        <v>YES</v>
      </c>
      <c r="K509" s="13" t="s">
        <v>91</v>
      </c>
      <c r="L509" s="13" t="s">
        <v>32</v>
      </c>
      <c r="M509" s="75" t="s">
        <v>142</v>
      </c>
      <c r="N509" s="75" t="str">
        <f t="shared" si="4"/>
        <v>NO</v>
      </c>
      <c r="O509" s="76"/>
      <c r="P509" s="75"/>
      <c r="Q509" s="75" t="str">
        <f t="shared" si="5"/>
        <v/>
      </c>
      <c r="R509" s="75" t="str">
        <f t="shared" si="6"/>
        <v>NO</v>
      </c>
      <c r="S509" s="75"/>
      <c r="T509" s="75"/>
      <c r="U509" s="75" t="str">
        <f t="shared" si="8"/>
        <v/>
      </c>
      <c r="V509" s="76"/>
      <c r="W509" s="14"/>
    </row>
    <row r="510">
      <c r="A510" s="13" t="s">
        <v>1304</v>
      </c>
      <c r="B510" s="61">
        <v>2015.0</v>
      </c>
      <c r="C510" s="211" t="s">
        <v>1305</v>
      </c>
      <c r="D510" s="75" t="s">
        <v>95</v>
      </c>
      <c r="E510" s="13"/>
      <c r="F510" s="74" t="str">
        <f t="shared" si="1"/>
        <v/>
      </c>
      <c r="G510" s="76"/>
      <c r="H510" s="13"/>
      <c r="I510" s="74" t="str">
        <f t="shared" si="2"/>
        <v/>
      </c>
      <c r="J510" s="75" t="str">
        <f t="shared" si="3"/>
        <v>NO</v>
      </c>
      <c r="L510" s="13"/>
      <c r="M510" s="76"/>
      <c r="N510" s="75" t="str">
        <f t="shared" si="4"/>
        <v>NO</v>
      </c>
      <c r="O510" s="76"/>
      <c r="P510" s="76"/>
      <c r="Q510" s="75" t="str">
        <f t="shared" si="5"/>
        <v/>
      </c>
      <c r="R510" s="75" t="str">
        <f t="shared" si="6"/>
        <v>NO</v>
      </c>
      <c r="S510" s="75"/>
      <c r="T510" s="75"/>
      <c r="U510" s="75" t="str">
        <f t="shared" si="8"/>
        <v/>
      </c>
      <c r="V510" s="76"/>
      <c r="W510" s="14"/>
    </row>
    <row r="511">
      <c r="A511" s="13" t="s">
        <v>1306</v>
      </c>
      <c r="B511" s="61">
        <v>2015.0</v>
      </c>
      <c r="C511" s="211" t="s">
        <v>1307</v>
      </c>
      <c r="D511" s="75" t="s">
        <v>95</v>
      </c>
      <c r="E511" s="13"/>
      <c r="F511" s="74" t="str">
        <f t="shared" si="1"/>
        <v/>
      </c>
      <c r="G511" s="76"/>
      <c r="H511" s="13"/>
      <c r="I511" s="74" t="str">
        <f t="shared" si="2"/>
        <v/>
      </c>
      <c r="J511" s="75" t="str">
        <f t="shared" si="3"/>
        <v>NO</v>
      </c>
      <c r="L511" s="13"/>
      <c r="M511" s="76"/>
      <c r="N511" s="75" t="str">
        <f t="shared" si="4"/>
        <v>NO</v>
      </c>
      <c r="O511" s="76"/>
      <c r="P511" s="76"/>
      <c r="Q511" s="75" t="str">
        <f t="shared" si="5"/>
        <v/>
      </c>
      <c r="R511" s="75" t="str">
        <f t="shared" si="6"/>
        <v>NO</v>
      </c>
      <c r="S511" s="75"/>
      <c r="T511" s="75"/>
      <c r="U511" s="75" t="str">
        <f t="shared" si="8"/>
        <v/>
      </c>
      <c r="V511" s="76"/>
      <c r="W511" s="14"/>
    </row>
    <row r="512">
      <c r="A512" s="13" t="s">
        <v>1308</v>
      </c>
      <c r="B512" s="61">
        <v>2015.0</v>
      </c>
      <c r="C512" s="211" t="s">
        <v>1309</v>
      </c>
      <c r="D512" s="76"/>
      <c r="F512" s="74" t="str">
        <f t="shared" si="1"/>
        <v/>
      </c>
      <c r="G512" s="76"/>
      <c r="I512" s="74" t="str">
        <f t="shared" si="2"/>
        <v/>
      </c>
      <c r="J512" s="75" t="str">
        <f t="shared" si="3"/>
        <v>YES</v>
      </c>
      <c r="K512" s="61" t="s">
        <v>86</v>
      </c>
      <c r="M512" s="76"/>
      <c r="N512" s="75" t="str">
        <f t="shared" si="4"/>
        <v>NO</v>
      </c>
      <c r="O512" s="76"/>
      <c r="P512" s="76"/>
      <c r="Q512" s="75" t="str">
        <f t="shared" si="5"/>
        <v/>
      </c>
      <c r="R512" s="75" t="str">
        <f t="shared" si="6"/>
        <v>NO</v>
      </c>
      <c r="S512" s="75"/>
      <c r="T512" s="75"/>
      <c r="U512" s="75" t="str">
        <f t="shared" si="8"/>
        <v/>
      </c>
      <c r="V512" s="76"/>
      <c r="W512" s="14"/>
    </row>
    <row r="513">
      <c r="A513" s="13" t="s">
        <v>1310</v>
      </c>
      <c r="B513" s="61">
        <v>2014.0</v>
      </c>
      <c r="C513" s="211" t="s">
        <v>1311</v>
      </c>
      <c r="D513" s="75" t="s">
        <v>95</v>
      </c>
      <c r="E513" s="13"/>
      <c r="F513" s="74" t="str">
        <f t="shared" si="1"/>
        <v/>
      </c>
      <c r="G513" s="76"/>
      <c r="H513" s="13"/>
      <c r="I513" s="74" t="str">
        <f t="shared" si="2"/>
        <v/>
      </c>
      <c r="J513" s="75" t="str">
        <f t="shared" si="3"/>
        <v>NO</v>
      </c>
      <c r="L513" s="13"/>
      <c r="M513" s="76"/>
      <c r="N513" s="75" t="str">
        <f t="shared" si="4"/>
        <v>NO</v>
      </c>
      <c r="O513" s="76"/>
      <c r="P513" s="76"/>
      <c r="Q513" s="75" t="str">
        <f t="shared" si="5"/>
        <v/>
      </c>
      <c r="R513" s="75" t="str">
        <f t="shared" si="6"/>
        <v>NO</v>
      </c>
      <c r="S513" s="75"/>
      <c r="T513" s="75"/>
      <c r="U513" s="75" t="str">
        <f t="shared" si="8"/>
        <v/>
      </c>
      <c r="V513" s="76"/>
      <c r="W513" s="14"/>
    </row>
    <row r="514">
      <c r="A514" s="13" t="s">
        <v>1312</v>
      </c>
      <c r="B514" s="61">
        <v>2014.0</v>
      </c>
      <c r="C514" s="211" t="s">
        <v>1313</v>
      </c>
      <c r="D514" s="76"/>
      <c r="F514" s="74" t="str">
        <f t="shared" si="1"/>
        <v/>
      </c>
      <c r="G514" s="76"/>
      <c r="I514" s="74" t="str">
        <f t="shared" si="2"/>
        <v/>
      </c>
      <c r="J514" s="75" t="str">
        <f t="shared" si="3"/>
        <v>YES</v>
      </c>
      <c r="K514" s="61" t="s">
        <v>86</v>
      </c>
      <c r="M514" s="76"/>
      <c r="N514" s="75" t="str">
        <f t="shared" si="4"/>
        <v>NO</v>
      </c>
      <c r="O514" s="76"/>
      <c r="P514" s="76"/>
      <c r="Q514" s="75" t="str">
        <f t="shared" si="5"/>
        <v/>
      </c>
      <c r="R514" s="75" t="str">
        <f t="shared" si="6"/>
        <v>NO</v>
      </c>
      <c r="S514" s="75"/>
      <c r="T514" s="75"/>
      <c r="U514" s="75" t="str">
        <f t="shared" si="8"/>
        <v/>
      </c>
      <c r="V514" s="76"/>
      <c r="W514" s="14"/>
    </row>
    <row r="515">
      <c r="A515" s="13" t="s">
        <v>1314</v>
      </c>
      <c r="B515" s="61">
        <v>2015.0</v>
      </c>
      <c r="C515" s="211" t="s">
        <v>1315</v>
      </c>
      <c r="D515" s="75" t="s">
        <v>95</v>
      </c>
      <c r="E515" s="13"/>
      <c r="F515" s="74" t="str">
        <f t="shared" si="1"/>
        <v/>
      </c>
      <c r="G515" s="76"/>
      <c r="H515" s="13"/>
      <c r="I515" s="74" t="str">
        <f t="shared" si="2"/>
        <v/>
      </c>
      <c r="J515" s="75" t="str">
        <f t="shared" si="3"/>
        <v>NO</v>
      </c>
      <c r="L515" s="13"/>
      <c r="M515" s="76"/>
      <c r="N515" s="75" t="str">
        <f t="shared" si="4"/>
        <v>NO</v>
      </c>
      <c r="O515" s="76"/>
      <c r="P515" s="76"/>
      <c r="Q515" s="75" t="str">
        <f t="shared" si="5"/>
        <v/>
      </c>
      <c r="R515" s="75" t="str">
        <f t="shared" si="6"/>
        <v>NO</v>
      </c>
      <c r="S515" s="75"/>
      <c r="T515" s="75"/>
      <c r="U515" s="75" t="str">
        <f t="shared" si="8"/>
        <v/>
      </c>
      <c r="V515" s="76"/>
      <c r="W515" s="14"/>
    </row>
    <row r="516">
      <c r="A516" s="13" t="s">
        <v>1316</v>
      </c>
      <c r="B516" s="61">
        <v>2015.0</v>
      </c>
      <c r="C516" s="211" t="s">
        <v>1317</v>
      </c>
      <c r="D516" s="75" t="s">
        <v>95</v>
      </c>
      <c r="E516" s="13"/>
      <c r="F516" s="74" t="str">
        <f t="shared" si="1"/>
        <v/>
      </c>
      <c r="G516" s="76"/>
      <c r="H516" s="13"/>
      <c r="I516" s="74" t="str">
        <f t="shared" si="2"/>
        <v/>
      </c>
      <c r="J516" s="75" t="str">
        <f t="shared" si="3"/>
        <v>NO</v>
      </c>
      <c r="L516" s="13"/>
      <c r="M516" s="76"/>
      <c r="N516" s="75" t="str">
        <f t="shared" si="4"/>
        <v>NO</v>
      </c>
      <c r="O516" s="76"/>
      <c r="P516" s="76"/>
      <c r="Q516" s="75" t="str">
        <f t="shared" si="5"/>
        <v/>
      </c>
      <c r="R516" s="75" t="str">
        <f t="shared" si="6"/>
        <v>NO</v>
      </c>
      <c r="S516" s="75"/>
      <c r="T516" s="75"/>
      <c r="U516" s="75" t="str">
        <f t="shared" si="8"/>
        <v/>
      </c>
      <c r="V516" s="76"/>
      <c r="W516" s="14"/>
    </row>
    <row r="517">
      <c r="A517" s="13" t="s">
        <v>1318</v>
      </c>
      <c r="B517" s="61">
        <v>2014.0</v>
      </c>
      <c r="C517" s="211" t="s">
        <v>1319</v>
      </c>
      <c r="D517" s="76"/>
      <c r="F517" s="74" t="str">
        <f t="shared" si="1"/>
        <v/>
      </c>
      <c r="G517" s="76"/>
      <c r="I517" s="74" t="str">
        <f t="shared" si="2"/>
        <v/>
      </c>
      <c r="J517" s="75" t="str">
        <f t="shared" si="3"/>
        <v>YES</v>
      </c>
      <c r="K517" s="61" t="s">
        <v>86</v>
      </c>
      <c r="M517" s="76"/>
      <c r="N517" s="75" t="str">
        <f t="shared" si="4"/>
        <v>NO</v>
      </c>
      <c r="O517" s="76"/>
      <c r="P517" s="76"/>
      <c r="Q517" s="75" t="str">
        <f t="shared" si="5"/>
        <v/>
      </c>
      <c r="R517" s="75" t="str">
        <f t="shared" si="6"/>
        <v>NO</v>
      </c>
      <c r="S517" s="75"/>
      <c r="T517" s="75"/>
      <c r="U517" s="75" t="str">
        <f t="shared" si="8"/>
        <v/>
      </c>
      <c r="V517" s="76"/>
      <c r="W517" s="14"/>
    </row>
    <row r="518">
      <c r="A518" s="13" t="s">
        <v>1320</v>
      </c>
      <c r="B518" s="61">
        <v>2015.0</v>
      </c>
      <c r="C518" s="211" t="s">
        <v>1321</v>
      </c>
      <c r="D518" s="76"/>
      <c r="F518" s="74" t="str">
        <f t="shared" si="1"/>
        <v/>
      </c>
      <c r="G518" s="76"/>
      <c r="I518" s="74" t="str">
        <f t="shared" si="2"/>
        <v/>
      </c>
      <c r="J518" s="75" t="str">
        <f t="shared" si="3"/>
        <v>YES</v>
      </c>
      <c r="K518" s="13" t="s">
        <v>86</v>
      </c>
      <c r="M518" s="76"/>
      <c r="N518" s="75" t="str">
        <f t="shared" si="4"/>
        <v>NO</v>
      </c>
      <c r="O518" s="76"/>
      <c r="P518" s="76"/>
      <c r="Q518" s="75" t="str">
        <f t="shared" si="5"/>
        <v/>
      </c>
      <c r="R518" s="75" t="str">
        <f t="shared" si="6"/>
        <v>NO</v>
      </c>
      <c r="S518" s="75"/>
      <c r="T518" s="75"/>
      <c r="U518" s="75" t="str">
        <f t="shared" si="8"/>
        <v/>
      </c>
      <c r="V518" s="76"/>
      <c r="W518" s="14"/>
    </row>
    <row r="519">
      <c r="A519" s="13" t="s">
        <v>1322</v>
      </c>
      <c r="B519" s="61">
        <v>2014.0</v>
      </c>
      <c r="C519" s="211" t="s">
        <v>1323</v>
      </c>
      <c r="D519" s="75" t="s">
        <v>95</v>
      </c>
      <c r="E519" s="13" t="s">
        <v>247</v>
      </c>
      <c r="F519" s="74" t="str">
        <f t="shared" si="1"/>
        <v>NO</v>
      </c>
      <c r="G519" s="76"/>
      <c r="H519" s="13" t="s">
        <v>95</v>
      </c>
      <c r="I519" s="74" t="str">
        <f t="shared" si="2"/>
        <v>YES</v>
      </c>
      <c r="J519" s="75" t="str">
        <f t="shared" si="3"/>
        <v>NO</v>
      </c>
      <c r="L519" s="221"/>
      <c r="M519" s="76"/>
      <c r="N519" s="75" t="str">
        <f t="shared" si="4"/>
        <v>NO</v>
      </c>
      <c r="O519" s="76"/>
      <c r="P519" s="76"/>
      <c r="Q519" s="75" t="str">
        <f t="shared" si="5"/>
        <v/>
      </c>
      <c r="R519" s="75" t="str">
        <f t="shared" si="6"/>
        <v>NO</v>
      </c>
      <c r="S519" s="75"/>
      <c r="T519" s="75"/>
      <c r="U519" s="75" t="str">
        <f t="shared" si="8"/>
        <v/>
      </c>
      <c r="V519" s="76"/>
      <c r="W519" s="14"/>
    </row>
    <row r="520">
      <c r="A520" s="13" t="s">
        <v>1324</v>
      </c>
      <c r="B520" s="61">
        <v>2015.0</v>
      </c>
      <c r="C520" s="211" t="s">
        <v>1325</v>
      </c>
      <c r="D520" s="75" t="s">
        <v>95</v>
      </c>
      <c r="E520" s="13"/>
      <c r="F520" s="74" t="str">
        <f t="shared" si="1"/>
        <v/>
      </c>
      <c r="G520" s="76"/>
      <c r="H520" s="13"/>
      <c r="I520" s="74" t="str">
        <f t="shared" si="2"/>
        <v/>
      </c>
      <c r="J520" s="75" t="str">
        <f t="shared" si="3"/>
        <v>NO</v>
      </c>
      <c r="L520" s="13"/>
      <c r="M520" s="76"/>
      <c r="N520" s="75" t="str">
        <f t="shared" si="4"/>
        <v>NO</v>
      </c>
      <c r="O520" s="76"/>
      <c r="P520" s="76"/>
      <c r="Q520" s="75" t="str">
        <f t="shared" si="5"/>
        <v/>
      </c>
      <c r="R520" s="75" t="str">
        <f t="shared" si="6"/>
        <v>NO</v>
      </c>
      <c r="S520" s="75"/>
      <c r="T520" s="75"/>
      <c r="U520" s="75" t="str">
        <f t="shared" si="8"/>
        <v/>
      </c>
      <c r="V520" s="76"/>
      <c r="W520" s="14"/>
    </row>
    <row r="521">
      <c r="A521" s="13" t="s">
        <v>1326</v>
      </c>
      <c r="B521" s="61">
        <v>2015.0</v>
      </c>
      <c r="C521" s="211" t="s">
        <v>1327</v>
      </c>
      <c r="D521" s="76"/>
      <c r="F521" s="74" t="str">
        <f t="shared" si="1"/>
        <v/>
      </c>
      <c r="G521" s="76"/>
      <c r="I521" s="74" t="str">
        <f t="shared" si="2"/>
        <v/>
      </c>
      <c r="J521" s="75" t="str">
        <f t="shared" si="3"/>
        <v>YES</v>
      </c>
      <c r="K521" s="61" t="s">
        <v>86</v>
      </c>
      <c r="L521" s="13" t="s">
        <v>32</v>
      </c>
      <c r="M521" s="75" t="s">
        <v>142</v>
      </c>
      <c r="N521" s="75" t="str">
        <f t="shared" si="4"/>
        <v>NO</v>
      </c>
      <c r="O521" s="76"/>
      <c r="P521" s="75"/>
      <c r="Q521" s="75" t="str">
        <f t="shared" si="5"/>
        <v/>
      </c>
      <c r="R521" s="75" t="str">
        <f t="shared" si="6"/>
        <v>NO</v>
      </c>
      <c r="S521" s="75"/>
      <c r="T521" s="75"/>
      <c r="U521" s="75" t="str">
        <f t="shared" si="8"/>
        <v/>
      </c>
      <c r="V521" s="76"/>
      <c r="W521" s="14"/>
    </row>
    <row r="522">
      <c r="A522" s="13" t="s">
        <v>1328</v>
      </c>
      <c r="B522" s="61">
        <v>2014.0</v>
      </c>
      <c r="C522" s="211" t="s">
        <v>1329</v>
      </c>
      <c r="D522" s="75" t="s">
        <v>95</v>
      </c>
      <c r="E522" s="13"/>
      <c r="F522" s="74" t="str">
        <f t="shared" si="1"/>
        <v/>
      </c>
      <c r="G522" s="76"/>
      <c r="H522" s="13"/>
      <c r="I522" s="74" t="str">
        <f t="shared" si="2"/>
        <v/>
      </c>
      <c r="J522" s="75" t="str">
        <f t="shared" si="3"/>
        <v>NO</v>
      </c>
      <c r="L522" s="13"/>
      <c r="M522" s="76"/>
      <c r="N522" s="75" t="str">
        <f t="shared" si="4"/>
        <v>NO</v>
      </c>
      <c r="O522" s="76"/>
      <c r="P522" s="76"/>
      <c r="Q522" s="75" t="str">
        <f t="shared" si="5"/>
        <v/>
      </c>
      <c r="R522" s="75" t="str">
        <f t="shared" si="6"/>
        <v>NO</v>
      </c>
      <c r="S522" s="75"/>
      <c r="T522" s="75"/>
      <c r="U522" s="75" t="str">
        <f t="shared" si="8"/>
        <v/>
      </c>
      <c r="V522" s="76"/>
      <c r="W522" s="14"/>
    </row>
    <row r="523">
      <c r="A523" s="13" t="s">
        <v>1330</v>
      </c>
      <c r="B523" s="61">
        <v>2015.0</v>
      </c>
      <c r="C523" s="211" t="s">
        <v>1331</v>
      </c>
      <c r="D523" s="75" t="s">
        <v>95</v>
      </c>
      <c r="E523" s="13"/>
      <c r="F523" s="74" t="str">
        <f t="shared" si="1"/>
        <v/>
      </c>
      <c r="G523" s="76"/>
      <c r="H523" s="13"/>
      <c r="I523" s="74" t="str">
        <f t="shared" si="2"/>
        <v/>
      </c>
      <c r="J523" s="75" t="str">
        <f t="shared" si="3"/>
        <v>NO</v>
      </c>
      <c r="L523" s="221"/>
      <c r="M523" s="76"/>
      <c r="N523" s="75" t="str">
        <f t="shared" si="4"/>
        <v>NO</v>
      </c>
      <c r="O523" s="76"/>
      <c r="P523" s="76"/>
      <c r="Q523" s="75" t="str">
        <f t="shared" si="5"/>
        <v/>
      </c>
      <c r="R523" s="75" t="str">
        <f t="shared" si="6"/>
        <v>NO</v>
      </c>
      <c r="S523" s="75"/>
      <c r="T523" s="75"/>
      <c r="U523" s="75" t="str">
        <f t="shared" si="8"/>
        <v/>
      </c>
      <c r="V523" s="76"/>
      <c r="W523" s="14"/>
    </row>
    <row r="524">
      <c r="A524" s="13" t="s">
        <v>1332</v>
      </c>
      <c r="B524" s="61">
        <v>2014.0</v>
      </c>
      <c r="C524" s="211" t="s">
        <v>1333</v>
      </c>
      <c r="D524" s="75" t="s">
        <v>95</v>
      </c>
      <c r="E524" s="13"/>
      <c r="F524" s="74" t="str">
        <f t="shared" si="1"/>
        <v/>
      </c>
      <c r="G524" s="76"/>
      <c r="H524" s="13"/>
      <c r="I524" s="74" t="str">
        <f t="shared" si="2"/>
        <v/>
      </c>
      <c r="J524" s="75" t="str">
        <f t="shared" si="3"/>
        <v>NO</v>
      </c>
      <c r="L524" s="13"/>
      <c r="M524" s="76"/>
      <c r="N524" s="75" t="str">
        <f t="shared" si="4"/>
        <v>NO</v>
      </c>
      <c r="O524" s="76"/>
      <c r="P524" s="76"/>
      <c r="Q524" s="75" t="str">
        <f t="shared" si="5"/>
        <v/>
      </c>
      <c r="R524" s="75" t="str">
        <f t="shared" si="6"/>
        <v>NO</v>
      </c>
      <c r="S524" s="75"/>
      <c r="T524" s="75"/>
      <c r="U524" s="75" t="str">
        <f t="shared" si="8"/>
        <v/>
      </c>
      <c r="V524" s="76"/>
      <c r="W524" s="14"/>
    </row>
    <row r="525">
      <c r="A525" s="13" t="s">
        <v>1334</v>
      </c>
      <c r="B525" s="61">
        <v>2013.0</v>
      </c>
      <c r="C525" s="211" t="s">
        <v>1335</v>
      </c>
      <c r="D525" s="75" t="s">
        <v>95</v>
      </c>
      <c r="E525" s="13"/>
      <c r="F525" s="74" t="str">
        <f t="shared" si="1"/>
        <v/>
      </c>
      <c r="G525" s="76"/>
      <c r="H525" s="13"/>
      <c r="I525" s="74" t="str">
        <f t="shared" si="2"/>
        <v/>
      </c>
      <c r="J525" s="75" t="str">
        <f t="shared" si="3"/>
        <v>NO</v>
      </c>
      <c r="L525" s="13"/>
      <c r="M525" s="76"/>
      <c r="N525" s="75" t="str">
        <f t="shared" si="4"/>
        <v>NO</v>
      </c>
      <c r="O525" s="76"/>
      <c r="P525" s="76"/>
      <c r="Q525" s="75" t="str">
        <f t="shared" si="5"/>
        <v/>
      </c>
      <c r="R525" s="75" t="str">
        <f t="shared" si="6"/>
        <v>NO</v>
      </c>
      <c r="S525" s="75"/>
      <c r="T525" s="75"/>
      <c r="U525" s="75" t="str">
        <f t="shared" si="8"/>
        <v/>
      </c>
      <c r="V525" s="76"/>
      <c r="W525" s="14"/>
    </row>
    <row r="526">
      <c r="A526" s="13" t="s">
        <v>1336</v>
      </c>
      <c r="B526" s="61">
        <v>2010.0</v>
      </c>
      <c r="C526" s="211" t="s">
        <v>1337</v>
      </c>
      <c r="D526" s="75" t="s">
        <v>95</v>
      </c>
      <c r="E526" s="13"/>
      <c r="F526" s="74" t="str">
        <f t="shared" si="1"/>
        <v/>
      </c>
      <c r="G526" s="76"/>
      <c r="H526" s="13"/>
      <c r="I526" s="74" t="str">
        <f t="shared" si="2"/>
        <v/>
      </c>
      <c r="J526" s="75" t="str">
        <f t="shared" si="3"/>
        <v>NO</v>
      </c>
      <c r="L526" s="221"/>
      <c r="M526" s="76"/>
      <c r="N526" s="75" t="str">
        <f t="shared" si="4"/>
        <v>NO</v>
      </c>
      <c r="O526" s="76"/>
      <c r="P526" s="76"/>
      <c r="Q526" s="75" t="str">
        <f t="shared" si="5"/>
        <v/>
      </c>
      <c r="R526" s="75" t="str">
        <f t="shared" si="6"/>
        <v>NO</v>
      </c>
      <c r="S526" s="75"/>
      <c r="T526" s="75"/>
      <c r="U526" s="75" t="str">
        <f t="shared" si="8"/>
        <v/>
      </c>
      <c r="V526" s="76"/>
      <c r="W526" s="14"/>
    </row>
    <row r="527">
      <c r="A527" s="13" t="s">
        <v>1338</v>
      </c>
      <c r="B527" s="61">
        <v>2013.0</v>
      </c>
      <c r="C527" s="211" t="s">
        <v>1339</v>
      </c>
      <c r="D527" s="75" t="s">
        <v>95</v>
      </c>
      <c r="E527" s="13"/>
      <c r="F527" s="74" t="str">
        <f t="shared" si="1"/>
        <v/>
      </c>
      <c r="G527" s="76"/>
      <c r="H527" s="13"/>
      <c r="I527" s="74" t="str">
        <f t="shared" si="2"/>
        <v/>
      </c>
      <c r="J527" s="75" t="str">
        <f t="shared" si="3"/>
        <v>NO</v>
      </c>
      <c r="L527" s="13"/>
      <c r="M527" s="76"/>
      <c r="N527" s="75" t="str">
        <f t="shared" si="4"/>
        <v>NO</v>
      </c>
      <c r="O527" s="76"/>
      <c r="P527" s="76"/>
      <c r="Q527" s="75" t="str">
        <f t="shared" si="5"/>
        <v/>
      </c>
      <c r="R527" s="75" t="str">
        <f t="shared" si="6"/>
        <v>NO</v>
      </c>
      <c r="S527" s="75"/>
      <c r="T527" s="75"/>
      <c r="U527" s="75" t="str">
        <f t="shared" si="8"/>
        <v/>
      </c>
      <c r="V527" s="76"/>
      <c r="W527" s="14"/>
    </row>
    <row r="528">
      <c r="A528" s="149" t="s">
        <v>1340</v>
      </c>
      <c r="B528" s="61">
        <v>2015.0</v>
      </c>
      <c r="C528" s="211" t="s">
        <v>1341</v>
      </c>
      <c r="D528" s="76"/>
      <c r="F528" s="74" t="str">
        <f t="shared" si="1"/>
        <v/>
      </c>
      <c r="G528" s="76"/>
      <c r="I528" s="74" t="str">
        <f t="shared" si="2"/>
        <v/>
      </c>
      <c r="J528" s="75" t="str">
        <f t="shared" si="3"/>
        <v>YES</v>
      </c>
      <c r="K528" s="61" t="s">
        <v>86</v>
      </c>
      <c r="L528" s="13" t="s">
        <v>32</v>
      </c>
      <c r="M528" s="75" t="s">
        <v>142</v>
      </c>
      <c r="N528" s="75" t="str">
        <f t="shared" si="4"/>
        <v>NO</v>
      </c>
      <c r="O528" s="76"/>
      <c r="P528" s="75"/>
      <c r="Q528" s="75" t="str">
        <f t="shared" si="5"/>
        <v/>
      </c>
      <c r="R528" s="75" t="str">
        <f t="shared" si="6"/>
        <v>NO</v>
      </c>
      <c r="S528" s="75"/>
      <c r="T528" s="75"/>
      <c r="U528" s="75" t="str">
        <f t="shared" si="8"/>
        <v/>
      </c>
      <c r="V528" s="76"/>
      <c r="W528" s="14"/>
    </row>
    <row r="529">
      <c r="A529" s="13" t="s">
        <v>1342</v>
      </c>
      <c r="B529" s="61">
        <v>2015.0</v>
      </c>
      <c r="C529" s="211" t="s">
        <v>1343</v>
      </c>
      <c r="D529" s="75" t="s">
        <v>95</v>
      </c>
      <c r="E529" s="13" t="s">
        <v>95</v>
      </c>
      <c r="F529" s="74" t="str">
        <f t="shared" si="1"/>
        <v>YES</v>
      </c>
      <c r="G529" s="76"/>
      <c r="H529" s="13" t="s">
        <v>95</v>
      </c>
      <c r="I529" s="74" t="str">
        <f t="shared" si="2"/>
        <v>YES</v>
      </c>
      <c r="J529" s="75" t="str">
        <f t="shared" si="3"/>
        <v>NO</v>
      </c>
      <c r="L529" s="221"/>
      <c r="M529" s="76"/>
      <c r="N529" s="75" t="str">
        <f t="shared" si="4"/>
        <v>NO</v>
      </c>
      <c r="O529" s="76"/>
      <c r="P529" s="76"/>
      <c r="Q529" s="75" t="str">
        <f t="shared" si="5"/>
        <v/>
      </c>
      <c r="R529" s="75" t="str">
        <f t="shared" si="6"/>
        <v>NO</v>
      </c>
      <c r="S529" s="75"/>
      <c r="T529" s="75"/>
      <c r="U529" s="75" t="str">
        <f t="shared" si="8"/>
        <v/>
      </c>
      <c r="V529" s="76"/>
      <c r="W529" s="14"/>
    </row>
    <row r="530">
      <c r="A530" s="13" t="s">
        <v>1344</v>
      </c>
      <c r="B530" s="61">
        <v>2011.0</v>
      </c>
      <c r="C530" s="211" t="s">
        <v>1345</v>
      </c>
      <c r="D530" s="75" t="s">
        <v>95</v>
      </c>
      <c r="E530" s="13" t="s">
        <v>247</v>
      </c>
      <c r="F530" s="74" t="str">
        <f t="shared" si="1"/>
        <v>NO</v>
      </c>
      <c r="G530" s="76"/>
      <c r="H530" s="13" t="s">
        <v>247</v>
      </c>
      <c r="I530" s="74" t="str">
        <f t="shared" si="2"/>
        <v>NO</v>
      </c>
      <c r="J530" s="75" t="str">
        <f t="shared" si="3"/>
        <v>NO</v>
      </c>
      <c r="L530" s="13"/>
      <c r="M530" s="76"/>
      <c r="N530" s="75" t="str">
        <f t="shared" si="4"/>
        <v>NO</v>
      </c>
      <c r="O530" s="76"/>
      <c r="P530" s="76"/>
      <c r="Q530" s="75" t="str">
        <f t="shared" si="5"/>
        <v/>
      </c>
      <c r="R530" s="75" t="str">
        <f t="shared" si="6"/>
        <v>NO</v>
      </c>
      <c r="S530" s="75"/>
      <c r="T530" s="75"/>
      <c r="U530" s="75" t="str">
        <f t="shared" si="8"/>
        <v/>
      </c>
      <c r="V530" s="76"/>
      <c r="W530" s="14"/>
    </row>
    <row r="531">
      <c r="A531" s="13" t="s">
        <v>1346</v>
      </c>
      <c r="B531" s="61">
        <v>2011.0</v>
      </c>
      <c r="C531" s="211" t="s">
        <v>1347</v>
      </c>
      <c r="D531" s="75" t="s">
        <v>95</v>
      </c>
      <c r="E531" s="13"/>
      <c r="F531" s="74" t="str">
        <f t="shared" si="1"/>
        <v/>
      </c>
      <c r="G531" s="76"/>
      <c r="H531" s="13"/>
      <c r="I531" s="74" t="str">
        <f t="shared" si="2"/>
        <v/>
      </c>
      <c r="J531" s="75" t="str">
        <f t="shared" si="3"/>
        <v>NO</v>
      </c>
      <c r="L531" s="221"/>
      <c r="M531" s="76"/>
      <c r="N531" s="75" t="str">
        <f t="shared" si="4"/>
        <v>NO</v>
      </c>
      <c r="O531" s="76"/>
      <c r="P531" s="76"/>
      <c r="Q531" s="75" t="str">
        <f t="shared" si="5"/>
        <v/>
      </c>
      <c r="R531" s="75" t="str">
        <f t="shared" si="6"/>
        <v>NO</v>
      </c>
      <c r="S531" s="75"/>
      <c r="T531" s="75"/>
      <c r="U531" s="75" t="str">
        <f t="shared" si="8"/>
        <v/>
      </c>
      <c r="V531" s="76"/>
      <c r="W531" s="14"/>
    </row>
    <row r="532">
      <c r="A532" s="13" t="s">
        <v>1348</v>
      </c>
      <c r="B532" s="61">
        <v>2014.0</v>
      </c>
      <c r="C532" s="211" t="s">
        <v>1349</v>
      </c>
      <c r="D532" s="75" t="s">
        <v>95</v>
      </c>
      <c r="E532" s="13"/>
      <c r="F532" s="74" t="str">
        <f t="shared" si="1"/>
        <v/>
      </c>
      <c r="G532" s="76"/>
      <c r="H532" s="13"/>
      <c r="I532" s="74" t="str">
        <f t="shared" si="2"/>
        <v/>
      </c>
      <c r="J532" s="75" t="str">
        <f t="shared" si="3"/>
        <v>NO</v>
      </c>
      <c r="L532" s="221"/>
      <c r="M532" s="76"/>
      <c r="N532" s="75" t="str">
        <f t="shared" si="4"/>
        <v>NO</v>
      </c>
      <c r="O532" s="76"/>
      <c r="P532" s="76"/>
      <c r="Q532" s="75" t="str">
        <f t="shared" si="5"/>
        <v/>
      </c>
      <c r="R532" s="75" t="str">
        <f t="shared" si="6"/>
        <v>NO</v>
      </c>
      <c r="S532" s="75"/>
      <c r="T532" s="75"/>
      <c r="U532" s="75" t="str">
        <f t="shared" si="8"/>
        <v/>
      </c>
      <c r="V532" s="76"/>
      <c r="W532" s="14"/>
    </row>
    <row r="533">
      <c r="A533" s="13" t="s">
        <v>1350</v>
      </c>
      <c r="B533" s="61">
        <v>2015.0</v>
      </c>
      <c r="C533" s="211" t="s">
        <v>1351</v>
      </c>
      <c r="D533" s="75" t="s">
        <v>95</v>
      </c>
      <c r="E533" s="13"/>
      <c r="F533" s="74" t="str">
        <f t="shared" si="1"/>
        <v/>
      </c>
      <c r="G533" s="76"/>
      <c r="H533" s="13"/>
      <c r="I533" s="74" t="str">
        <f t="shared" si="2"/>
        <v/>
      </c>
      <c r="J533" s="75" t="str">
        <f t="shared" si="3"/>
        <v>NO</v>
      </c>
      <c r="L533" s="13"/>
      <c r="M533" s="76"/>
      <c r="N533" s="75" t="str">
        <f t="shared" si="4"/>
        <v>NO</v>
      </c>
      <c r="O533" s="76"/>
      <c r="P533" s="76"/>
      <c r="Q533" s="75" t="str">
        <f t="shared" si="5"/>
        <v/>
      </c>
      <c r="R533" s="75" t="str">
        <f t="shared" si="6"/>
        <v>NO</v>
      </c>
      <c r="S533" s="75"/>
      <c r="T533" s="75"/>
      <c r="U533" s="75" t="str">
        <f t="shared" si="8"/>
        <v/>
      </c>
      <c r="V533" s="76"/>
      <c r="W533" s="14"/>
    </row>
    <row r="534">
      <c r="A534" s="13" t="s">
        <v>1352</v>
      </c>
      <c r="B534" s="61">
        <v>2014.0</v>
      </c>
      <c r="C534" s="211" t="s">
        <v>1353</v>
      </c>
      <c r="D534" s="76"/>
      <c r="F534" s="74" t="str">
        <f t="shared" si="1"/>
        <v/>
      </c>
      <c r="G534" s="76"/>
      <c r="I534" s="74" t="str">
        <f t="shared" si="2"/>
        <v/>
      </c>
      <c r="J534" s="75" t="str">
        <f t="shared" si="3"/>
        <v>YES</v>
      </c>
      <c r="K534" s="13" t="s">
        <v>86</v>
      </c>
      <c r="M534" s="76"/>
      <c r="N534" s="75" t="str">
        <f t="shared" si="4"/>
        <v>NO</v>
      </c>
      <c r="O534" s="76"/>
      <c r="P534" s="76"/>
      <c r="Q534" s="75" t="str">
        <f t="shared" si="5"/>
        <v/>
      </c>
      <c r="R534" s="75" t="str">
        <f t="shared" si="6"/>
        <v>NO</v>
      </c>
      <c r="S534" s="75"/>
      <c r="T534" s="75"/>
      <c r="U534" s="75" t="str">
        <f t="shared" si="8"/>
        <v/>
      </c>
      <c r="V534" s="76"/>
      <c r="W534" s="14"/>
    </row>
    <row r="535">
      <c r="A535" s="13" t="s">
        <v>1354</v>
      </c>
      <c r="B535" s="61">
        <v>2014.0</v>
      </c>
      <c r="C535" s="211" t="s">
        <v>1355</v>
      </c>
      <c r="D535" s="75" t="s">
        <v>95</v>
      </c>
      <c r="E535" s="13" t="s">
        <v>95</v>
      </c>
      <c r="F535" s="74" t="str">
        <f t="shared" si="1"/>
        <v>YES</v>
      </c>
      <c r="G535" s="76"/>
      <c r="H535" s="13" t="s">
        <v>247</v>
      </c>
      <c r="I535" s="74" t="str">
        <f t="shared" si="2"/>
        <v>YES</v>
      </c>
      <c r="J535" s="75" t="str">
        <f t="shared" si="3"/>
        <v>NO</v>
      </c>
      <c r="L535" s="13"/>
      <c r="M535" s="76"/>
      <c r="N535" s="75" t="str">
        <f t="shared" si="4"/>
        <v>NO</v>
      </c>
      <c r="O535" s="76"/>
      <c r="P535" s="76"/>
      <c r="Q535" s="75" t="str">
        <f t="shared" si="5"/>
        <v/>
      </c>
      <c r="R535" s="75" t="str">
        <f t="shared" si="6"/>
        <v>NO</v>
      </c>
      <c r="S535" s="75"/>
      <c r="T535" s="75"/>
      <c r="U535" s="75" t="str">
        <f t="shared" si="8"/>
        <v/>
      </c>
      <c r="V535" s="76"/>
      <c r="W535" s="14"/>
    </row>
    <row r="536">
      <c r="A536" s="13" t="s">
        <v>1356</v>
      </c>
      <c r="B536" s="61">
        <v>2015.0</v>
      </c>
      <c r="C536" s="211" t="s">
        <v>1357</v>
      </c>
      <c r="D536" s="75" t="s">
        <v>95</v>
      </c>
      <c r="E536" s="13"/>
      <c r="F536" s="74" t="str">
        <f t="shared" si="1"/>
        <v/>
      </c>
      <c r="G536" s="76"/>
      <c r="H536" s="13"/>
      <c r="I536" s="74" t="str">
        <f t="shared" si="2"/>
        <v/>
      </c>
      <c r="J536" s="75" t="str">
        <f t="shared" si="3"/>
        <v>NO</v>
      </c>
      <c r="L536" s="13"/>
      <c r="M536" s="76"/>
      <c r="N536" s="75" t="str">
        <f t="shared" si="4"/>
        <v>NO</v>
      </c>
      <c r="O536" s="76"/>
      <c r="P536" s="76"/>
      <c r="Q536" s="75" t="str">
        <f t="shared" si="5"/>
        <v/>
      </c>
      <c r="R536" s="75" t="str">
        <f t="shared" si="6"/>
        <v>NO</v>
      </c>
      <c r="S536" s="75"/>
      <c r="T536" s="75"/>
      <c r="U536" s="75" t="str">
        <f t="shared" si="8"/>
        <v/>
      </c>
      <c r="V536" s="76"/>
      <c r="W536" s="14"/>
    </row>
    <row r="537">
      <c r="A537" s="13" t="s">
        <v>1358</v>
      </c>
      <c r="B537" s="61">
        <v>2015.0</v>
      </c>
      <c r="C537" s="211" t="s">
        <v>1359</v>
      </c>
      <c r="D537" s="76"/>
      <c r="F537" s="74" t="str">
        <f t="shared" si="1"/>
        <v/>
      </c>
      <c r="G537" s="76"/>
      <c r="I537" s="74" t="str">
        <f t="shared" si="2"/>
        <v/>
      </c>
      <c r="J537" s="75" t="str">
        <f t="shared" si="3"/>
        <v>YES</v>
      </c>
      <c r="K537" s="13" t="s">
        <v>130</v>
      </c>
      <c r="L537" s="13" t="s">
        <v>7</v>
      </c>
      <c r="M537" s="75" t="s">
        <v>142</v>
      </c>
      <c r="N537" s="75" t="str">
        <f t="shared" si="4"/>
        <v>YES</v>
      </c>
      <c r="O537" s="75" t="s">
        <v>131</v>
      </c>
      <c r="P537" s="75"/>
      <c r="Q537" s="75" t="str">
        <f t="shared" si="5"/>
        <v/>
      </c>
      <c r="R537" s="75" t="str">
        <f t="shared" si="6"/>
        <v>YES</v>
      </c>
      <c r="S537" s="75" t="s">
        <v>131</v>
      </c>
      <c r="T537" s="75" t="s">
        <v>131</v>
      </c>
      <c r="U537" s="75" t="str">
        <f t="shared" si="8"/>
        <v>YES</v>
      </c>
      <c r="V537" s="75" t="s">
        <v>285</v>
      </c>
      <c r="W537" s="14"/>
    </row>
    <row r="538">
      <c r="A538" s="13" t="s">
        <v>1361</v>
      </c>
      <c r="B538" s="61">
        <v>2016.0</v>
      </c>
      <c r="C538" s="211" t="s">
        <v>1362</v>
      </c>
      <c r="D538" s="75" t="s">
        <v>95</v>
      </c>
      <c r="E538" s="13"/>
      <c r="F538" s="74" t="str">
        <f t="shared" si="1"/>
        <v/>
      </c>
      <c r="G538" s="76"/>
      <c r="H538" s="13"/>
      <c r="I538" s="74" t="str">
        <f t="shared" si="2"/>
        <v/>
      </c>
      <c r="J538" s="75" t="str">
        <f t="shared" si="3"/>
        <v>NO</v>
      </c>
      <c r="L538" s="13"/>
      <c r="M538" s="76"/>
      <c r="N538" s="75" t="str">
        <f t="shared" si="4"/>
        <v>NO</v>
      </c>
      <c r="O538" s="76"/>
      <c r="P538" s="76"/>
      <c r="Q538" s="75" t="str">
        <f t="shared" si="5"/>
        <v/>
      </c>
      <c r="R538" s="75" t="str">
        <f t="shared" si="6"/>
        <v>NO</v>
      </c>
      <c r="S538" s="75"/>
      <c r="T538" s="75"/>
      <c r="U538" s="75" t="str">
        <f t="shared" si="8"/>
        <v/>
      </c>
      <c r="V538" s="76"/>
      <c r="W538" s="14"/>
    </row>
    <row r="539">
      <c r="A539" s="13" t="s">
        <v>1363</v>
      </c>
      <c r="B539" s="61">
        <v>2016.0</v>
      </c>
      <c r="C539" s="211" t="s">
        <v>1364</v>
      </c>
      <c r="D539" s="76"/>
      <c r="E539" s="13" t="s">
        <v>247</v>
      </c>
      <c r="F539" s="74" t="str">
        <f t="shared" si="1"/>
        <v>YES</v>
      </c>
      <c r="G539" s="76"/>
      <c r="H539" s="13" t="s">
        <v>247</v>
      </c>
      <c r="I539" s="74" t="str">
        <f t="shared" si="2"/>
        <v>YES</v>
      </c>
      <c r="J539" s="75" t="str">
        <f t="shared" si="3"/>
        <v>YES</v>
      </c>
      <c r="K539" s="13" t="s">
        <v>130</v>
      </c>
      <c r="M539" s="76"/>
      <c r="N539" s="75" t="str">
        <f t="shared" si="4"/>
        <v>YES</v>
      </c>
      <c r="O539" s="75" t="s">
        <v>131</v>
      </c>
      <c r="P539" s="76"/>
      <c r="Q539" s="75" t="str">
        <f t="shared" si="5"/>
        <v/>
      </c>
      <c r="R539" s="75" t="str">
        <f t="shared" si="6"/>
        <v>YES</v>
      </c>
      <c r="S539" s="75"/>
      <c r="T539" s="75"/>
      <c r="U539" s="75" t="str">
        <f t="shared" si="8"/>
        <v/>
      </c>
      <c r="V539" s="76"/>
      <c r="W539" s="14"/>
    </row>
    <row r="540">
      <c r="A540" s="13" t="s">
        <v>1365</v>
      </c>
      <c r="B540" s="61">
        <v>2016.0</v>
      </c>
      <c r="C540" s="211" t="s">
        <v>1366</v>
      </c>
      <c r="D540" s="75" t="s">
        <v>95</v>
      </c>
      <c r="E540" s="13"/>
      <c r="F540" s="74" t="str">
        <f t="shared" si="1"/>
        <v/>
      </c>
      <c r="G540" s="76"/>
      <c r="H540" s="13"/>
      <c r="I540" s="74" t="str">
        <f t="shared" si="2"/>
        <v/>
      </c>
      <c r="J540" s="75" t="str">
        <f t="shared" si="3"/>
        <v>NO</v>
      </c>
      <c r="L540" s="13"/>
      <c r="M540" s="76"/>
      <c r="N540" s="75" t="str">
        <f t="shared" si="4"/>
        <v>NO</v>
      </c>
      <c r="O540" s="76"/>
      <c r="P540" s="76"/>
      <c r="Q540" s="75" t="str">
        <f t="shared" si="5"/>
        <v/>
      </c>
      <c r="R540" s="75" t="str">
        <f t="shared" si="6"/>
        <v>NO</v>
      </c>
      <c r="S540" s="75"/>
      <c r="T540" s="75"/>
      <c r="U540" s="75" t="str">
        <f t="shared" si="8"/>
        <v/>
      </c>
      <c r="V540" s="76"/>
      <c r="W540" s="14"/>
    </row>
    <row r="541">
      <c r="A541" s="13" t="s">
        <v>1367</v>
      </c>
      <c r="B541" s="61">
        <v>2016.0</v>
      </c>
      <c r="C541" s="211" t="s">
        <v>1368</v>
      </c>
      <c r="D541" s="76"/>
      <c r="F541" s="74" t="str">
        <f t="shared" si="1"/>
        <v/>
      </c>
      <c r="G541" s="76"/>
      <c r="I541" s="74" t="str">
        <f t="shared" si="2"/>
        <v/>
      </c>
      <c r="J541" s="75" t="str">
        <f t="shared" si="3"/>
        <v>YES</v>
      </c>
      <c r="K541" s="13" t="s">
        <v>86</v>
      </c>
      <c r="M541" s="76"/>
      <c r="N541" s="75" t="str">
        <f t="shared" si="4"/>
        <v>NO</v>
      </c>
      <c r="O541" s="76"/>
      <c r="P541" s="76"/>
      <c r="Q541" s="75" t="str">
        <f t="shared" si="5"/>
        <v/>
      </c>
      <c r="R541" s="75" t="str">
        <f t="shared" si="6"/>
        <v>NO</v>
      </c>
      <c r="S541" s="75"/>
      <c r="T541" s="75"/>
      <c r="U541" s="75" t="str">
        <f t="shared" si="8"/>
        <v/>
      </c>
      <c r="V541" s="76"/>
      <c r="W541" s="14"/>
    </row>
    <row r="542">
      <c r="A542" s="13" t="s">
        <v>1369</v>
      </c>
      <c r="B542" s="61">
        <v>2016.0</v>
      </c>
      <c r="C542" s="211" t="s">
        <v>1370</v>
      </c>
      <c r="D542" s="75" t="s">
        <v>95</v>
      </c>
      <c r="E542" s="13" t="s">
        <v>247</v>
      </c>
      <c r="F542" s="74" t="str">
        <f t="shared" si="1"/>
        <v>NO</v>
      </c>
      <c r="G542" s="76"/>
      <c r="H542" s="13" t="s">
        <v>95</v>
      </c>
      <c r="I542" s="74" t="str">
        <f t="shared" si="2"/>
        <v>YES</v>
      </c>
      <c r="J542" s="75" t="str">
        <f t="shared" si="3"/>
        <v>NO</v>
      </c>
      <c r="L542" s="13"/>
      <c r="M542" s="76"/>
      <c r="N542" s="75" t="str">
        <f t="shared" si="4"/>
        <v>NO</v>
      </c>
      <c r="O542" s="76"/>
      <c r="P542" s="76"/>
      <c r="Q542" s="75" t="str">
        <f t="shared" si="5"/>
        <v/>
      </c>
      <c r="R542" s="75" t="str">
        <f t="shared" si="6"/>
        <v>NO</v>
      </c>
      <c r="S542" s="75"/>
      <c r="T542" s="75"/>
      <c r="U542" s="75" t="str">
        <f t="shared" si="8"/>
        <v/>
      </c>
      <c r="V542" s="76"/>
      <c r="W542" s="14"/>
    </row>
    <row r="543">
      <c r="A543" s="13" t="s">
        <v>1371</v>
      </c>
      <c r="B543" s="61">
        <v>2016.0</v>
      </c>
      <c r="C543" s="211" t="s">
        <v>1372</v>
      </c>
      <c r="D543" s="75" t="s">
        <v>95</v>
      </c>
      <c r="E543" s="13"/>
      <c r="F543" s="74" t="str">
        <f t="shared" si="1"/>
        <v/>
      </c>
      <c r="G543" s="76"/>
      <c r="H543" s="13"/>
      <c r="I543" s="74" t="str">
        <f t="shared" si="2"/>
        <v/>
      </c>
      <c r="J543" s="75" t="str">
        <f t="shared" si="3"/>
        <v>NO</v>
      </c>
      <c r="L543" s="13"/>
      <c r="M543" s="76"/>
      <c r="N543" s="75" t="str">
        <f t="shared" si="4"/>
        <v>NO</v>
      </c>
      <c r="O543" s="76"/>
      <c r="P543" s="76"/>
      <c r="Q543" s="75" t="str">
        <f t="shared" si="5"/>
        <v/>
      </c>
      <c r="R543" s="75" t="str">
        <f t="shared" si="6"/>
        <v>NO</v>
      </c>
      <c r="S543" s="75"/>
      <c r="T543" s="75"/>
      <c r="U543" s="75" t="str">
        <f t="shared" si="8"/>
        <v/>
      </c>
      <c r="V543" s="76"/>
      <c r="W543" s="14"/>
    </row>
    <row r="544">
      <c r="A544" s="13" t="s">
        <v>1373</v>
      </c>
      <c r="B544" s="61">
        <v>2016.0</v>
      </c>
      <c r="C544" s="211" t="s">
        <v>1374</v>
      </c>
      <c r="D544" s="75" t="s">
        <v>95</v>
      </c>
      <c r="E544" s="13"/>
      <c r="F544" s="74" t="str">
        <f t="shared" si="1"/>
        <v/>
      </c>
      <c r="G544" s="76"/>
      <c r="H544" s="13"/>
      <c r="I544" s="74" t="str">
        <f t="shared" si="2"/>
        <v/>
      </c>
      <c r="J544" s="75" t="str">
        <f t="shared" si="3"/>
        <v>NO</v>
      </c>
      <c r="L544" s="13"/>
      <c r="M544" s="76"/>
      <c r="N544" s="75" t="str">
        <f t="shared" si="4"/>
        <v>NO</v>
      </c>
      <c r="O544" s="76"/>
      <c r="P544" s="76"/>
      <c r="Q544" s="75" t="str">
        <f t="shared" si="5"/>
        <v/>
      </c>
      <c r="R544" s="75" t="str">
        <f t="shared" si="6"/>
        <v>NO</v>
      </c>
      <c r="S544" s="75"/>
      <c r="T544" s="75"/>
      <c r="U544" s="75" t="str">
        <f t="shared" si="8"/>
        <v/>
      </c>
      <c r="V544" s="76"/>
      <c r="W544" s="14"/>
    </row>
    <row r="545">
      <c r="A545" s="13" t="s">
        <v>1375</v>
      </c>
      <c r="B545" s="61">
        <v>2016.0</v>
      </c>
      <c r="C545" s="211" t="s">
        <v>1376</v>
      </c>
      <c r="D545" s="75" t="s">
        <v>95</v>
      </c>
      <c r="E545" s="13"/>
      <c r="F545" s="74" t="str">
        <f t="shared" si="1"/>
        <v/>
      </c>
      <c r="G545" s="76"/>
      <c r="H545" s="13"/>
      <c r="I545" s="74" t="str">
        <f t="shared" si="2"/>
        <v/>
      </c>
      <c r="J545" s="75" t="str">
        <f t="shared" si="3"/>
        <v>NO</v>
      </c>
      <c r="L545" s="13"/>
      <c r="M545" s="76"/>
      <c r="N545" s="75" t="str">
        <f t="shared" si="4"/>
        <v>NO</v>
      </c>
      <c r="O545" s="76"/>
      <c r="P545" s="76"/>
      <c r="Q545" s="75" t="str">
        <f t="shared" si="5"/>
        <v/>
      </c>
      <c r="R545" s="75" t="str">
        <f t="shared" si="6"/>
        <v>NO</v>
      </c>
      <c r="S545" s="75"/>
      <c r="T545" s="75"/>
      <c r="U545" s="75" t="str">
        <f t="shared" si="8"/>
        <v/>
      </c>
      <c r="V545" s="76"/>
      <c r="W545" s="14"/>
    </row>
    <row r="546">
      <c r="A546" s="13" t="s">
        <v>1377</v>
      </c>
      <c r="B546" s="61">
        <v>2016.0</v>
      </c>
      <c r="C546" s="211" t="s">
        <v>603</v>
      </c>
      <c r="D546" s="76"/>
      <c r="F546" s="74" t="str">
        <f t="shared" si="1"/>
        <v/>
      </c>
      <c r="G546" s="76"/>
      <c r="I546" s="74" t="str">
        <f t="shared" si="2"/>
        <v/>
      </c>
      <c r="J546" s="75" t="str">
        <f t="shared" si="3"/>
        <v>YES</v>
      </c>
      <c r="K546" s="13" t="s">
        <v>86</v>
      </c>
      <c r="M546" s="76"/>
      <c r="N546" s="75" t="str">
        <f t="shared" si="4"/>
        <v>NO</v>
      </c>
      <c r="O546" s="76"/>
      <c r="P546" s="76"/>
      <c r="Q546" s="75" t="str">
        <f t="shared" si="5"/>
        <v/>
      </c>
      <c r="R546" s="75" t="str">
        <f t="shared" si="6"/>
        <v>NO</v>
      </c>
      <c r="S546" s="75"/>
      <c r="T546" s="75"/>
      <c r="U546" s="75" t="str">
        <f t="shared" si="8"/>
        <v/>
      </c>
      <c r="V546" s="76"/>
      <c r="W546" s="14"/>
    </row>
    <row r="547">
      <c r="A547" s="13" t="s">
        <v>1378</v>
      </c>
      <c r="B547" s="61">
        <v>2015.0</v>
      </c>
      <c r="C547" s="211" t="s">
        <v>1379</v>
      </c>
      <c r="D547" s="75" t="s">
        <v>95</v>
      </c>
      <c r="E547" s="13"/>
      <c r="F547" s="74" t="str">
        <f t="shared" si="1"/>
        <v/>
      </c>
      <c r="G547" s="76"/>
      <c r="H547" s="13"/>
      <c r="I547" s="74" t="str">
        <f t="shared" si="2"/>
        <v/>
      </c>
      <c r="J547" s="75" t="str">
        <f t="shared" si="3"/>
        <v>NO</v>
      </c>
      <c r="L547" s="13"/>
      <c r="M547" s="76"/>
      <c r="N547" s="75" t="str">
        <f t="shared" si="4"/>
        <v>NO</v>
      </c>
      <c r="O547" s="75"/>
      <c r="P547" s="76"/>
      <c r="Q547" s="75" t="str">
        <f t="shared" si="5"/>
        <v/>
      </c>
      <c r="R547" s="75" t="str">
        <f t="shared" si="6"/>
        <v>NO</v>
      </c>
      <c r="S547" s="75"/>
      <c r="T547" s="75"/>
      <c r="U547" s="75" t="str">
        <f t="shared" si="8"/>
        <v/>
      </c>
      <c r="V547" s="76"/>
      <c r="W547" s="14"/>
    </row>
    <row r="548">
      <c r="A548" s="13" t="s">
        <v>1380</v>
      </c>
      <c r="B548" s="61">
        <v>2016.0</v>
      </c>
      <c r="C548" s="211" t="s">
        <v>1381</v>
      </c>
      <c r="D548" s="76"/>
      <c r="F548" s="74" t="str">
        <f t="shared" si="1"/>
        <v/>
      </c>
      <c r="G548" s="76"/>
      <c r="I548" s="74" t="str">
        <f t="shared" si="2"/>
        <v/>
      </c>
      <c r="J548" s="75" t="str">
        <f t="shared" si="3"/>
        <v>YES</v>
      </c>
      <c r="K548" s="13" t="s">
        <v>130</v>
      </c>
      <c r="M548" s="76"/>
      <c r="N548" s="75" t="str">
        <f t="shared" si="4"/>
        <v>YES</v>
      </c>
      <c r="O548" s="75" t="s">
        <v>149</v>
      </c>
      <c r="P548" s="76"/>
      <c r="Q548" s="75" t="str">
        <f t="shared" si="5"/>
        <v/>
      </c>
      <c r="R548" s="75" t="str">
        <f t="shared" si="6"/>
        <v>NO</v>
      </c>
      <c r="S548" s="75"/>
      <c r="T548" s="75"/>
      <c r="U548" s="75" t="str">
        <f t="shared" si="8"/>
        <v/>
      </c>
      <c r="V548" s="76"/>
      <c r="W548" s="14"/>
    </row>
    <row r="549">
      <c r="A549" s="13" t="s">
        <v>1536</v>
      </c>
      <c r="B549" s="61">
        <v>2016.0</v>
      </c>
      <c r="C549" s="211" t="s">
        <v>1384</v>
      </c>
      <c r="D549" s="76"/>
      <c r="F549" s="74" t="str">
        <f t="shared" si="1"/>
        <v/>
      </c>
      <c r="G549" s="76"/>
      <c r="I549" s="74" t="str">
        <f t="shared" si="2"/>
        <v/>
      </c>
      <c r="J549" s="75" t="str">
        <f t="shared" si="3"/>
        <v>YES</v>
      </c>
      <c r="K549" s="13" t="s">
        <v>130</v>
      </c>
      <c r="M549" s="76"/>
      <c r="N549" s="75" t="str">
        <f t="shared" si="4"/>
        <v>YES</v>
      </c>
      <c r="O549" s="75" t="s">
        <v>131</v>
      </c>
      <c r="P549" s="75" t="s">
        <v>131</v>
      </c>
      <c r="Q549" s="75" t="str">
        <f t="shared" si="5"/>
        <v>YES</v>
      </c>
      <c r="R549" s="75" t="str">
        <f t="shared" si="6"/>
        <v>YES</v>
      </c>
      <c r="S549" s="75" t="s">
        <v>131</v>
      </c>
      <c r="T549" s="75" t="s">
        <v>131</v>
      </c>
      <c r="U549" s="75" t="str">
        <f t="shared" si="8"/>
        <v>YES</v>
      </c>
      <c r="V549" s="75" t="s">
        <v>285</v>
      </c>
      <c r="W549" s="14"/>
    </row>
    <row r="550">
      <c r="A550" s="149" t="s">
        <v>1387</v>
      </c>
      <c r="B550" s="61">
        <v>2016.0</v>
      </c>
      <c r="C550" s="211" t="s">
        <v>1388</v>
      </c>
      <c r="D550" s="76"/>
      <c r="E550" s="13" t="s">
        <v>247</v>
      </c>
      <c r="F550" s="74" t="str">
        <f t="shared" si="1"/>
        <v>YES</v>
      </c>
      <c r="G550" s="76"/>
      <c r="H550" s="13" t="s">
        <v>247</v>
      </c>
      <c r="I550" s="74" t="str">
        <f t="shared" si="2"/>
        <v>YES</v>
      </c>
      <c r="J550" s="75" t="str">
        <f t="shared" si="3"/>
        <v>YES</v>
      </c>
      <c r="K550" s="13" t="s">
        <v>130</v>
      </c>
      <c r="M550" s="76"/>
      <c r="N550" s="75" t="str">
        <f t="shared" si="4"/>
        <v>YES</v>
      </c>
      <c r="O550" s="75" t="s">
        <v>131</v>
      </c>
      <c r="P550" s="75" t="s">
        <v>131</v>
      </c>
      <c r="Q550" s="75" t="str">
        <f t="shared" si="5"/>
        <v>YES</v>
      </c>
      <c r="R550" s="75" t="str">
        <f t="shared" si="6"/>
        <v>YES</v>
      </c>
      <c r="S550" s="75" t="s">
        <v>131</v>
      </c>
      <c r="T550" s="75" t="s">
        <v>131</v>
      </c>
      <c r="U550" s="75" t="str">
        <f t="shared" si="8"/>
        <v>YES</v>
      </c>
      <c r="V550" s="75" t="s">
        <v>285</v>
      </c>
      <c r="W550" s="14"/>
    </row>
    <row r="551">
      <c r="A551" s="13" t="s">
        <v>1391</v>
      </c>
      <c r="B551" s="61">
        <v>2016.0</v>
      </c>
      <c r="C551" s="211" t="s">
        <v>1392</v>
      </c>
      <c r="D551" s="75" t="s">
        <v>95</v>
      </c>
      <c r="E551" s="13"/>
      <c r="F551" s="74" t="str">
        <f t="shared" si="1"/>
        <v/>
      </c>
      <c r="G551" s="76"/>
      <c r="H551" s="13"/>
      <c r="I551" s="74" t="str">
        <f t="shared" si="2"/>
        <v/>
      </c>
      <c r="J551" s="75" t="str">
        <f t="shared" si="3"/>
        <v>NO</v>
      </c>
      <c r="L551" s="13"/>
      <c r="M551" s="76"/>
      <c r="N551" s="75" t="str">
        <f t="shared" si="4"/>
        <v>NO</v>
      </c>
      <c r="O551" s="76"/>
      <c r="P551" s="76"/>
      <c r="Q551" s="75" t="str">
        <f t="shared" si="5"/>
        <v/>
      </c>
      <c r="R551" s="75" t="str">
        <f t="shared" si="6"/>
        <v>NO</v>
      </c>
      <c r="S551" s="75"/>
      <c r="T551" s="75"/>
      <c r="U551" s="75" t="str">
        <f t="shared" si="8"/>
        <v/>
      </c>
      <c r="V551" s="75"/>
      <c r="W551" s="14"/>
    </row>
    <row r="552">
      <c r="A552" s="13" t="s">
        <v>1393</v>
      </c>
      <c r="B552" s="61">
        <v>2016.0</v>
      </c>
      <c r="C552" s="211" t="s">
        <v>1394</v>
      </c>
      <c r="D552" s="75" t="s">
        <v>95</v>
      </c>
      <c r="E552" s="13"/>
      <c r="F552" s="74" t="str">
        <f t="shared" si="1"/>
        <v/>
      </c>
      <c r="G552" s="76"/>
      <c r="H552" s="13"/>
      <c r="I552" s="74" t="str">
        <f t="shared" si="2"/>
        <v/>
      </c>
      <c r="J552" s="75" t="str">
        <f t="shared" si="3"/>
        <v>NO</v>
      </c>
      <c r="L552" s="13"/>
      <c r="M552" s="76"/>
      <c r="N552" s="75" t="str">
        <f t="shared" si="4"/>
        <v>NO</v>
      </c>
      <c r="O552" s="76"/>
      <c r="P552" s="76"/>
      <c r="Q552" s="75" t="str">
        <f t="shared" si="5"/>
        <v/>
      </c>
      <c r="R552" s="75" t="str">
        <f t="shared" si="6"/>
        <v>NO</v>
      </c>
      <c r="S552" s="75"/>
      <c r="T552" s="75"/>
      <c r="U552" s="75" t="str">
        <f t="shared" si="8"/>
        <v/>
      </c>
      <c r="V552" s="76"/>
      <c r="W552" s="14"/>
    </row>
    <row r="553">
      <c r="A553" s="13" t="s">
        <v>1395</v>
      </c>
      <c r="B553" s="61">
        <v>2016.0</v>
      </c>
      <c r="C553" s="211" t="s">
        <v>1396</v>
      </c>
      <c r="D553" s="75" t="s">
        <v>95</v>
      </c>
      <c r="E553" s="13" t="s">
        <v>95</v>
      </c>
      <c r="F553" s="74" t="str">
        <f t="shared" si="1"/>
        <v>YES</v>
      </c>
      <c r="G553" s="76"/>
      <c r="H553" s="13" t="s">
        <v>247</v>
      </c>
      <c r="I553" s="74" t="str">
        <f t="shared" si="2"/>
        <v>YES</v>
      </c>
      <c r="J553" s="75" t="str">
        <f t="shared" si="3"/>
        <v>NO</v>
      </c>
      <c r="L553" s="13"/>
      <c r="M553" s="76"/>
      <c r="N553" s="75" t="str">
        <f t="shared" si="4"/>
        <v>NO</v>
      </c>
      <c r="O553" s="76"/>
      <c r="P553" s="76"/>
      <c r="Q553" s="75" t="str">
        <f t="shared" si="5"/>
        <v/>
      </c>
      <c r="R553" s="75" t="str">
        <f t="shared" si="6"/>
        <v>NO</v>
      </c>
      <c r="S553" s="75"/>
      <c r="T553" s="75"/>
      <c r="U553" s="75" t="str">
        <f t="shared" si="8"/>
        <v/>
      </c>
      <c r="V553" s="76"/>
      <c r="W553" s="14"/>
    </row>
    <row r="554">
      <c r="A554" s="13" t="s">
        <v>1397</v>
      </c>
      <c r="B554" s="61">
        <v>2016.0</v>
      </c>
      <c r="C554" s="211" t="s">
        <v>1398</v>
      </c>
      <c r="D554" s="76"/>
      <c r="E554" s="13" t="s">
        <v>247</v>
      </c>
      <c r="F554" s="74" t="str">
        <f t="shared" si="1"/>
        <v>YES</v>
      </c>
      <c r="G554" s="76"/>
      <c r="H554" s="13" t="s">
        <v>247</v>
      </c>
      <c r="I554" s="74" t="str">
        <f t="shared" si="2"/>
        <v>YES</v>
      </c>
      <c r="J554" s="75" t="str">
        <f t="shared" si="3"/>
        <v>YES</v>
      </c>
      <c r="K554" s="13" t="s">
        <v>86</v>
      </c>
      <c r="M554" s="76"/>
      <c r="N554" s="75" t="str">
        <f t="shared" si="4"/>
        <v>NO</v>
      </c>
      <c r="O554" s="76"/>
      <c r="P554" s="76"/>
      <c r="Q554" s="75" t="str">
        <f t="shared" si="5"/>
        <v/>
      </c>
      <c r="R554" s="75" t="str">
        <f t="shared" si="6"/>
        <v>NO</v>
      </c>
      <c r="S554" s="75"/>
      <c r="T554" s="75"/>
      <c r="U554" s="75" t="str">
        <f t="shared" si="8"/>
        <v/>
      </c>
      <c r="V554" s="76"/>
      <c r="W554" s="14"/>
    </row>
    <row r="555">
      <c r="A555" s="13" t="s">
        <v>1399</v>
      </c>
      <c r="B555" s="61">
        <v>2016.0</v>
      </c>
      <c r="C555" s="211" t="s">
        <v>1400</v>
      </c>
      <c r="D555" s="75" t="s">
        <v>95</v>
      </c>
      <c r="E555" s="13" t="s">
        <v>247</v>
      </c>
      <c r="F555" s="74" t="str">
        <f t="shared" si="1"/>
        <v>NO</v>
      </c>
      <c r="G555" s="76"/>
      <c r="H555" s="13" t="s">
        <v>95</v>
      </c>
      <c r="I555" s="74" t="str">
        <f t="shared" si="2"/>
        <v>YES</v>
      </c>
      <c r="J555" s="75" t="str">
        <f t="shared" si="3"/>
        <v>NO</v>
      </c>
      <c r="L555" s="13"/>
      <c r="M555" s="76"/>
      <c r="N555" s="75" t="str">
        <f t="shared" si="4"/>
        <v>NO</v>
      </c>
      <c r="O555" s="76"/>
      <c r="P555" s="76"/>
      <c r="Q555" s="75" t="str">
        <f t="shared" si="5"/>
        <v/>
      </c>
      <c r="R555" s="75" t="str">
        <f t="shared" si="6"/>
        <v>NO</v>
      </c>
      <c r="S555" s="75"/>
      <c r="T555" s="75"/>
      <c r="U555" s="75" t="str">
        <f t="shared" si="8"/>
        <v/>
      </c>
      <c r="V555" s="76"/>
      <c r="W555" s="14"/>
    </row>
    <row r="556">
      <c r="A556" s="13" t="s">
        <v>1401</v>
      </c>
      <c r="B556" s="61">
        <v>2016.0</v>
      </c>
      <c r="C556" s="211" t="s">
        <v>1402</v>
      </c>
      <c r="D556" s="75" t="s">
        <v>95</v>
      </c>
      <c r="E556" s="13" t="s">
        <v>247</v>
      </c>
      <c r="F556" s="74" t="str">
        <f t="shared" si="1"/>
        <v>NO</v>
      </c>
      <c r="G556" s="76"/>
      <c r="H556" s="13" t="s">
        <v>95</v>
      </c>
      <c r="I556" s="74" t="str">
        <f t="shared" si="2"/>
        <v>YES</v>
      </c>
      <c r="J556" s="75" t="str">
        <f t="shared" si="3"/>
        <v>NO</v>
      </c>
      <c r="L556" s="13"/>
      <c r="M556" s="76"/>
      <c r="N556" s="75" t="str">
        <f t="shared" si="4"/>
        <v>NO</v>
      </c>
      <c r="O556" s="76"/>
      <c r="P556" s="76"/>
      <c r="Q556" s="75" t="str">
        <f t="shared" si="5"/>
        <v/>
      </c>
      <c r="R556" s="75" t="str">
        <f t="shared" si="6"/>
        <v>NO</v>
      </c>
      <c r="S556" s="75"/>
      <c r="T556" s="75"/>
      <c r="U556" s="75" t="str">
        <f t="shared" si="8"/>
        <v/>
      </c>
      <c r="V556" s="76"/>
      <c r="W556" s="14"/>
    </row>
    <row r="557">
      <c r="A557" s="13" t="s">
        <v>1403</v>
      </c>
      <c r="B557" s="61">
        <v>2015.0</v>
      </c>
      <c r="C557" s="211" t="s">
        <v>1404</v>
      </c>
      <c r="D557" s="75" t="s">
        <v>95</v>
      </c>
      <c r="E557" s="13"/>
      <c r="F557" s="74" t="str">
        <f t="shared" si="1"/>
        <v/>
      </c>
      <c r="G557" s="76"/>
      <c r="H557" s="13"/>
      <c r="I557" s="74" t="str">
        <f t="shared" si="2"/>
        <v/>
      </c>
      <c r="J557" s="75" t="str">
        <f t="shared" si="3"/>
        <v>NO</v>
      </c>
      <c r="L557" s="13"/>
      <c r="M557" s="76"/>
      <c r="N557" s="75" t="str">
        <f t="shared" si="4"/>
        <v>NO</v>
      </c>
      <c r="O557" s="76"/>
      <c r="P557" s="76"/>
      <c r="Q557" s="75" t="str">
        <f t="shared" si="5"/>
        <v/>
      </c>
      <c r="R557" s="75" t="str">
        <f t="shared" si="6"/>
        <v>NO</v>
      </c>
      <c r="S557" s="75"/>
      <c r="T557" s="75"/>
      <c r="U557" s="75" t="str">
        <f t="shared" si="8"/>
        <v/>
      </c>
      <c r="V557" s="76"/>
      <c r="W557" s="14"/>
    </row>
    <row r="558">
      <c r="A558" s="230" t="s">
        <v>1405</v>
      </c>
      <c r="B558" s="61">
        <v>2014.0</v>
      </c>
      <c r="C558" s="208" t="s">
        <v>1406</v>
      </c>
      <c r="D558" s="76"/>
      <c r="F558" s="231"/>
      <c r="G558" s="76"/>
      <c r="I558" s="231"/>
      <c r="J558" s="75" t="str">
        <f t="shared" si="3"/>
        <v>YES</v>
      </c>
      <c r="K558" s="13" t="s">
        <v>130</v>
      </c>
      <c r="M558" s="76"/>
      <c r="N558" s="75" t="str">
        <f t="shared" si="4"/>
        <v>YES</v>
      </c>
      <c r="O558" s="75" t="s">
        <v>131</v>
      </c>
      <c r="P558" s="76"/>
      <c r="Q558" s="76"/>
      <c r="R558" s="75" t="str">
        <f t="shared" si="6"/>
        <v>YES</v>
      </c>
      <c r="S558" s="76"/>
      <c r="T558" s="76"/>
      <c r="U558" s="76"/>
      <c r="V558" s="76"/>
      <c r="W558" s="14"/>
    </row>
    <row r="559">
      <c r="A559" s="61" t="s">
        <v>1407</v>
      </c>
      <c r="B559" s="61">
        <v>2014.0</v>
      </c>
      <c r="C559" s="208" t="s">
        <v>1408</v>
      </c>
      <c r="D559" s="76"/>
      <c r="F559" s="231"/>
      <c r="G559" s="76"/>
      <c r="I559" s="231"/>
      <c r="J559" s="75" t="str">
        <f t="shared" si="3"/>
        <v>YES</v>
      </c>
      <c r="K559" s="13" t="s">
        <v>130</v>
      </c>
      <c r="L559" s="13" t="s">
        <v>7</v>
      </c>
      <c r="M559" s="75" t="s">
        <v>142</v>
      </c>
      <c r="N559" s="75" t="str">
        <f t="shared" si="4"/>
        <v>YES</v>
      </c>
      <c r="O559" s="75" t="s">
        <v>131</v>
      </c>
      <c r="P559" s="76"/>
      <c r="Q559" s="76"/>
      <c r="R559" s="75" t="str">
        <f t="shared" si="6"/>
        <v>YES</v>
      </c>
      <c r="S559" s="76"/>
      <c r="T559" s="76"/>
      <c r="U559" s="76"/>
      <c r="V559" s="76"/>
      <c r="W559" s="14"/>
    </row>
    <row r="560">
      <c r="A560" s="61" t="s">
        <v>1409</v>
      </c>
      <c r="B560" s="61">
        <v>2014.0</v>
      </c>
      <c r="C560" s="208" t="s">
        <v>1410</v>
      </c>
      <c r="D560" s="76"/>
      <c r="F560" s="231"/>
      <c r="G560" s="76"/>
      <c r="I560" s="231"/>
      <c r="J560" s="75" t="str">
        <f t="shared" si="3"/>
        <v>YES</v>
      </c>
      <c r="K560" s="13" t="s">
        <v>86</v>
      </c>
      <c r="M560" s="76"/>
      <c r="N560" s="75" t="str">
        <f t="shared" si="4"/>
        <v>NO</v>
      </c>
      <c r="O560" s="76"/>
      <c r="P560" s="76"/>
      <c r="Q560" s="76"/>
      <c r="R560" s="75" t="str">
        <f t="shared" si="6"/>
        <v>NO</v>
      </c>
      <c r="S560" s="76"/>
      <c r="T560" s="76"/>
      <c r="U560" s="76"/>
      <c r="V560" s="76"/>
      <c r="W560" s="14"/>
    </row>
    <row r="561">
      <c r="A561" s="61" t="s">
        <v>1411</v>
      </c>
      <c r="B561" s="61">
        <v>2014.0</v>
      </c>
      <c r="C561" s="208" t="s">
        <v>1412</v>
      </c>
      <c r="D561" s="76"/>
      <c r="F561" s="231"/>
      <c r="G561" s="76"/>
      <c r="I561" s="231"/>
      <c r="J561" s="75" t="str">
        <f t="shared" si="3"/>
        <v>YES</v>
      </c>
      <c r="K561" s="13" t="s">
        <v>86</v>
      </c>
      <c r="M561" s="76"/>
      <c r="N561" s="75" t="str">
        <f t="shared" si="4"/>
        <v>NO</v>
      </c>
      <c r="O561" s="76"/>
      <c r="P561" s="76"/>
      <c r="Q561" s="76"/>
      <c r="R561" s="75" t="str">
        <f t="shared" si="6"/>
        <v>NO</v>
      </c>
      <c r="S561" s="76"/>
      <c r="T561" s="76"/>
      <c r="U561" s="76"/>
      <c r="V561" s="76"/>
      <c r="W561" s="14"/>
    </row>
    <row r="562">
      <c r="A562" s="61" t="s">
        <v>1413</v>
      </c>
      <c r="B562" s="61">
        <v>2015.0</v>
      </c>
      <c r="C562" s="208" t="s">
        <v>1414</v>
      </c>
      <c r="D562" s="76"/>
      <c r="F562" s="231"/>
      <c r="G562" s="76"/>
      <c r="I562" s="231"/>
      <c r="J562" s="75" t="str">
        <f t="shared" si="3"/>
        <v>YES</v>
      </c>
      <c r="K562" s="13" t="s">
        <v>86</v>
      </c>
      <c r="M562" s="76"/>
      <c r="N562" s="75" t="str">
        <f t="shared" si="4"/>
        <v>NO</v>
      </c>
      <c r="O562" s="76"/>
      <c r="P562" s="76"/>
      <c r="Q562" s="76"/>
      <c r="R562" s="75" t="str">
        <f t="shared" si="6"/>
        <v>NO</v>
      </c>
      <c r="S562" s="76"/>
      <c r="T562" s="76"/>
      <c r="U562" s="76"/>
      <c r="V562" s="76"/>
      <c r="W562" s="14"/>
    </row>
    <row r="563">
      <c r="A563" s="61" t="s">
        <v>1415</v>
      </c>
      <c r="B563" s="61">
        <v>2014.0</v>
      </c>
      <c r="C563" s="208" t="s">
        <v>1416</v>
      </c>
      <c r="D563" s="76"/>
      <c r="F563" s="231"/>
      <c r="G563" s="76"/>
      <c r="I563" s="231"/>
      <c r="J563" s="75" t="str">
        <f t="shared" si="3"/>
        <v>YES</v>
      </c>
      <c r="K563" s="61" t="s">
        <v>86</v>
      </c>
      <c r="M563" s="76"/>
      <c r="N563" s="75" t="str">
        <f t="shared" si="4"/>
        <v>NO</v>
      </c>
      <c r="O563" s="76"/>
      <c r="P563" s="76"/>
      <c r="Q563" s="76"/>
      <c r="R563" s="75" t="str">
        <f t="shared" si="6"/>
        <v>NO</v>
      </c>
      <c r="S563" s="76"/>
      <c r="T563" s="76"/>
      <c r="U563" s="76"/>
      <c r="V563" s="76"/>
      <c r="W563" s="14"/>
    </row>
    <row r="564">
      <c r="C564" s="232"/>
      <c r="D564" s="76"/>
      <c r="F564" s="231"/>
      <c r="G564" s="76"/>
      <c r="I564" s="231"/>
      <c r="J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14"/>
    </row>
    <row r="565">
      <c r="C565" s="232"/>
      <c r="D565" s="76"/>
      <c r="F565" s="231"/>
      <c r="G565" s="76"/>
      <c r="I565" s="231"/>
      <c r="J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14"/>
    </row>
    <row r="566">
      <c r="C566" s="232"/>
      <c r="D566" s="76"/>
      <c r="F566" s="231"/>
      <c r="G566" s="76"/>
      <c r="I566" s="231"/>
      <c r="J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14"/>
    </row>
    <row r="567">
      <c r="C567" s="232"/>
      <c r="D567" s="76"/>
      <c r="F567" s="231"/>
      <c r="G567" s="76"/>
      <c r="I567" s="231"/>
      <c r="J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14"/>
    </row>
    <row r="568">
      <c r="C568" s="232"/>
      <c r="D568" s="76"/>
      <c r="F568" s="231"/>
      <c r="G568" s="76"/>
      <c r="I568" s="231"/>
      <c r="J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14"/>
    </row>
    <row r="569">
      <c r="C569" s="232"/>
      <c r="D569" s="76"/>
      <c r="F569" s="231"/>
      <c r="G569" s="76"/>
      <c r="I569" s="231"/>
      <c r="J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14"/>
    </row>
    <row r="570">
      <c r="C570" s="232"/>
      <c r="D570" s="76"/>
      <c r="F570" s="231"/>
      <c r="G570" s="76"/>
      <c r="I570" s="231"/>
      <c r="J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14"/>
    </row>
    <row r="571">
      <c r="C571" s="232"/>
      <c r="D571" s="76"/>
      <c r="F571" s="231"/>
      <c r="G571" s="76"/>
      <c r="I571" s="231"/>
      <c r="J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14"/>
    </row>
    <row r="572">
      <c r="C572" s="232"/>
      <c r="D572" s="76"/>
      <c r="F572" s="231"/>
      <c r="G572" s="76"/>
      <c r="I572" s="231"/>
      <c r="J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14"/>
    </row>
    <row r="573">
      <c r="C573" s="232"/>
      <c r="D573" s="76"/>
      <c r="F573" s="231"/>
      <c r="G573" s="76"/>
      <c r="I573" s="231"/>
      <c r="J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14"/>
    </row>
    <row r="574">
      <c r="C574" s="232"/>
      <c r="D574" s="76"/>
      <c r="F574" s="231"/>
      <c r="G574" s="76"/>
      <c r="I574" s="231"/>
      <c r="J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14"/>
    </row>
    <row r="575">
      <c r="C575" s="232"/>
      <c r="D575" s="76"/>
      <c r="F575" s="231"/>
      <c r="G575" s="76"/>
      <c r="I575" s="231"/>
      <c r="J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14"/>
    </row>
    <row r="576">
      <c r="C576" s="232"/>
      <c r="D576" s="76"/>
      <c r="F576" s="231"/>
      <c r="G576" s="76"/>
      <c r="I576" s="231"/>
      <c r="J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14"/>
    </row>
    <row r="577">
      <c r="C577" s="232"/>
      <c r="D577" s="76"/>
      <c r="F577" s="231"/>
      <c r="G577" s="76"/>
      <c r="I577" s="231"/>
      <c r="J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14"/>
    </row>
    <row r="578">
      <c r="C578" s="232"/>
      <c r="D578" s="76"/>
      <c r="F578" s="231"/>
      <c r="G578" s="76"/>
      <c r="I578" s="231"/>
      <c r="J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14"/>
    </row>
    <row r="579">
      <c r="C579" s="232"/>
      <c r="D579" s="76"/>
      <c r="F579" s="231"/>
      <c r="G579" s="76"/>
      <c r="I579" s="231"/>
      <c r="J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14"/>
    </row>
    <row r="580">
      <c r="C580" s="232"/>
      <c r="D580" s="76"/>
      <c r="F580" s="231"/>
      <c r="G580" s="76"/>
      <c r="I580" s="231"/>
      <c r="J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14"/>
    </row>
    <row r="581">
      <c r="C581" s="232"/>
      <c r="D581" s="76"/>
      <c r="F581" s="231"/>
      <c r="G581" s="76"/>
      <c r="I581" s="231"/>
      <c r="J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14"/>
    </row>
    <row r="582">
      <c r="C582" s="232"/>
      <c r="D582" s="76"/>
      <c r="F582" s="231"/>
      <c r="G582" s="76"/>
      <c r="I582" s="231"/>
      <c r="J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14"/>
    </row>
    <row r="583">
      <c r="C583" s="232"/>
      <c r="D583" s="76"/>
      <c r="F583" s="231"/>
      <c r="G583" s="76"/>
      <c r="I583" s="231"/>
      <c r="J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14"/>
    </row>
    <row r="584">
      <c r="C584" s="232"/>
      <c r="D584" s="76"/>
      <c r="F584" s="231"/>
      <c r="G584" s="76"/>
      <c r="I584" s="231"/>
      <c r="J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14"/>
    </row>
    <row r="585">
      <c r="C585" s="232"/>
      <c r="D585" s="76"/>
      <c r="F585" s="231"/>
      <c r="G585" s="76"/>
      <c r="I585" s="231"/>
      <c r="J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14"/>
    </row>
    <row r="586">
      <c r="C586" s="232"/>
      <c r="D586" s="76"/>
      <c r="F586" s="231"/>
      <c r="G586" s="76"/>
      <c r="I586" s="231"/>
      <c r="J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14"/>
    </row>
    <row r="587">
      <c r="C587" s="232"/>
      <c r="D587" s="76"/>
      <c r="F587" s="231"/>
      <c r="G587" s="76"/>
      <c r="I587" s="231"/>
      <c r="J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14"/>
    </row>
    <row r="588">
      <c r="C588" s="232"/>
      <c r="D588" s="76"/>
      <c r="F588" s="231"/>
      <c r="G588" s="76"/>
      <c r="I588" s="231"/>
      <c r="J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14"/>
    </row>
    <row r="589">
      <c r="C589" s="232"/>
      <c r="D589" s="76"/>
      <c r="F589" s="231"/>
      <c r="G589" s="76"/>
      <c r="I589" s="231"/>
      <c r="J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14"/>
    </row>
    <row r="590">
      <c r="C590" s="232"/>
      <c r="D590" s="76"/>
      <c r="F590" s="231"/>
      <c r="G590" s="76"/>
      <c r="I590" s="231"/>
      <c r="J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14"/>
    </row>
    <row r="591">
      <c r="C591" s="232"/>
      <c r="D591" s="76"/>
      <c r="F591" s="231"/>
      <c r="G591" s="76"/>
      <c r="I591" s="231"/>
      <c r="J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14"/>
    </row>
    <row r="592">
      <c r="C592" s="232"/>
      <c r="D592" s="76"/>
      <c r="F592" s="231"/>
      <c r="G592" s="76"/>
      <c r="I592" s="231"/>
      <c r="J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14"/>
    </row>
    <row r="593">
      <c r="C593" s="232"/>
      <c r="D593" s="76"/>
      <c r="F593" s="231"/>
      <c r="G593" s="76"/>
      <c r="I593" s="231"/>
      <c r="J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14"/>
    </row>
    <row r="594">
      <c r="C594" s="232"/>
      <c r="D594" s="76"/>
      <c r="F594" s="231"/>
      <c r="G594" s="76"/>
      <c r="I594" s="231"/>
      <c r="J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14"/>
    </row>
    <row r="595">
      <c r="C595" s="232"/>
      <c r="D595" s="76"/>
      <c r="F595" s="231"/>
      <c r="G595" s="76"/>
      <c r="I595" s="231"/>
      <c r="J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14"/>
    </row>
    <row r="596">
      <c r="C596" s="232"/>
      <c r="D596" s="76"/>
      <c r="F596" s="231"/>
      <c r="G596" s="76"/>
      <c r="I596" s="231"/>
      <c r="J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14"/>
    </row>
    <row r="597">
      <c r="C597" s="232"/>
      <c r="D597" s="76"/>
      <c r="F597" s="231"/>
      <c r="G597" s="76"/>
      <c r="I597" s="231"/>
      <c r="J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14"/>
    </row>
    <row r="598">
      <c r="C598" s="232"/>
      <c r="D598" s="76"/>
      <c r="F598" s="231"/>
      <c r="G598" s="76"/>
      <c r="I598" s="231"/>
      <c r="J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14"/>
    </row>
    <row r="599">
      <c r="C599" s="232"/>
      <c r="D599" s="76"/>
      <c r="F599" s="231"/>
      <c r="G599" s="76"/>
      <c r="I599" s="231"/>
      <c r="J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14"/>
    </row>
    <row r="600">
      <c r="C600" s="232"/>
      <c r="D600" s="76"/>
      <c r="F600" s="231"/>
      <c r="G600" s="76"/>
      <c r="I600" s="231"/>
      <c r="J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14"/>
    </row>
    <row r="601">
      <c r="C601" s="232"/>
      <c r="D601" s="76"/>
      <c r="F601" s="231"/>
      <c r="G601" s="76"/>
      <c r="I601" s="231"/>
      <c r="J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14"/>
    </row>
    <row r="602">
      <c r="C602" s="232"/>
      <c r="D602" s="76"/>
      <c r="F602" s="231"/>
      <c r="G602" s="76"/>
      <c r="I602" s="231"/>
      <c r="J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14"/>
    </row>
    <row r="603">
      <c r="C603" s="232"/>
      <c r="D603" s="76"/>
      <c r="F603" s="231"/>
      <c r="G603" s="76"/>
      <c r="I603" s="231"/>
      <c r="J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14"/>
    </row>
    <row r="604">
      <c r="C604" s="232"/>
      <c r="D604" s="76"/>
      <c r="F604" s="231"/>
      <c r="G604" s="76"/>
      <c r="I604" s="231"/>
      <c r="J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14"/>
    </row>
    <row r="605">
      <c r="C605" s="232"/>
      <c r="D605" s="76"/>
      <c r="F605" s="231"/>
      <c r="G605" s="76"/>
      <c r="I605" s="231"/>
      <c r="J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14"/>
    </row>
    <row r="606">
      <c r="C606" s="232"/>
      <c r="D606" s="76"/>
      <c r="F606" s="231"/>
      <c r="G606" s="76"/>
      <c r="I606" s="231"/>
      <c r="J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14"/>
    </row>
    <row r="607">
      <c r="C607" s="232"/>
      <c r="D607" s="76"/>
      <c r="F607" s="231"/>
      <c r="G607" s="76"/>
      <c r="I607" s="231"/>
      <c r="J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14"/>
    </row>
    <row r="608">
      <c r="C608" s="232"/>
      <c r="D608" s="76"/>
      <c r="F608" s="231"/>
      <c r="G608" s="76"/>
      <c r="I608" s="231"/>
      <c r="J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14"/>
    </row>
    <row r="609">
      <c r="C609" s="232"/>
      <c r="D609" s="76"/>
      <c r="F609" s="231"/>
      <c r="G609" s="76"/>
      <c r="I609" s="231"/>
      <c r="J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14"/>
    </row>
    <row r="610">
      <c r="C610" s="232"/>
      <c r="D610" s="76"/>
      <c r="F610" s="231"/>
      <c r="G610" s="76"/>
      <c r="I610" s="231"/>
      <c r="J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14"/>
    </row>
    <row r="611">
      <c r="C611" s="232"/>
      <c r="D611" s="76"/>
      <c r="F611" s="231"/>
      <c r="G611" s="76"/>
      <c r="I611" s="231"/>
      <c r="J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14"/>
    </row>
    <row r="612">
      <c r="C612" s="232"/>
      <c r="D612" s="76"/>
      <c r="F612" s="231"/>
      <c r="G612" s="76"/>
      <c r="I612" s="231"/>
      <c r="J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14"/>
    </row>
    <row r="613">
      <c r="C613" s="232"/>
      <c r="D613" s="76"/>
      <c r="F613" s="231"/>
      <c r="G613" s="76"/>
      <c r="I613" s="231"/>
      <c r="J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14"/>
    </row>
    <row r="614">
      <c r="C614" s="232"/>
      <c r="D614" s="76"/>
      <c r="F614" s="231"/>
      <c r="G614" s="76"/>
      <c r="I614" s="231"/>
      <c r="J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14"/>
    </row>
    <row r="615">
      <c r="C615" s="232"/>
      <c r="D615" s="76"/>
      <c r="F615" s="231"/>
      <c r="G615" s="76"/>
      <c r="I615" s="231"/>
      <c r="J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14"/>
    </row>
    <row r="616">
      <c r="C616" s="232"/>
      <c r="D616" s="76"/>
      <c r="F616" s="231"/>
      <c r="G616" s="76"/>
      <c r="I616" s="231"/>
      <c r="J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14"/>
    </row>
    <row r="617">
      <c r="C617" s="232"/>
      <c r="D617" s="76"/>
      <c r="F617" s="231"/>
      <c r="G617" s="76"/>
      <c r="I617" s="231"/>
      <c r="J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14"/>
    </row>
    <row r="618">
      <c r="C618" s="232"/>
      <c r="D618" s="76"/>
      <c r="F618" s="231"/>
      <c r="G618" s="76"/>
      <c r="I618" s="231"/>
      <c r="J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14"/>
    </row>
    <row r="619">
      <c r="C619" s="232"/>
      <c r="D619" s="76"/>
      <c r="F619" s="231"/>
      <c r="G619" s="76"/>
      <c r="I619" s="231"/>
      <c r="J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14"/>
    </row>
    <row r="620">
      <c r="C620" s="232"/>
      <c r="D620" s="76"/>
      <c r="F620" s="231"/>
      <c r="G620" s="76"/>
      <c r="I620" s="231"/>
      <c r="J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14"/>
    </row>
    <row r="621">
      <c r="C621" s="232"/>
      <c r="D621" s="76"/>
      <c r="F621" s="231"/>
      <c r="G621" s="76"/>
      <c r="I621" s="231"/>
      <c r="J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14"/>
    </row>
    <row r="622">
      <c r="C622" s="232"/>
      <c r="D622" s="76"/>
      <c r="F622" s="231"/>
      <c r="G622" s="76"/>
      <c r="I622" s="231"/>
      <c r="J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14"/>
    </row>
    <row r="623">
      <c r="C623" s="232"/>
      <c r="D623" s="76"/>
      <c r="F623" s="231"/>
      <c r="G623" s="76"/>
      <c r="I623" s="231"/>
      <c r="J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14"/>
    </row>
    <row r="624">
      <c r="C624" s="232"/>
      <c r="D624" s="76"/>
      <c r="F624" s="231"/>
      <c r="G624" s="76"/>
      <c r="I624" s="231"/>
      <c r="J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14"/>
    </row>
    <row r="625">
      <c r="C625" s="232"/>
      <c r="D625" s="76"/>
      <c r="F625" s="231"/>
      <c r="G625" s="76"/>
      <c r="I625" s="231"/>
      <c r="J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14"/>
    </row>
    <row r="626">
      <c r="C626" s="232"/>
      <c r="D626" s="76"/>
      <c r="F626" s="231"/>
      <c r="G626" s="76"/>
      <c r="I626" s="231"/>
      <c r="J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14"/>
    </row>
    <row r="627">
      <c r="C627" s="232"/>
      <c r="D627" s="76"/>
      <c r="F627" s="231"/>
      <c r="G627" s="76"/>
      <c r="I627" s="231"/>
      <c r="J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14"/>
    </row>
    <row r="628">
      <c r="C628" s="232"/>
      <c r="D628" s="76"/>
      <c r="F628" s="231"/>
      <c r="G628" s="76"/>
      <c r="I628" s="231"/>
      <c r="J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14"/>
    </row>
    <row r="629">
      <c r="C629" s="232"/>
      <c r="D629" s="76"/>
      <c r="F629" s="231"/>
      <c r="G629" s="76"/>
      <c r="I629" s="231"/>
      <c r="J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14"/>
    </row>
    <row r="630">
      <c r="C630" s="232"/>
      <c r="D630" s="76"/>
      <c r="F630" s="231"/>
      <c r="G630" s="76"/>
      <c r="I630" s="231"/>
      <c r="J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14"/>
    </row>
    <row r="631">
      <c r="C631" s="232"/>
      <c r="D631" s="76"/>
      <c r="F631" s="231"/>
      <c r="G631" s="76"/>
      <c r="I631" s="231"/>
      <c r="J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14"/>
    </row>
    <row r="632">
      <c r="C632" s="232"/>
      <c r="D632" s="76"/>
      <c r="F632" s="231"/>
      <c r="G632" s="76"/>
      <c r="I632" s="231"/>
      <c r="J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14"/>
    </row>
    <row r="633">
      <c r="C633" s="232"/>
      <c r="D633" s="76"/>
      <c r="F633" s="231"/>
      <c r="G633" s="76"/>
      <c r="I633" s="231"/>
      <c r="J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14"/>
    </row>
    <row r="634">
      <c r="C634" s="232"/>
      <c r="D634" s="76"/>
      <c r="F634" s="231"/>
      <c r="G634" s="76"/>
      <c r="I634" s="231"/>
      <c r="J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14"/>
    </row>
    <row r="635">
      <c r="C635" s="232"/>
      <c r="D635" s="76"/>
      <c r="F635" s="231"/>
      <c r="G635" s="76"/>
      <c r="I635" s="231"/>
      <c r="J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14"/>
    </row>
    <row r="636">
      <c r="C636" s="232"/>
      <c r="D636" s="76"/>
      <c r="F636" s="231"/>
      <c r="G636" s="76"/>
      <c r="I636" s="231"/>
      <c r="J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14"/>
    </row>
    <row r="637">
      <c r="C637" s="232"/>
      <c r="D637" s="76"/>
      <c r="F637" s="231"/>
      <c r="G637" s="76"/>
      <c r="I637" s="231"/>
      <c r="J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14"/>
    </row>
    <row r="638">
      <c r="C638" s="232"/>
      <c r="D638" s="76"/>
      <c r="F638" s="231"/>
      <c r="G638" s="76"/>
      <c r="I638" s="231"/>
      <c r="J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14"/>
    </row>
    <row r="639">
      <c r="C639" s="232"/>
      <c r="D639" s="76"/>
      <c r="F639" s="231"/>
      <c r="G639" s="76"/>
      <c r="I639" s="231"/>
      <c r="J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14"/>
    </row>
    <row r="640">
      <c r="C640" s="232"/>
      <c r="D640" s="76"/>
      <c r="F640" s="231"/>
      <c r="G640" s="76"/>
      <c r="I640" s="231"/>
      <c r="J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14"/>
    </row>
    <row r="641">
      <c r="C641" s="232"/>
      <c r="D641" s="76"/>
      <c r="F641" s="231"/>
      <c r="G641" s="76"/>
      <c r="I641" s="231"/>
      <c r="J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14"/>
    </row>
    <row r="642">
      <c r="C642" s="232"/>
      <c r="D642" s="76"/>
      <c r="F642" s="231"/>
      <c r="G642" s="76"/>
      <c r="I642" s="231"/>
      <c r="J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14"/>
    </row>
    <row r="643">
      <c r="C643" s="232"/>
      <c r="D643" s="76"/>
      <c r="F643" s="231"/>
      <c r="G643" s="76"/>
      <c r="I643" s="231"/>
      <c r="J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14"/>
    </row>
    <row r="644">
      <c r="C644" s="232"/>
      <c r="D644" s="76"/>
      <c r="F644" s="231"/>
      <c r="G644" s="76"/>
      <c r="I644" s="231"/>
      <c r="J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14"/>
    </row>
    <row r="645">
      <c r="C645" s="232"/>
      <c r="D645" s="76"/>
      <c r="F645" s="231"/>
      <c r="G645" s="76"/>
      <c r="I645" s="231"/>
      <c r="J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14"/>
    </row>
    <row r="646">
      <c r="C646" s="232"/>
      <c r="D646" s="76"/>
      <c r="F646" s="231"/>
      <c r="G646" s="76"/>
      <c r="I646" s="231"/>
      <c r="J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14"/>
    </row>
    <row r="647">
      <c r="C647" s="232"/>
      <c r="D647" s="76"/>
      <c r="F647" s="231"/>
      <c r="G647" s="76"/>
      <c r="I647" s="231"/>
      <c r="J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14"/>
    </row>
    <row r="648">
      <c r="C648" s="232"/>
      <c r="D648" s="76"/>
      <c r="F648" s="231"/>
      <c r="G648" s="76"/>
      <c r="I648" s="231"/>
      <c r="J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14"/>
    </row>
    <row r="649">
      <c r="C649" s="232"/>
      <c r="D649" s="76"/>
      <c r="F649" s="231"/>
      <c r="G649" s="76"/>
      <c r="I649" s="231"/>
      <c r="J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14"/>
    </row>
    <row r="650">
      <c r="C650" s="232"/>
      <c r="D650" s="76"/>
      <c r="F650" s="231"/>
      <c r="G650" s="76"/>
      <c r="I650" s="231"/>
      <c r="J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14"/>
    </row>
    <row r="651">
      <c r="C651" s="232"/>
      <c r="D651" s="76"/>
      <c r="F651" s="231"/>
      <c r="G651" s="76"/>
      <c r="I651" s="231"/>
      <c r="J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14"/>
    </row>
    <row r="652">
      <c r="C652" s="232"/>
      <c r="D652" s="76"/>
      <c r="F652" s="231"/>
      <c r="G652" s="76"/>
      <c r="I652" s="231"/>
      <c r="J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14"/>
    </row>
    <row r="653">
      <c r="C653" s="232"/>
      <c r="D653" s="76"/>
      <c r="F653" s="231"/>
      <c r="G653" s="76"/>
      <c r="I653" s="231"/>
      <c r="J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14"/>
    </row>
    <row r="654">
      <c r="C654" s="232"/>
      <c r="D654" s="76"/>
      <c r="F654" s="231"/>
      <c r="G654" s="76"/>
      <c r="I654" s="231"/>
      <c r="J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14"/>
    </row>
    <row r="655">
      <c r="C655" s="232"/>
      <c r="D655" s="76"/>
      <c r="F655" s="231"/>
      <c r="G655" s="76"/>
      <c r="I655" s="231"/>
      <c r="J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14"/>
    </row>
    <row r="656">
      <c r="C656" s="232"/>
      <c r="D656" s="76"/>
      <c r="F656" s="231"/>
      <c r="G656" s="76"/>
      <c r="I656" s="231"/>
      <c r="J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14"/>
    </row>
    <row r="657">
      <c r="C657" s="232"/>
      <c r="D657" s="76"/>
      <c r="F657" s="231"/>
      <c r="G657" s="76"/>
      <c r="I657" s="231"/>
      <c r="J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14"/>
    </row>
    <row r="658">
      <c r="C658" s="232"/>
      <c r="D658" s="76"/>
      <c r="F658" s="231"/>
      <c r="G658" s="76"/>
      <c r="I658" s="231"/>
      <c r="J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14"/>
    </row>
    <row r="659">
      <c r="C659" s="232"/>
      <c r="D659" s="76"/>
      <c r="F659" s="231"/>
      <c r="G659" s="76"/>
      <c r="I659" s="231"/>
      <c r="J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14"/>
    </row>
    <row r="660">
      <c r="C660" s="232"/>
      <c r="D660" s="76"/>
      <c r="F660" s="231"/>
      <c r="G660" s="76"/>
      <c r="I660" s="231"/>
      <c r="J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14"/>
    </row>
    <row r="661">
      <c r="C661" s="232"/>
      <c r="D661" s="76"/>
      <c r="F661" s="231"/>
      <c r="G661" s="76"/>
      <c r="I661" s="231"/>
      <c r="J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14"/>
    </row>
    <row r="662">
      <c r="C662" s="232"/>
      <c r="D662" s="76"/>
      <c r="F662" s="231"/>
      <c r="G662" s="76"/>
      <c r="I662" s="231"/>
      <c r="J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14"/>
    </row>
    <row r="663">
      <c r="C663" s="232"/>
      <c r="D663" s="76"/>
      <c r="F663" s="231"/>
      <c r="G663" s="76"/>
      <c r="I663" s="231"/>
      <c r="J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14"/>
    </row>
    <row r="664">
      <c r="C664" s="232"/>
      <c r="D664" s="76"/>
      <c r="F664" s="231"/>
      <c r="G664" s="76"/>
      <c r="I664" s="231"/>
      <c r="J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14"/>
    </row>
    <row r="665">
      <c r="C665" s="232"/>
      <c r="D665" s="76"/>
      <c r="F665" s="231"/>
      <c r="G665" s="76"/>
      <c r="I665" s="231"/>
      <c r="J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14"/>
    </row>
    <row r="666">
      <c r="C666" s="232"/>
      <c r="D666" s="76"/>
      <c r="F666" s="231"/>
      <c r="G666" s="76"/>
      <c r="I666" s="231"/>
      <c r="J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14"/>
    </row>
    <row r="667">
      <c r="C667" s="232"/>
      <c r="D667" s="76"/>
      <c r="F667" s="231"/>
      <c r="G667" s="76"/>
      <c r="I667" s="231"/>
      <c r="J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14"/>
    </row>
    <row r="668">
      <c r="C668" s="232"/>
      <c r="D668" s="76"/>
      <c r="F668" s="231"/>
      <c r="G668" s="76"/>
      <c r="I668" s="231"/>
      <c r="J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14"/>
    </row>
    <row r="669">
      <c r="C669" s="232"/>
      <c r="D669" s="76"/>
      <c r="F669" s="231"/>
      <c r="G669" s="76"/>
      <c r="I669" s="231"/>
      <c r="J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14"/>
    </row>
    <row r="670">
      <c r="C670" s="232"/>
      <c r="D670" s="76"/>
      <c r="F670" s="231"/>
      <c r="G670" s="76"/>
      <c r="I670" s="231"/>
      <c r="J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14"/>
    </row>
    <row r="671">
      <c r="C671" s="232"/>
      <c r="D671" s="76"/>
      <c r="F671" s="231"/>
      <c r="G671" s="76"/>
      <c r="I671" s="231"/>
      <c r="J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14"/>
    </row>
    <row r="672">
      <c r="C672" s="232"/>
      <c r="D672" s="76"/>
      <c r="F672" s="231"/>
      <c r="G672" s="76"/>
      <c r="I672" s="231"/>
      <c r="J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14"/>
    </row>
    <row r="673">
      <c r="C673" s="232"/>
      <c r="D673" s="76"/>
      <c r="F673" s="231"/>
      <c r="G673" s="76"/>
      <c r="I673" s="231"/>
      <c r="J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14"/>
    </row>
    <row r="674">
      <c r="C674" s="232"/>
      <c r="D674" s="76"/>
      <c r="F674" s="231"/>
      <c r="G674" s="76"/>
      <c r="I674" s="231"/>
      <c r="J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14"/>
    </row>
    <row r="675">
      <c r="C675" s="232"/>
      <c r="D675" s="76"/>
      <c r="F675" s="231"/>
      <c r="G675" s="76"/>
      <c r="I675" s="231"/>
      <c r="J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14"/>
    </row>
    <row r="676">
      <c r="C676" s="232"/>
      <c r="D676" s="76"/>
      <c r="F676" s="231"/>
      <c r="G676" s="76"/>
      <c r="I676" s="231"/>
      <c r="J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14"/>
    </row>
    <row r="677">
      <c r="C677" s="232"/>
      <c r="D677" s="76"/>
      <c r="F677" s="231"/>
      <c r="G677" s="76"/>
      <c r="I677" s="231"/>
      <c r="J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14"/>
    </row>
    <row r="678">
      <c r="C678" s="232"/>
      <c r="D678" s="76"/>
      <c r="F678" s="231"/>
      <c r="G678" s="76"/>
      <c r="I678" s="231"/>
      <c r="J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14"/>
    </row>
    <row r="679">
      <c r="C679" s="232"/>
      <c r="D679" s="76"/>
      <c r="F679" s="231"/>
      <c r="G679" s="76"/>
      <c r="I679" s="231"/>
      <c r="J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14"/>
    </row>
    <row r="680">
      <c r="C680" s="232"/>
      <c r="D680" s="76"/>
      <c r="F680" s="231"/>
      <c r="G680" s="76"/>
      <c r="I680" s="231"/>
      <c r="J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14"/>
    </row>
    <row r="681">
      <c r="C681" s="232"/>
      <c r="D681" s="76"/>
      <c r="F681" s="231"/>
      <c r="G681" s="76"/>
      <c r="I681" s="231"/>
      <c r="J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14"/>
    </row>
    <row r="682">
      <c r="C682" s="232"/>
      <c r="D682" s="76"/>
      <c r="F682" s="231"/>
      <c r="G682" s="76"/>
      <c r="I682" s="231"/>
      <c r="J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14"/>
    </row>
    <row r="683">
      <c r="C683" s="232"/>
      <c r="D683" s="76"/>
      <c r="F683" s="231"/>
      <c r="G683" s="76"/>
      <c r="I683" s="231"/>
      <c r="J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14"/>
    </row>
    <row r="684">
      <c r="C684" s="232"/>
      <c r="D684" s="76"/>
      <c r="F684" s="231"/>
      <c r="G684" s="76"/>
      <c r="I684" s="231"/>
      <c r="J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14"/>
    </row>
    <row r="685">
      <c r="C685" s="232"/>
      <c r="D685" s="76"/>
      <c r="F685" s="231"/>
      <c r="G685" s="76"/>
      <c r="I685" s="231"/>
      <c r="J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14"/>
    </row>
    <row r="686">
      <c r="C686" s="232"/>
      <c r="D686" s="76"/>
      <c r="F686" s="231"/>
      <c r="G686" s="76"/>
      <c r="I686" s="231"/>
      <c r="J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14"/>
    </row>
    <row r="687">
      <c r="C687" s="232"/>
      <c r="D687" s="76"/>
      <c r="F687" s="231"/>
      <c r="G687" s="76"/>
      <c r="I687" s="231"/>
      <c r="J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14"/>
    </row>
    <row r="688">
      <c r="C688" s="232"/>
      <c r="D688" s="76"/>
      <c r="F688" s="231"/>
      <c r="G688" s="76"/>
      <c r="I688" s="231"/>
      <c r="J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14"/>
    </row>
    <row r="689">
      <c r="C689" s="232"/>
      <c r="D689" s="76"/>
      <c r="F689" s="231"/>
      <c r="G689" s="76"/>
      <c r="I689" s="231"/>
      <c r="J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14"/>
    </row>
    <row r="690">
      <c r="C690" s="232"/>
      <c r="D690" s="76"/>
      <c r="F690" s="231"/>
      <c r="G690" s="76"/>
      <c r="I690" s="231"/>
      <c r="J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14"/>
    </row>
    <row r="691">
      <c r="C691" s="232"/>
      <c r="D691" s="76"/>
      <c r="F691" s="231"/>
      <c r="G691" s="76"/>
      <c r="I691" s="231"/>
      <c r="J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14"/>
    </row>
    <row r="692">
      <c r="C692" s="232"/>
      <c r="D692" s="76"/>
      <c r="F692" s="231"/>
      <c r="G692" s="76"/>
      <c r="I692" s="231"/>
      <c r="J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14"/>
    </row>
    <row r="693">
      <c r="C693" s="232"/>
      <c r="D693" s="76"/>
      <c r="F693" s="231"/>
      <c r="G693" s="76"/>
      <c r="I693" s="231"/>
      <c r="J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14"/>
    </row>
    <row r="694">
      <c r="C694" s="232"/>
      <c r="D694" s="76"/>
      <c r="F694" s="231"/>
      <c r="G694" s="76"/>
      <c r="I694" s="231"/>
      <c r="J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14"/>
    </row>
    <row r="695">
      <c r="C695" s="232"/>
      <c r="D695" s="76"/>
      <c r="F695" s="231"/>
      <c r="G695" s="76"/>
      <c r="I695" s="231"/>
      <c r="J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14"/>
    </row>
    <row r="696">
      <c r="C696" s="232"/>
      <c r="D696" s="76"/>
      <c r="F696" s="231"/>
      <c r="G696" s="76"/>
      <c r="I696" s="231"/>
      <c r="J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14"/>
    </row>
    <row r="697">
      <c r="C697" s="232"/>
      <c r="D697" s="76"/>
      <c r="F697" s="231"/>
      <c r="G697" s="76"/>
      <c r="I697" s="231"/>
      <c r="J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14"/>
    </row>
    <row r="698">
      <c r="C698" s="232"/>
      <c r="D698" s="76"/>
      <c r="F698" s="231"/>
      <c r="G698" s="76"/>
      <c r="I698" s="231"/>
      <c r="J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14"/>
    </row>
    <row r="699">
      <c r="C699" s="232"/>
      <c r="D699" s="76"/>
      <c r="F699" s="231"/>
      <c r="G699" s="76"/>
      <c r="I699" s="231"/>
      <c r="J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14"/>
    </row>
    <row r="700">
      <c r="C700" s="232"/>
      <c r="D700" s="76"/>
      <c r="F700" s="231"/>
      <c r="G700" s="76"/>
      <c r="I700" s="231"/>
      <c r="J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14"/>
    </row>
    <row r="701">
      <c r="C701" s="232"/>
      <c r="D701" s="76"/>
      <c r="F701" s="231"/>
      <c r="G701" s="76"/>
      <c r="I701" s="231"/>
      <c r="J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14"/>
    </row>
    <row r="702">
      <c r="C702" s="232"/>
      <c r="D702" s="76"/>
      <c r="F702" s="231"/>
      <c r="G702" s="76"/>
      <c r="I702" s="231"/>
      <c r="J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14"/>
    </row>
    <row r="703">
      <c r="C703" s="232"/>
      <c r="D703" s="76"/>
      <c r="F703" s="231"/>
      <c r="G703" s="76"/>
      <c r="I703" s="231"/>
      <c r="J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14"/>
    </row>
    <row r="704">
      <c r="C704" s="232"/>
      <c r="D704" s="76"/>
      <c r="F704" s="231"/>
      <c r="G704" s="76"/>
      <c r="I704" s="231"/>
      <c r="J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14"/>
    </row>
    <row r="705">
      <c r="C705" s="232"/>
      <c r="D705" s="76"/>
      <c r="F705" s="231"/>
      <c r="G705" s="76"/>
      <c r="I705" s="231"/>
      <c r="J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14"/>
    </row>
    <row r="706">
      <c r="C706" s="232"/>
      <c r="D706" s="76"/>
      <c r="F706" s="231"/>
      <c r="G706" s="76"/>
      <c r="I706" s="231"/>
      <c r="J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14"/>
    </row>
    <row r="707">
      <c r="C707" s="232"/>
      <c r="D707" s="76"/>
      <c r="F707" s="231"/>
      <c r="G707" s="76"/>
      <c r="I707" s="231"/>
      <c r="J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14"/>
    </row>
    <row r="708">
      <c r="C708" s="232"/>
      <c r="D708" s="76"/>
      <c r="F708" s="231"/>
      <c r="G708" s="76"/>
      <c r="I708" s="231"/>
      <c r="J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14"/>
    </row>
    <row r="709">
      <c r="C709" s="232"/>
      <c r="D709" s="76"/>
      <c r="F709" s="231"/>
      <c r="G709" s="76"/>
      <c r="I709" s="231"/>
      <c r="J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14"/>
    </row>
    <row r="710">
      <c r="C710" s="232"/>
      <c r="D710" s="76"/>
      <c r="F710" s="231"/>
      <c r="G710" s="76"/>
      <c r="I710" s="231"/>
      <c r="J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14"/>
    </row>
    <row r="711">
      <c r="C711" s="232"/>
      <c r="D711" s="76"/>
      <c r="F711" s="231"/>
      <c r="G711" s="76"/>
      <c r="I711" s="231"/>
      <c r="J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14"/>
    </row>
    <row r="712">
      <c r="C712" s="232"/>
      <c r="D712" s="76"/>
      <c r="F712" s="231"/>
      <c r="G712" s="76"/>
      <c r="I712" s="231"/>
      <c r="J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14"/>
    </row>
    <row r="713">
      <c r="C713" s="232"/>
      <c r="D713" s="76"/>
      <c r="F713" s="231"/>
      <c r="G713" s="76"/>
      <c r="I713" s="231"/>
      <c r="J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14"/>
    </row>
    <row r="714">
      <c r="C714" s="232"/>
      <c r="D714" s="76"/>
      <c r="F714" s="231"/>
      <c r="G714" s="76"/>
      <c r="I714" s="231"/>
      <c r="J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14"/>
    </row>
    <row r="715">
      <c r="C715" s="232"/>
      <c r="D715" s="76"/>
      <c r="F715" s="231"/>
      <c r="G715" s="76"/>
      <c r="I715" s="231"/>
      <c r="J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14"/>
    </row>
    <row r="716">
      <c r="C716" s="232"/>
      <c r="D716" s="76"/>
      <c r="F716" s="231"/>
      <c r="G716" s="76"/>
      <c r="I716" s="231"/>
      <c r="J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14"/>
    </row>
    <row r="717">
      <c r="C717" s="232"/>
      <c r="D717" s="76"/>
      <c r="F717" s="231"/>
      <c r="G717" s="76"/>
      <c r="I717" s="231"/>
      <c r="J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14"/>
    </row>
    <row r="718">
      <c r="C718" s="232"/>
      <c r="D718" s="76"/>
      <c r="F718" s="231"/>
      <c r="G718" s="76"/>
      <c r="I718" s="231"/>
      <c r="J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14"/>
    </row>
    <row r="719">
      <c r="C719" s="232"/>
      <c r="D719" s="76"/>
      <c r="F719" s="231"/>
      <c r="G719" s="76"/>
      <c r="I719" s="231"/>
      <c r="J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14"/>
    </row>
    <row r="720">
      <c r="C720" s="232"/>
      <c r="D720" s="76"/>
      <c r="F720" s="231"/>
      <c r="G720" s="76"/>
      <c r="I720" s="231"/>
      <c r="J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14"/>
    </row>
    <row r="721">
      <c r="C721" s="232"/>
      <c r="D721" s="76"/>
      <c r="F721" s="231"/>
      <c r="G721" s="76"/>
      <c r="I721" s="231"/>
      <c r="J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14"/>
    </row>
    <row r="722">
      <c r="C722" s="232"/>
      <c r="D722" s="76"/>
      <c r="F722" s="231"/>
      <c r="G722" s="76"/>
      <c r="I722" s="231"/>
      <c r="J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14"/>
    </row>
    <row r="723">
      <c r="C723" s="232"/>
      <c r="D723" s="76"/>
      <c r="F723" s="231"/>
      <c r="G723" s="76"/>
      <c r="I723" s="231"/>
      <c r="J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14"/>
    </row>
    <row r="724">
      <c r="C724" s="232"/>
      <c r="D724" s="76"/>
      <c r="F724" s="231"/>
      <c r="G724" s="76"/>
      <c r="I724" s="231"/>
      <c r="J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14"/>
    </row>
    <row r="725">
      <c r="C725" s="232"/>
      <c r="D725" s="76"/>
      <c r="F725" s="231"/>
      <c r="G725" s="76"/>
      <c r="I725" s="231"/>
      <c r="J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14"/>
    </row>
    <row r="726">
      <c r="C726" s="232"/>
      <c r="D726" s="76"/>
      <c r="F726" s="231"/>
      <c r="G726" s="76"/>
      <c r="I726" s="231"/>
      <c r="J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14"/>
    </row>
    <row r="727">
      <c r="C727" s="232"/>
      <c r="D727" s="76"/>
      <c r="F727" s="231"/>
      <c r="G727" s="76"/>
      <c r="I727" s="231"/>
      <c r="J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14"/>
    </row>
    <row r="728">
      <c r="C728" s="232"/>
      <c r="D728" s="76"/>
      <c r="F728" s="231"/>
      <c r="G728" s="76"/>
      <c r="I728" s="231"/>
      <c r="J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14"/>
    </row>
    <row r="729">
      <c r="C729" s="232"/>
      <c r="D729" s="76"/>
      <c r="F729" s="231"/>
      <c r="G729" s="76"/>
      <c r="I729" s="231"/>
      <c r="J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14"/>
    </row>
    <row r="730">
      <c r="C730" s="232"/>
      <c r="D730" s="76"/>
      <c r="F730" s="231"/>
      <c r="G730" s="76"/>
      <c r="I730" s="231"/>
      <c r="J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14"/>
    </row>
    <row r="731">
      <c r="C731" s="232"/>
      <c r="D731" s="76"/>
      <c r="F731" s="231"/>
      <c r="G731" s="76"/>
      <c r="I731" s="231"/>
      <c r="J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14"/>
    </row>
    <row r="732">
      <c r="C732" s="232"/>
      <c r="D732" s="76"/>
      <c r="F732" s="231"/>
      <c r="G732" s="76"/>
      <c r="I732" s="231"/>
      <c r="J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14"/>
    </row>
    <row r="733">
      <c r="C733" s="232"/>
      <c r="D733" s="76"/>
      <c r="F733" s="231"/>
      <c r="G733" s="76"/>
      <c r="I733" s="231"/>
      <c r="J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14"/>
    </row>
    <row r="734">
      <c r="C734" s="232"/>
      <c r="D734" s="76"/>
      <c r="F734" s="231"/>
      <c r="G734" s="76"/>
      <c r="I734" s="231"/>
      <c r="J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14"/>
    </row>
    <row r="735">
      <c r="C735" s="232"/>
      <c r="D735" s="76"/>
      <c r="F735" s="231"/>
      <c r="G735" s="76"/>
      <c r="I735" s="231"/>
      <c r="J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14"/>
    </row>
    <row r="736">
      <c r="C736" s="232"/>
      <c r="D736" s="76"/>
      <c r="F736" s="231"/>
      <c r="G736" s="76"/>
      <c r="I736" s="231"/>
      <c r="J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14"/>
    </row>
    <row r="737">
      <c r="C737" s="232"/>
      <c r="D737" s="76"/>
      <c r="F737" s="231"/>
      <c r="G737" s="76"/>
      <c r="I737" s="231"/>
      <c r="J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14"/>
    </row>
    <row r="738">
      <c r="C738" s="232"/>
      <c r="D738" s="76"/>
      <c r="F738" s="231"/>
      <c r="G738" s="76"/>
      <c r="I738" s="231"/>
      <c r="J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14"/>
    </row>
    <row r="739">
      <c r="C739" s="232"/>
      <c r="D739" s="76"/>
      <c r="F739" s="231"/>
      <c r="G739" s="76"/>
      <c r="I739" s="231"/>
      <c r="J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14"/>
    </row>
    <row r="740">
      <c r="C740" s="232"/>
      <c r="D740" s="76"/>
      <c r="F740" s="231"/>
      <c r="G740" s="76"/>
      <c r="I740" s="231"/>
      <c r="J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14"/>
    </row>
    <row r="741">
      <c r="C741" s="232"/>
      <c r="D741" s="76"/>
      <c r="F741" s="231"/>
      <c r="G741" s="76"/>
      <c r="I741" s="231"/>
      <c r="J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14"/>
    </row>
    <row r="742">
      <c r="C742" s="232"/>
      <c r="D742" s="76"/>
      <c r="F742" s="231"/>
      <c r="G742" s="76"/>
      <c r="I742" s="231"/>
      <c r="J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14"/>
    </row>
    <row r="743">
      <c r="C743" s="232"/>
      <c r="D743" s="76"/>
      <c r="F743" s="231"/>
      <c r="G743" s="76"/>
      <c r="I743" s="231"/>
      <c r="J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14"/>
    </row>
    <row r="744">
      <c r="C744" s="232"/>
      <c r="D744" s="76"/>
      <c r="F744" s="231"/>
      <c r="G744" s="76"/>
      <c r="I744" s="231"/>
      <c r="J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14"/>
    </row>
    <row r="745">
      <c r="C745" s="232"/>
      <c r="D745" s="76"/>
      <c r="F745" s="231"/>
      <c r="G745" s="76"/>
      <c r="I745" s="231"/>
      <c r="J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14"/>
    </row>
    <row r="746">
      <c r="C746" s="232"/>
      <c r="D746" s="76"/>
      <c r="F746" s="231"/>
      <c r="G746" s="76"/>
      <c r="I746" s="231"/>
      <c r="J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14"/>
    </row>
    <row r="747">
      <c r="C747" s="232"/>
      <c r="D747" s="76"/>
      <c r="F747" s="231"/>
      <c r="G747" s="76"/>
      <c r="I747" s="231"/>
      <c r="J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14"/>
    </row>
    <row r="748">
      <c r="C748" s="232"/>
      <c r="D748" s="76"/>
      <c r="F748" s="231"/>
      <c r="G748" s="76"/>
      <c r="I748" s="231"/>
      <c r="J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14"/>
    </row>
    <row r="749">
      <c r="C749" s="232"/>
      <c r="D749" s="76"/>
      <c r="F749" s="231"/>
      <c r="G749" s="76"/>
      <c r="I749" s="231"/>
      <c r="J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14"/>
    </row>
    <row r="750">
      <c r="C750" s="232"/>
      <c r="D750" s="76"/>
      <c r="F750" s="231"/>
      <c r="G750" s="76"/>
      <c r="I750" s="231"/>
      <c r="J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14"/>
    </row>
    <row r="751">
      <c r="C751" s="232"/>
      <c r="D751" s="76"/>
      <c r="F751" s="231"/>
      <c r="G751" s="76"/>
      <c r="I751" s="231"/>
      <c r="J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14"/>
    </row>
    <row r="752">
      <c r="C752" s="232"/>
      <c r="D752" s="76"/>
      <c r="F752" s="231"/>
      <c r="G752" s="76"/>
      <c r="I752" s="231"/>
      <c r="J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14"/>
    </row>
    <row r="753">
      <c r="C753" s="232"/>
      <c r="D753" s="76"/>
      <c r="F753" s="231"/>
      <c r="G753" s="76"/>
      <c r="I753" s="231"/>
      <c r="J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14"/>
    </row>
    <row r="754">
      <c r="C754" s="232"/>
      <c r="D754" s="76"/>
      <c r="F754" s="231"/>
      <c r="G754" s="76"/>
      <c r="I754" s="231"/>
      <c r="J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14"/>
    </row>
    <row r="755">
      <c r="C755" s="232"/>
      <c r="D755" s="76"/>
      <c r="F755" s="231"/>
      <c r="G755" s="76"/>
      <c r="I755" s="231"/>
      <c r="J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14"/>
    </row>
    <row r="756">
      <c r="C756" s="232"/>
      <c r="D756" s="76"/>
      <c r="F756" s="231"/>
      <c r="G756" s="76"/>
      <c r="I756" s="231"/>
      <c r="J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14"/>
    </row>
    <row r="757">
      <c r="C757" s="232"/>
      <c r="D757" s="76"/>
      <c r="F757" s="231"/>
      <c r="G757" s="76"/>
      <c r="I757" s="231"/>
      <c r="J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14"/>
    </row>
    <row r="758">
      <c r="C758" s="232"/>
      <c r="D758" s="76"/>
      <c r="F758" s="231"/>
      <c r="G758" s="76"/>
      <c r="I758" s="231"/>
      <c r="J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14"/>
    </row>
    <row r="759">
      <c r="C759" s="232"/>
      <c r="D759" s="76"/>
      <c r="F759" s="231"/>
      <c r="G759" s="76"/>
      <c r="I759" s="231"/>
      <c r="J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14"/>
    </row>
    <row r="760">
      <c r="C760" s="232"/>
      <c r="D760" s="76"/>
      <c r="F760" s="231"/>
      <c r="G760" s="76"/>
      <c r="I760" s="231"/>
      <c r="J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14"/>
    </row>
    <row r="761">
      <c r="C761" s="232"/>
      <c r="D761" s="76"/>
      <c r="F761" s="231"/>
      <c r="G761" s="76"/>
      <c r="I761" s="231"/>
      <c r="J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14"/>
    </row>
    <row r="762">
      <c r="C762" s="232"/>
      <c r="D762" s="76"/>
      <c r="F762" s="231"/>
      <c r="G762" s="76"/>
      <c r="I762" s="231"/>
      <c r="J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14"/>
    </row>
    <row r="763">
      <c r="C763" s="232"/>
      <c r="D763" s="76"/>
      <c r="F763" s="231"/>
      <c r="G763" s="76"/>
      <c r="I763" s="231"/>
      <c r="J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14"/>
    </row>
    <row r="764">
      <c r="C764" s="232"/>
      <c r="D764" s="76"/>
      <c r="F764" s="231"/>
      <c r="G764" s="76"/>
      <c r="I764" s="231"/>
      <c r="J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14"/>
    </row>
    <row r="765">
      <c r="C765" s="232"/>
      <c r="D765" s="76"/>
      <c r="F765" s="231"/>
      <c r="G765" s="76"/>
      <c r="I765" s="231"/>
      <c r="J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14"/>
    </row>
    <row r="766">
      <c r="C766" s="232"/>
      <c r="D766" s="76"/>
      <c r="F766" s="231"/>
      <c r="G766" s="76"/>
      <c r="I766" s="231"/>
      <c r="J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14"/>
    </row>
    <row r="767">
      <c r="C767" s="232"/>
      <c r="D767" s="76"/>
      <c r="F767" s="231"/>
      <c r="G767" s="76"/>
      <c r="I767" s="231"/>
      <c r="J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14"/>
    </row>
    <row r="768">
      <c r="C768" s="232"/>
      <c r="D768" s="76"/>
      <c r="F768" s="231"/>
      <c r="G768" s="76"/>
      <c r="I768" s="231"/>
      <c r="J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14"/>
    </row>
    <row r="769">
      <c r="C769" s="232"/>
      <c r="D769" s="76"/>
      <c r="F769" s="231"/>
      <c r="G769" s="76"/>
      <c r="I769" s="231"/>
      <c r="J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14"/>
    </row>
    <row r="770">
      <c r="C770" s="232"/>
      <c r="D770" s="76"/>
      <c r="F770" s="231"/>
      <c r="G770" s="76"/>
      <c r="I770" s="231"/>
      <c r="J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14"/>
    </row>
    <row r="771">
      <c r="C771" s="232"/>
      <c r="D771" s="76"/>
      <c r="F771" s="231"/>
      <c r="G771" s="76"/>
      <c r="I771" s="231"/>
      <c r="J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14"/>
    </row>
    <row r="772">
      <c r="C772" s="232"/>
      <c r="D772" s="76"/>
      <c r="F772" s="231"/>
      <c r="G772" s="76"/>
      <c r="I772" s="231"/>
      <c r="J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14"/>
    </row>
    <row r="773">
      <c r="C773" s="232"/>
      <c r="D773" s="76"/>
      <c r="F773" s="231"/>
      <c r="G773" s="76"/>
      <c r="I773" s="231"/>
      <c r="J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14"/>
    </row>
    <row r="774">
      <c r="C774" s="232"/>
      <c r="D774" s="76"/>
      <c r="F774" s="231"/>
      <c r="G774" s="76"/>
      <c r="I774" s="231"/>
      <c r="J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14"/>
    </row>
    <row r="775">
      <c r="C775" s="232"/>
      <c r="D775" s="76"/>
      <c r="F775" s="231"/>
      <c r="G775" s="76"/>
      <c r="I775" s="231"/>
      <c r="J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14"/>
    </row>
    <row r="776">
      <c r="C776" s="232"/>
      <c r="D776" s="76"/>
      <c r="F776" s="231"/>
      <c r="G776" s="76"/>
      <c r="I776" s="231"/>
      <c r="J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14"/>
    </row>
    <row r="777">
      <c r="C777" s="232"/>
      <c r="D777" s="76"/>
      <c r="F777" s="231"/>
      <c r="G777" s="76"/>
      <c r="I777" s="231"/>
      <c r="J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14"/>
    </row>
    <row r="778">
      <c r="C778" s="232"/>
      <c r="D778" s="76"/>
      <c r="F778" s="231"/>
      <c r="G778" s="76"/>
      <c r="I778" s="231"/>
      <c r="J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14"/>
    </row>
    <row r="779">
      <c r="C779" s="232"/>
      <c r="D779" s="76"/>
      <c r="F779" s="231"/>
      <c r="G779" s="76"/>
      <c r="I779" s="231"/>
      <c r="J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14"/>
    </row>
    <row r="780">
      <c r="C780" s="232"/>
      <c r="D780" s="76"/>
      <c r="F780" s="231"/>
      <c r="G780" s="76"/>
      <c r="I780" s="231"/>
      <c r="J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14"/>
    </row>
    <row r="781">
      <c r="C781" s="232"/>
      <c r="D781" s="76"/>
      <c r="F781" s="231"/>
      <c r="G781" s="76"/>
      <c r="I781" s="231"/>
      <c r="J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14"/>
    </row>
    <row r="782">
      <c r="C782" s="232"/>
      <c r="D782" s="76"/>
      <c r="F782" s="231"/>
      <c r="G782" s="76"/>
      <c r="I782" s="231"/>
      <c r="J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14"/>
    </row>
    <row r="783">
      <c r="C783" s="232"/>
      <c r="D783" s="76"/>
      <c r="F783" s="231"/>
      <c r="G783" s="76"/>
      <c r="I783" s="231"/>
      <c r="J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14"/>
    </row>
    <row r="784">
      <c r="C784" s="232"/>
      <c r="D784" s="76"/>
      <c r="F784" s="231"/>
      <c r="G784" s="76"/>
      <c r="I784" s="231"/>
      <c r="J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14"/>
    </row>
    <row r="785">
      <c r="C785" s="232"/>
      <c r="D785" s="76"/>
      <c r="F785" s="231"/>
      <c r="G785" s="76"/>
      <c r="I785" s="231"/>
      <c r="J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14"/>
    </row>
    <row r="786">
      <c r="C786" s="232"/>
      <c r="D786" s="76"/>
      <c r="F786" s="231"/>
      <c r="G786" s="76"/>
      <c r="I786" s="231"/>
      <c r="J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14"/>
    </row>
    <row r="787">
      <c r="C787" s="232"/>
      <c r="D787" s="76"/>
      <c r="F787" s="231"/>
      <c r="G787" s="76"/>
      <c r="I787" s="231"/>
      <c r="J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14"/>
    </row>
    <row r="788">
      <c r="C788" s="232"/>
      <c r="D788" s="76"/>
      <c r="F788" s="231"/>
      <c r="G788" s="76"/>
      <c r="I788" s="231"/>
      <c r="J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14"/>
    </row>
    <row r="789">
      <c r="C789" s="232"/>
      <c r="D789" s="76"/>
      <c r="F789" s="231"/>
      <c r="G789" s="76"/>
      <c r="I789" s="231"/>
      <c r="J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14"/>
    </row>
    <row r="790">
      <c r="C790" s="232"/>
      <c r="D790" s="76"/>
      <c r="F790" s="231"/>
      <c r="G790" s="76"/>
      <c r="I790" s="231"/>
      <c r="J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14"/>
    </row>
    <row r="791">
      <c r="C791" s="232"/>
      <c r="D791" s="76"/>
      <c r="F791" s="231"/>
      <c r="G791" s="76"/>
      <c r="I791" s="231"/>
      <c r="J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14"/>
    </row>
    <row r="792">
      <c r="C792" s="232"/>
      <c r="D792" s="76"/>
      <c r="F792" s="231"/>
      <c r="G792" s="76"/>
      <c r="I792" s="231"/>
      <c r="J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14"/>
    </row>
    <row r="793">
      <c r="C793" s="232"/>
      <c r="D793" s="76"/>
      <c r="F793" s="231"/>
      <c r="G793" s="76"/>
      <c r="I793" s="231"/>
      <c r="J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14"/>
    </row>
    <row r="794">
      <c r="C794" s="232"/>
      <c r="D794" s="76"/>
      <c r="F794" s="231"/>
      <c r="G794" s="76"/>
      <c r="I794" s="231"/>
      <c r="J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14"/>
    </row>
    <row r="795">
      <c r="C795" s="232"/>
      <c r="D795" s="76"/>
      <c r="F795" s="231"/>
      <c r="G795" s="76"/>
      <c r="I795" s="231"/>
      <c r="J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14"/>
    </row>
    <row r="796">
      <c r="C796" s="232"/>
      <c r="D796" s="76"/>
      <c r="F796" s="231"/>
      <c r="G796" s="76"/>
      <c r="I796" s="231"/>
      <c r="J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14"/>
    </row>
    <row r="797">
      <c r="C797" s="232"/>
      <c r="D797" s="76"/>
      <c r="F797" s="231"/>
      <c r="G797" s="76"/>
      <c r="I797" s="231"/>
      <c r="J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14"/>
    </row>
    <row r="798">
      <c r="C798" s="232"/>
      <c r="D798" s="76"/>
      <c r="F798" s="231"/>
      <c r="G798" s="76"/>
      <c r="I798" s="231"/>
      <c r="J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14"/>
    </row>
    <row r="799">
      <c r="C799" s="232"/>
      <c r="D799" s="76"/>
      <c r="F799" s="231"/>
      <c r="G799" s="76"/>
      <c r="I799" s="231"/>
      <c r="J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14"/>
    </row>
    <row r="800">
      <c r="C800" s="232"/>
      <c r="D800" s="76"/>
      <c r="F800" s="231"/>
      <c r="G800" s="76"/>
      <c r="I800" s="231"/>
      <c r="J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14"/>
    </row>
    <row r="801">
      <c r="C801" s="232"/>
      <c r="D801" s="76"/>
      <c r="F801" s="231"/>
      <c r="G801" s="76"/>
      <c r="I801" s="231"/>
      <c r="J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14"/>
    </row>
    <row r="802">
      <c r="C802" s="232"/>
      <c r="D802" s="76"/>
      <c r="F802" s="231"/>
      <c r="G802" s="76"/>
      <c r="I802" s="231"/>
      <c r="J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14"/>
    </row>
    <row r="803">
      <c r="C803" s="232"/>
      <c r="D803" s="76"/>
      <c r="F803" s="231"/>
      <c r="G803" s="76"/>
      <c r="I803" s="231"/>
      <c r="J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14"/>
    </row>
    <row r="804">
      <c r="C804" s="232"/>
      <c r="D804" s="76"/>
      <c r="F804" s="231"/>
      <c r="G804" s="76"/>
      <c r="I804" s="231"/>
      <c r="J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14"/>
    </row>
    <row r="805">
      <c r="C805" s="232"/>
      <c r="D805" s="76"/>
      <c r="F805" s="231"/>
      <c r="G805" s="76"/>
      <c r="I805" s="231"/>
      <c r="J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14"/>
    </row>
    <row r="806">
      <c r="C806" s="232"/>
      <c r="D806" s="76"/>
      <c r="F806" s="231"/>
      <c r="G806" s="76"/>
      <c r="I806" s="231"/>
      <c r="J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14"/>
    </row>
    <row r="807">
      <c r="C807" s="232"/>
      <c r="D807" s="76"/>
      <c r="F807" s="231"/>
      <c r="G807" s="76"/>
      <c r="I807" s="231"/>
      <c r="J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14"/>
    </row>
    <row r="808">
      <c r="C808" s="232"/>
      <c r="D808" s="76"/>
      <c r="F808" s="231"/>
      <c r="G808" s="76"/>
      <c r="I808" s="231"/>
      <c r="J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14"/>
    </row>
    <row r="809">
      <c r="C809" s="232"/>
      <c r="D809" s="76"/>
      <c r="F809" s="231"/>
      <c r="G809" s="76"/>
      <c r="I809" s="231"/>
      <c r="J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14"/>
    </row>
    <row r="810">
      <c r="C810" s="232"/>
      <c r="D810" s="76"/>
      <c r="F810" s="231"/>
      <c r="G810" s="76"/>
      <c r="I810" s="231"/>
      <c r="J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14"/>
    </row>
    <row r="811">
      <c r="C811" s="232"/>
      <c r="D811" s="76"/>
      <c r="F811" s="231"/>
      <c r="G811" s="76"/>
      <c r="I811" s="231"/>
      <c r="J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14"/>
    </row>
    <row r="812">
      <c r="C812" s="232"/>
      <c r="D812" s="76"/>
      <c r="F812" s="231"/>
      <c r="G812" s="76"/>
      <c r="I812" s="231"/>
      <c r="J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14"/>
    </row>
    <row r="813">
      <c r="C813" s="232"/>
      <c r="D813" s="76"/>
      <c r="F813" s="231"/>
      <c r="G813" s="76"/>
      <c r="I813" s="231"/>
      <c r="J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14"/>
    </row>
    <row r="814">
      <c r="C814" s="232"/>
      <c r="D814" s="76"/>
      <c r="F814" s="231"/>
      <c r="G814" s="76"/>
      <c r="I814" s="231"/>
      <c r="J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14"/>
    </row>
    <row r="815">
      <c r="C815" s="232"/>
      <c r="D815" s="76"/>
      <c r="F815" s="231"/>
      <c r="G815" s="76"/>
      <c r="I815" s="231"/>
      <c r="J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14"/>
    </row>
    <row r="816">
      <c r="C816" s="232"/>
      <c r="D816" s="76"/>
      <c r="F816" s="231"/>
      <c r="G816" s="76"/>
      <c r="I816" s="231"/>
      <c r="J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14"/>
    </row>
    <row r="817">
      <c r="C817" s="232"/>
      <c r="D817" s="76"/>
      <c r="F817" s="231"/>
      <c r="G817" s="76"/>
      <c r="I817" s="231"/>
      <c r="J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14"/>
    </row>
    <row r="818">
      <c r="C818" s="232"/>
      <c r="D818" s="76"/>
      <c r="F818" s="231"/>
      <c r="G818" s="76"/>
      <c r="I818" s="231"/>
      <c r="J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14"/>
    </row>
    <row r="819">
      <c r="C819" s="232"/>
      <c r="D819" s="76"/>
      <c r="F819" s="231"/>
      <c r="G819" s="76"/>
      <c r="I819" s="231"/>
      <c r="J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14"/>
    </row>
    <row r="820">
      <c r="C820" s="232"/>
      <c r="D820" s="76"/>
      <c r="F820" s="231"/>
      <c r="G820" s="76"/>
      <c r="I820" s="231"/>
      <c r="J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14"/>
    </row>
    <row r="821">
      <c r="C821" s="232"/>
      <c r="D821" s="76"/>
      <c r="F821" s="231"/>
      <c r="G821" s="76"/>
      <c r="I821" s="231"/>
      <c r="J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14"/>
    </row>
    <row r="822">
      <c r="C822" s="232"/>
      <c r="D822" s="76"/>
      <c r="F822" s="231"/>
      <c r="G822" s="76"/>
      <c r="I822" s="231"/>
      <c r="J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14"/>
    </row>
    <row r="823">
      <c r="C823" s="232"/>
      <c r="D823" s="76"/>
      <c r="F823" s="231"/>
      <c r="G823" s="76"/>
      <c r="I823" s="231"/>
      <c r="J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14"/>
    </row>
    <row r="824">
      <c r="C824" s="232"/>
      <c r="D824" s="76"/>
      <c r="F824" s="231"/>
      <c r="G824" s="76"/>
      <c r="I824" s="231"/>
      <c r="J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14"/>
    </row>
    <row r="825">
      <c r="C825" s="232"/>
      <c r="D825" s="76"/>
      <c r="F825" s="231"/>
      <c r="G825" s="76"/>
      <c r="I825" s="231"/>
      <c r="J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14"/>
    </row>
    <row r="826">
      <c r="C826" s="232"/>
      <c r="D826" s="76"/>
      <c r="F826" s="231"/>
      <c r="G826" s="76"/>
      <c r="I826" s="231"/>
      <c r="J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14"/>
    </row>
    <row r="827">
      <c r="C827" s="232"/>
      <c r="D827" s="76"/>
      <c r="F827" s="231"/>
      <c r="G827" s="76"/>
      <c r="I827" s="231"/>
      <c r="J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14"/>
    </row>
    <row r="828">
      <c r="C828" s="232"/>
      <c r="D828" s="76"/>
      <c r="F828" s="231"/>
      <c r="G828" s="76"/>
      <c r="I828" s="231"/>
      <c r="J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14"/>
    </row>
    <row r="829">
      <c r="C829" s="232"/>
      <c r="D829" s="76"/>
      <c r="F829" s="231"/>
      <c r="G829" s="76"/>
      <c r="I829" s="231"/>
      <c r="J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14"/>
    </row>
    <row r="830">
      <c r="C830" s="232"/>
      <c r="D830" s="76"/>
      <c r="F830" s="231"/>
      <c r="G830" s="76"/>
      <c r="I830" s="231"/>
      <c r="J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14"/>
    </row>
    <row r="831">
      <c r="C831" s="232"/>
      <c r="D831" s="76"/>
      <c r="F831" s="231"/>
      <c r="G831" s="76"/>
      <c r="I831" s="231"/>
      <c r="J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14"/>
    </row>
    <row r="832">
      <c r="C832" s="232"/>
      <c r="D832" s="76"/>
      <c r="F832" s="231"/>
      <c r="G832" s="76"/>
      <c r="I832" s="231"/>
      <c r="J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14"/>
    </row>
    <row r="833">
      <c r="C833" s="232"/>
      <c r="D833" s="76"/>
      <c r="F833" s="231"/>
      <c r="G833" s="76"/>
      <c r="I833" s="231"/>
      <c r="J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14"/>
    </row>
    <row r="834">
      <c r="C834" s="232"/>
      <c r="D834" s="76"/>
      <c r="F834" s="231"/>
      <c r="G834" s="76"/>
      <c r="I834" s="231"/>
      <c r="J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14"/>
    </row>
    <row r="835">
      <c r="C835" s="232"/>
      <c r="D835" s="76"/>
      <c r="F835" s="231"/>
      <c r="G835" s="76"/>
      <c r="I835" s="231"/>
      <c r="J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14"/>
    </row>
    <row r="836">
      <c r="C836" s="232"/>
      <c r="D836" s="76"/>
      <c r="F836" s="231"/>
      <c r="G836" s="76"/>
      <c r="I836" s="231"/>
      <c r="J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14"/>
    </row>
    <row r="837">
      <c r="C837" s="232"/>
      <c r="D837" s="76"/>
      <c r="F837" s="231"/>
      <c r="G837" s="76"/>
      <c r="I837" s="231"/>
      <c r="J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14"/>
    </row>
    <row r="838">
      <c r="C838" s="232"/>
      <c r="D838" s="76"/>
      <c r="F838" s="231"/>
      <c r="G838" s="76"/>
      <c r="I838" s="231"/>
      <c r="J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14"/>
    </row>
    <row r="839">
      <c r="C839" s="232"/>
      <c r="D839" s="76"/>
      <c r="F839" s="231"/>
      <c r="G839" s="76"/>
      <c r="I839" s="231"/>
      <c r="J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14"/>
    </row>
    <row r="840">
      <c r="C840" s="232"/>
      <c r="D840" s="76"/>
      <c r="F840" s="231"/>
      <c r="G840" s="76"/>
      <c r="I840" s="231"/>
      <c r="J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14"/>
    </row>
    <row r="841">
      <c r="C841" s="232"/>
      <c r="D841" s="76"/>
      <c r="F841" s="231"/>
      <c r="G841" s="76"/>
      <c r="I841" s="231"/>
      <c r="J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14"/>
    </row>
    <row r="842">
      <c r="C842" s="232"/>
      <c r="D842" s="76"/>
      <c r="F842" s="231"/>
      <c r="G842" s="76"/>
      <c r="I842" s="231"/>
      <c r="J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14"/>
    </row>
    <row r="843">
      <c r="C843" s="232"/>
      <c r="D843" s="76"/>
      <c r="F843" s="231"/>
      <c r="G843" s="76"/>
      <c r="I843" s="231"/>
      <c r="J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14"/>
    </row>
    <row r="844">
      <c r="C844" s="232"/>
      <c r="D844" s="76"/>
      <c r="F844" s="231"/>
      <c r="G844" s="76"/>
      <c r="I844" s="231"/>
      <c r="J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14"/>
    </row>
    <row r="845">
      <c r="C845" s="232"/>
      <c r="D845" s="76"/>
      <c r="F845" s="231"/>
      <c r="G845" s="76"/>
      <c r="I845" s="231"/>
      <c r="J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14"/>
    </row>
    <row r="846">
      <c r="C846" s="232"/>
      <c r="D846" s="76"/>
      <c r="F846" s="231"/>
      <c r="G846" s="76"/>
      <c r="I846" s="231"/>
      <c r="J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14"/>
    </row>
    <row r="847">
      <c r="C847" s="232"/>
      <c r="D847" s="76"/>
      <c r="F847" s="231"/>
      <c r="G847" s="76"/>
      <c r="I847" s="231"/>
      <c r="J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14"/>
    </row>
    <row r="848">
      <c r="C848" s="232"/>
      <c r="D848" s="76"/>
      <c r="F848" s="231"/>
      <c r="G848" s="76"/>
      <c r="I848" s="231"/>
      <c r="J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14"/>
    </row>
    <row r="849">
      <c r="C849" s="232"/>
      <c r="D849" s="76"/>
      <c r="F849" s="231"/>
      <c r="G849" s="76"/>
      <c r="I849" s="231"/>
      <c r="J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14"/>
    </row>
    <row r="850">
      <c r="C850" s="232"/>
      <c r="D850" s="76"/>
      <c r="F850" s="231"/>
      <c r="G850" s="76"/>
      <c r="I850" s="231"/>
      <c r="J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14"/>
    </row>
    <row r="851">
      <c r="C851" s="232"/>
      <c r="D851" s="76"/>
      <c r="F851" s="231"/>
      <c r="G851" s="76"/>
      <c r="I851" s="231"/>
      <c r="J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14"/>
    </row>
    <row r="852">
      <c r="C852" s="232"/>
      <c r="D852" s="76"/>
      <c r="F852" s="231"/>
      <c r="G852" s="76"/>
      <c r="I852" s="231"/>
      <c r="J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14"/>
    </row>
    <row r="853">
      <c r="C853" s="232"/>
      <c r="D853" s="76"/>
      <c r="F853" s="231"/>
      <c r="G853" s="76"/>
      <c r="I853" s="231"/>
      <c r="J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14"/>
    </row>
    <row r="854">
      <c r="C854" s="232"/>
      <c r="D854" s="76"/>
      <c r="F854" s="231"/>
      <c r="G854" s="76"/>
      <c r="I854" s="231"/>
      <c r="J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14"/>
    </row>
    <row r="855">
      <c r="C855" s="232"/>
      <c r="D855" s="76"/>
      <c r="F855" s="231"/>
      <c r="G855" s="76"/>
      <c r="I855" s="231"/>
      <c r="J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14"/>
    </row>
    <row r="856">
      <c r="C856" s="232"/>
      <c r="D856" s="76"/>
      <c r="F856" s="231"/>
      <c r="G856" s="76"/>
      <c r="I856" s="231"/>
      <c r="J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14"/>
    </row>
    <row r="857">
      <c r="C857" s="232"/>
      <c r="D857" s="76"/>
      <c r="F857" s="231"/>
      <c r="G857" s="76"/>
      <c r="I857" s="231"/>
      <c r="J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14"/>
    </row>
    <row r="858">
      <c r="C858" s="232"/>
      <c r="D858" s="76"/>
      <c r="F858" s="231"/>
      <c r="G858" s="76"/>
      <c r="I858" s="231"/>
      <c r="J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14"/>
    </row>
    <row r="859">
      <c r="C859" s="232"/>
      <c r="D859" s="76"/>
      <c r="F859" s="231"/>
      <c r="G859" s="76"/>
      <c r="I859" s="231"/>
      <c r="J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14"/>
    </row>
    <row r="860">
      <c r="C860" s="232"/>
      <c r="D860" s="76"/>
      <c r="F860" s="231"/>
      <c r="G860" s="76"/>
      <c r="I860" s="231"/>
      <c r="J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14"/>
    </row>
    <row r="861">
      <c r="C861" s="232"/>
      <c r="D861" s="76"/>
      <c r="F861" s="231"/>
      <c r="G861" s="76"/>
      <c r="I861" s="231"/>
      <c r="J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14"/>
    </row>
    <row r="862">
      <c r="C862" s="232"/>
      <c r="D862" s="76"/>
      <c r="F862" s="231"/>
      <c r="G862" s="76"/>
      <c r="I862" s="231"/>
      <c r="J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14"/>
    </row>
    <row r="863">
      <c r="C863" s="232"/>
      <c r="D863" s="76"/>
      <c r="F863" s="231"/>
      <c r="G863" s="76"/>
      <c r="I863" s="231"/>
      <c r="J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14"/>
    </row>
    <row r="864">
      <c r="C864" s="232"/>
      <c r="D864" s="76"/>
      <c r="F864" s="231"/>
      <c r="G864" s="76"/>
      <c r="I864" s="231"/>
      <c r="J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14"/>
    </row>
    <row r="865">
      <c r="C865" s="232"/>
      <c r="D865" s="76"/>
      <c r="F865" s="231"/>
      <c r="G865" s="76"/>
      <c r="I865" s="231"/>
      <c r="J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14"/>
    </row>
    <row r="866">
      <c r="C866" s="232"/>
      <c r="D866" s="76"/>
      <c r="F866" s="231"/>
      <c r="G866" s="76"/>
      <c r="I866" s="231"/>
      <c r="J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14"/>
    </row>
    <row r="867">
      <c r="C867" s="232"/>
      <c r="D867" s="76"/>
      <c r="F867" s="231"/>
      <c r="G867" s="76"/>
      <c r="I867" s="231"/>
      <c r="J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14"/>
    </row>
    <row r="868">
      <c r="C868" s="232"/>
      <c r="D868" s="76"/>
      <c r="F868" s="231"/>
      <c r="G868" s="76"/>
      <c r="I868" s="231"/>
      <c r="J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14"/>
    </row>
    <row r="869">
      <c r="C869" s="232"/>
      <c r="D869" s="76"/>
      <c r="F869" s="231"/>
      <c r="G869" s="76"/>
      <c r="I869" s="231"/>
      <c r="J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14"/>
    </row>
    <row r="870">
      <c r="C870" s="232"/>
      <c r="D870" s="76"/>
      <c r="F870" s="231"/>
      <c r="G870" s="76"/>
      <c r="I870" s="231"/>
      <c r="J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14"/>
    </row>
    <row r="871">
      <c r="C871" s="232"/>
      <c r="D871" s="76"/>
      <c r="F871" s="231"/>
      <c r="G871" s="76"/>
      <c r="I871" s="231"/>
      <c r="J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14"/>
    </row>
    <row r="872">
      <c r="C872" s="232"/>
      <c r="D872" s="76"/>
      <c r="F872" s="231"/>
      <c r="G872" s="76"/>
      <c r="I872" s="231"/>
      <c r="J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14"/>
    </row>
    <row r="873">
      <c r="C873" s="232"/>
      <c r="D873" s="76"/>
      <c r="F873" s="231"/>
      <c r="G873" s="76"/>
      <c r="I873" s="231"/>
      <c r="J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14"/>
    </row>
    <row r="874">
      <c r="C874" s="232"/>
      <c r="D874" s="76"/>
      <c r="F874" s="231"/>
      <c r="G874" s="76"/>
      <c r="I874" s="231"/>
      <c r="J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14"/>
    </row>
    <row r="875">
      <c r="C875" s="232"/>
      <c r="D875" s="76"/>
      <c r="F875" s="231"/>
      <c r="G875" s="76"/>
      <c r="I875" s="231"/>
      <c r="J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14"/>
    </row>
    <row r="876">
      <c r="C876" s="232"/>
      <c r="D876" s="76"/>
      <c r="F876" s="231"/>
      <c r="G876" s="76"/>
      <c r="I876" s="231"/>
      <c r="J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14"/>
    </row>
    <row r="877">
      <c r="C877" s="232"/>
      <c r="D877" s="76"/>
      <c r="F877" s="231"/>
      <c r="G877" s="76"/>
      <c r="I877" s="231"/>
      <c r="J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14"/>
    </row>
    <row r="878">
      <c r="C878" s="232"/>
      <c r="D878" s="76"/>
      <c r="F878" s="231"/>
      <c r="G878" s="76"/>
      <c r="I878" s="231"/>
      <c r="J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14"/>
    </row>
    <row r="879">
      <c r="C879" s="232"/>
      <c r="D879" s="76"/>
      <c r="F879" s="231"/>
      <c r="G879" s="76"/>
      <c r="I879" s="231"/>
      <c r="J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14"/>
    </row>
    <row r="880">
      <c r="C880" s="232"/>
      <c r="D880" s="76"/>
      <c r="F880" s="231"/>
      <c r="G880" s="76"/>
      <c r="I880" s="231"/>
      <c r="J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14"/>
    </row>
    <row r="881">
      <c r="C881" s="232"/>
      <c r="D881" s="76"/>
      <c r="F881" s="231"/>
      <c r="G881" s="76"/>
      <c r="I881" s="231"/>
      <c r="J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14"/>
    </row>
    <row r="882">
      <c r="C882" s="232"/>
      <c r="D882" s="76"/>
      <c r="F882" s="231"/>
      <c r="G882" s="76"/>
      <c r="I882" s="231"/>
      <c r="J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14"/>
    </row>
    <row r="883">
      <c r="C883" s="232"/>
      <c r="D883" s="76"/>
      <c r="F883" s="231"/>
      <c r="G883" s="76"/>
      <c r="I883" s="231"/>
      <c r="J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14"/>
    </row>
    <row r="884">
      <c r="C884" s="232"/>
      <c r="D884" s="76"/>
      <c r="F884" s="231"/>
      <c r="G884" s="76"/>
      <c r="I884" s="231"/>
      <c r="J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14"/>
    </row>
    <row r="885">
      <c r="C885" s="232"/>
      <c r="D885" s="76"/>
      <c r="F885" s="231"/>
      <c r="G885" s="76"/>
      <c r="I885" s="231"/>
      <c r="J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14"/>
    </row>
    <row r="886">
      <c r="C886" s="232"/>
      <c r="D886" s="76"/>
      <c r="F886" s="231"/>
      <c r="G886" s="76"/>
      <c r="I886" s="231"/>
      <c r="J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14"/>
    </row>
    <row r="887">
      <c r="C887" s="232"/>
      <c r="D887" s="76"/>
      <c r="F887" s="231"/>
      <c r="G887" s="76"/>
      <c r="I887" s="231"/>
      <c r="J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14"/>
    </row>
    <row r="888">
      <c r="C888" s="232"/>
      <c r="D888" s="76"/>
      <c r="F888" s="231"/>
      <c r="G888" s="76"/>
      <c r="I888" s="231"/>
      <c r="J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14"/>
    </row>
    <row r="889">
      <c r="C889" s="232"/>
      <c r="D889" s="76"/>
      <c r="F889" s="231"/>
      <c r="G889" s="76"/>
      <c r="I889" s="231"/>
      <c r="J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14"/>
    </row>
    <row r="890">
      <c r="C890" s="232"/>
      <c r="D890" s="76"/>
      <c r="F890" s="231"/>
      <c r="G890" s="76"/>
      <c r="I890" s="231"/>
      <c r="J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14"/>
    </row>
    <row r="891">
      <c r="C891" s="232"/>
      <c r="D891" s="76"/>
      <c r="F891" s="231"/>
      <c r="G891" s="76"/>
      <c r="I891" s="231"/>
      <c r="J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14"/>
    </row>
    <row r="892">
      <c r="C892" s="232"/>
      <c r="D892" s="76"/>
      <c r="F892" s="231"/>
      <c r="G892" s="76"/>
      <c r="I892" s="231"/>
      <c r="J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14"/>
    </row>
    <row r="893">
      <c r="C893" s="232"/>
      <c r="D893" s="76"/>
      <c r="F893" s="231"/>
      <c r="G893" s="76"/>
      <c r="I893" s="231"/>
      <c r="J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14"/>
    </row>
    <row r="894">
      <c r="C894" s="232"/>
      <c r="D894" s="76"/>
      <c r="F894" s="231"/>
      <c r="G894" s="76"/>
      <c r="I894" s="231"/>
      <c r="J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14"/>
    </row>
    <row r="895">
      <c r="C895" s="232"/>
      <c r="D895" s="76"/>
      <c r="F895" s="231"/>
      <c r="G895" s="76"/>
      <c r="I895" s="231"/>
      <c r="J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14"/>
    </row>
    <row r="896">
      <c r="C896" s="232"/>
      <c r="D896" s="76"/>
      <c r="F896" s="231"/>
      <c r="G896" s="76"/>
      <c r="I896" s="231"/>
      <c r="J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14"/>
    </row>
    <row r="897">
      <c r="C897" s="232"/>
      <c r="D897" s="76"/>
      <c r="F897" s="231"/>
      <c r="G897" s="76"/>
      <c r="I897" s="231"/>
      <c r="J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14"/>
    </row>
    <row r="898">
      <c r="C898" s="232"/>
      <c r="D898" s="76"/>
      <c r="F898" s="231"/>
      <c r="G898" s="76"/>
      <c r="I898" s="231"/>
      <c r="J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14"/>
    </row>
    <row r="899">
      <c r="C899" s="232"/>
      <c r="D899" s="76"/>
      <c r="F899" s="231"/>
      <c r="G899" s="76"/>
      <c r="I899" s="231"/>
      <c r="J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14"/>
    </row>
    <row r="900">
      <c r="C900" s="232"/>
      <c r="D900" s="76"/>
      <c r="F900" s="231"/>
      <c r="G900" s="76"/>
      <c r="I900" s="231"/>
      <c r="J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14"/>
    </row>
    <row r="901">
      <c r="C901" s="232"/>
      <c r="D901" s="76"/>
      <c r="F901" s="231"/>
      <c r="G901" s="76"/>
      <c r="I901" s="231"/>
      <c r="J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14"/>
    </row>
    <row r="902">
      <c r="C902" s="232"/>
      <c r="D902" s="76"/>
      <c r="F902" s="231"/>
      <c r="G902" s="76"/>
      <c r="I902" s="231"/>
      <c r="J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14"/>
    </row>
    <row r="903">
      <c r="C903" s="232"/>
      <c r="D903" s="76"/>
      <c r="F903" s="231"/>
      <c r="G903" s="76"/>
      <c r="I903" s="231"/>
      <c r="J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14"/>
    </row>
    <row r="904">
      <c r="C904" s="232"/>
      <c r="D904" s="76"/>
      <c r="F904" s="231"/>
      <c r="G904" s="76"/>
      <c r="I904" s="231"/>
      <c r="J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14"/>
    </row>
    <row r="905">
      <c r="C905" s="232"/>
      <c r="D905" s="76"/>
      <c r="F905" s="231"/>
      <c r="G905" s="76"/>
      <c r="I905" s="231"/>
      <c r="J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14"/>
    </row>
    <row r="906">
      <c r="C906" s="232"/>
      <c r="D906" s="76"/>
      <c r="F906" s="231"/>
      <c r="G906" s="76"/>
      <c r="I906" s="231"/>
      <c r="J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14"/>
    </row>
    <row r="907">
      <c r="C907" s="232"/>
      <c r="D907" s="76"/>
      <c r="F907" s="231"/>
      <c r="G907" s="76"/>
      <c r="I907" s="231"/>
      <c r="J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14"/>
    </row>
    <row r="908">
      <c r="C908" s="232"/>
      <c r="D908" s="76"/>
      <c r="F908" s="231"/>
      <c r="G908" s="76"/>
      <c r="I908" s="231"/>
      <c r="J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14"/>
    </row>
    <row r="909">
      <c r="C909" s="232"/>
      <c r="D909" s="76"/>
      <c r="F909" s="231"/>
      <c r="G909" s="76"/>
      <c r="I909" s="231"/>
      <c r="J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14"/>
    </row>
    <row r="910">
      <c r="C910" s="232"/>
      <c r="D910" s="76"/>
      <c r="F910" s="231"/>
      <c r="G910" s="76"/>
      <c r="I910" s="231"/>
      <c r="J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14"/>
    </row>
    <row r="911">
      <c r="C911" s="232"/>
      <c r="D911" s="76"/>
      <c r="F911" s="231"/>
      <c r="G911" s="76"/>
      <c r="I911" s="231"/>
      <c r="J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14"/>
    </row>
    <row r="912">
      <c r="C912" s="232"/>
      <c r="D912" s="76"/>
      <c r="F912" s="231"/>
      <c r="G912" s="76"/>
      <c r="I912" s="231"/>
      <c r="J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14"/>
    </row>
    <row r="913">
      <c r="C913" s="232"/>
      <c r="D913" s="76"/>
      <c r="F913" s="231"/>
      <c r="G913" s="76"/>
      <c r="I913" s="231"/>
      <c r="J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14"/>
    </row>
    <row r="914">
      <c r="C914" s="232"/>
      <c r="D914" s="76"/>
      <c r="F914" s="231"/>
      <c r="G914" s="76"/>
      <c r="I914" s="231"/>
      <c r="J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14"/>
    </row>
    <row r="915">
      <c r="C915" s="232"/>
      <c r="D915" s="76"/>
      <c r="F915" s="231"/>
      <c r="G915" s="76"/>
      <c r="I915" s="231"/>
      <c r="J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14"/>
    </row>
    <row r="916">
      <c r="C916" s="232"/>
      <c r="D916" s="76"/>
      <c r="F916" s="231"/>
      <c r="G916" s="76"/>
      <c r="I916" s="231"/>
      <c r="J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14"/>
    </row>
    <row r="917">
      <c r="C917" s="232"/>
      <c r="D917" s="76"/>
      <c r="F917" s="231"/>
      <c r="G917" s="76"/>
      <c r="I917" s="231"/>
      <c r="J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14"/>
    </row>
    <row r="918">
      <c r="C918" s="232"/>
      <c r="D918" s="76"/>
      <c r="F918" s="231"/>
      <c r="G918" s="76"/>
      <c r="I918" s="231"/>
      <c r="J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14"/>
    </row>
    <row r="919">
      <c r="C919" s="232"/>
      <c r="D919" s="76"/>
      <c r="F919" s="231"/>
      <c r="G919" s="76"/>
      <c r="I919" s="231"/>
      <c r="J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14"/>
    </row>
    <row r="920">
      <c r="C920" s="232"/>
      <c r="D920" s="76"/>
      <c r="F920" s="231"/>
      <c r="G920" s="76"/>
      <c r="I920" s="231"/>
      <c r="J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14"/>
    </row>
    <row r="921">
      <c r="C921" s="232"/>
      <c r="D921" s="76"/>
      <c r="F921" s="231"/>
      <c r="G921" s="76"/>
      <c r="I921" s="231"/>
      <c r="J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14"/>
    </row>
    <row r="922">
      <c r="C922" s="232"/>
      <c r="D922" s="76"/>
      <c r="F922" s="231"/>
      <c r="G922" s="76"/>
      <c r="I922" s="231"/>
      <c r="J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14"/>
    </row>
    <row r="923">
      <c r="C923" s="232"/>
      <c r="D923" s="76"/>
      <c r="F923" s="231"/>
      <c r="G923" s="76"/>
      <c r="I923" s="231"/>
      <c r="J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14"/>
    </row>
    <row r="924">
      <c r="C924" s="232"/>
      <c r="D924" s="76"/>
      <c r="F924" s="231"/>
      <c r="G924" s="76"/>
      <c r="I924" s="231"/>
      <c r="J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14"/>
    </row>
    <row r="925">
      <c r="C925" s="232"/>
      <c r="D925" s="76"/>
      <c r="F925" s="231"/>
      <c r="G925" s="76"/>
      <c r="I925" s="231"/>
      <c r="J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14"/>
    </row>
    <row r="926">
      <c r="C926" s="232"/>
      <c r="D926" s="76"/>
      <c r="F926" s="231"/>
      <c r="G926" s="76"/>
      <c r="I926" s="231"/>
      <c r="J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14"/>
    </row>
    <row r="927">
      <c r="C927" s="232"/>
      <c r="D927" s="76"/>
      <c r="F927" s="231"/>
      <c r="G927" s="76"/>
      <c r="I927" s="231"/>
      <c r="J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14"/>
    </row>
    <row r="928">
      <c r="C928" s="232"/>
      <c r="D928" s="76"/>
      <c r="F928" s="231"/>
      <c r="G928" s="76"/>
      <c r="I928" s="231"/>
      <c r="J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14"/>
    </row>
    <row r="929">
      <c r="C929" s="232"/>
      <c r="D929" s="76"/>
      <c r="F929" s="231"/>
      <c r="G929" s="76"/>
      <c r="I929" s="231"/>
      <c r="J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14"/>
    </row>
    <row r="930">
      <c r="C930" s="232"/>
      <c r="D930" s="76"/>
      <c r="F930" s="231"/>
      <c r="G930" s="76"/>
      <c r="I930" s="231"/>
      <c r="J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14"/>
    </row>
    <row r="931">
      <c r="C931" s="232"/>
      <c r="D931" s="76"/>
      <c r="F931" s="231"/>
      <c r="G931" s="76"/>
      <c r="I931" s="231"/>
      <c r="J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14"/>
    </row>
    <row r="932">
      <c r="C932" s="232"/>
      <c r="D932" s="76"/>
      <c r="F932" s="231"/>
      <c r="G932" s="76"/>
      <c r="I932" s="231"/>
      <c r="J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14"/>
    </row>
    <row r="933">
      <c r="C933" s="232"/>
      <c r="D933" s="76"/>
      <c r="F933" s="231"/>
      <c r="G933" s="76"/>
      <c r="I933" s="231"/>
      <c r="J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14"/>
    </row>
    <row r="934">
      <c r="C934" s="232"/>
      <c r="D934" s="76"/>
      <c r="F934" s="231"/>
      <c r="G934" s="76"/>
      <c r="I934" s="231"/>
      <c r="J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14"/>
    </row>
    <row r="935">
      <c r="C935" s="232"/>
      <c r="D935" s="76"/>
      <c r="F935" s="231"/>
      <c r="G935" s="76"/>
      <c r="I935" s="231"/>
      <c r="J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14"/>
    </row>
    <row r="936">
      <c r="C936" s="232"/>
      <c r="D936" s="76"/>
      <c r="F936" s="231"/>
      <c r="G936" s="76"/>
      <c r="I936" s="231"/>
      <c r="J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14"/>
    </row>
    <row r="937">
      <c r="C937" s="232"/>
      <c r="D937" s="76"/>
      <c r="F937" s="231"/>
      <c r="G937" s="76"/>
      <c r="I937" s="231"/>
      <c r="J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14"/>
    </row>
    <row r="938">
      <c r="C938" s="232"/>
      <c r="D938" s="76"/>
      <c r="F938" s="231"/>
      <c r="G938" s="76"/>
      <c r="I938" s="231"/>
      <c r="J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14"/>
    </row>
    <row r="939">
      <c r="C939" s="232"/>
      <c r="D939" s="76"/>
      <c r="F939" s="231"/>
      <c r="G939" s="76"/>
      <c r="I939" s="231"/>
      <c r="J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14"/>
    </row>
    <row r="940">
      <c r="C940" s="232"/>
      <c r="D940" s="76"/>
      <c r="F940" s="231"/>
      <c r="G940" s="76"/>
      <c r="I940" s="231"/>
      <c r="J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14"/>
    </row>
    <row r="941">
      <c r="C941" s="232"/>
      <c r="D941" s="76"/>
      <c r="F941" s="231"/>
      <c r="G941" s="76"/>
      <c r="I941" s="231"/>
      <c r="J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14"/>
    </row>
    <row r="942">
      <c r="C942" s="232"/>
      <c r="D942" s="76"/>
      <c r="F942" s="231"/>
      <c r="G942" s="76"/>
      <c r="I942" s="231"/>
      <c r="J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14"/>
    </row>
    <row r="943">
      <c r="C943" s="232"/>
      <c r="D943" s="76"/>
      <c r="F943" s="231"/>
      <c r="G943" s="76"/>
      <c r="I943" s="231"/>
      <c r="J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14"/>
    </row>
    <row r="944">
      <c r="C944" s="232"/>
      <c r="D944" s="76"/>
      <c r="F944" s="231"/>
      <c r="G944" s="76"/>
      <c r="I944" s="231"/>
      <c r="J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14"/>
    </row>
    <row r="945">
      <c r="C945" s="232"/>
      <c r="D945" s="76"/>
      <c r="F945" s="231"/>
      <c r="G945" s="76"/>
      <c r="I945" s="231"/>
      <c r="J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14"/>
    </row>
    <row r="946">
      <c r="C946" s="232"/>
      <c r="D946" s="76"/>
      <c r="F946" s="231"/>
      <c r="G946" s="76"/>
      <c r="I946" s="231"/>
      <c r="J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14"/>
    </row>
    <row r="947">
      <c r="C947" s="232"/>
      <c r="D947" s="76"/>
      <c r="F947" s="231"/>
      <c r="G947" s="76"/>
      <c r="I947" s="231"/>
      <c r="J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14"/>
    </row>
    <row r="948">
      <c r="C948" s="232"/>
      <c r="D948" s="76"/>
      <c r="F948" s="231"/>
      <c r="G948" s="76"/>
      <c r="I948" s="231"/>
      <c r="J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14"/>
    </row>
    <row r="949">
      <c r="C949" s="232"/>
      <c r="D949" s="76"/>
      <c r="F949" s="231"/>
      <c r="G949" s="76"/>
      <c r="I949" s="231"/>
      <c r="J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14"/>
    </row>
    <row r="950">
      <c r="C950" s="232"/>
      <c r="D950" s="76"/>
      <c r="F950" s="231"/>
      <c r="G950" s="76"/>
      <c r="I950" s="231"/>
      <c r="J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14"/>
    </row>
    <row r="951">
      <c r="C951" s="232"/>
      <c r="D951" s="76"/>
      <c r="F951" s="231"/>
      <c r="G951" s="76"/>
      <c r="I951" s="231"/>
      <c r="J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14"/>
    </row>
    <row r="952">
      <c r="C952" s="232"/>
      <c r="D952" s="76"/>
      <c r="F952" s="231"/>
      <c r="G952" s="76"/>
      <c r="I952" s="231"/>
      <c r="J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14"/>
    </row>
    <row r="953">
      <c r="C953" s="232"/>
      <c r="D953" s="76"/>
      <c r="F953" s="231"/>
      <c r="G953" s="76"/>
      <c r="I953" s="231"/>
      <c r="J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14"/>
    </row>
    <row r="954">
      <c r="C954" s="232"/>
      <c r="D954" s="76"/>
      <c r="F954" s="231"/>
      <c r="G954" s="76"/>
      <c r="I954" s="231"/>
      <c r="J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14"/>
    </row>
    <row r="955">
      <c r="C955" s="232"/>
      <c r="D955" s="76"/>
      <c r="F955" s="231"/>
      <c r="G955" s="76"/>
      <c r="I955" s="231"/>
      <c r="J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14"/>
    </row>
    <row r="956">
      <c r="C956" s="232"/>
      <c r="D956" s="76"/>
      <c r="F956" s="231"/>
      <c r="G956" s="76"/>
      <c r="I956" s="231"/>
      <c r="J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14"/>
    </row>
    <row r="957">
      <c r="C957" s="232"/>
      <c r="D957" s="76"/>
      <c r="F957" s="231"/>
      <c r="G957" s="76"/>
      <c r="I957" s="231"/>
      <c r="J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14"/>
    </row>
    <row r="958">
      <c r="C958" s="232"/>
      <c r="D958" s="76"/>
      <c r="F958" s="231"/>
      <c r="G958" s="76"/>
      <c r="I958" s="231"/>
      <c r="J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14"/>
    </row>
    <row r="959">
      <c r="C959" s="232"/>
      <c r="D959" s="76"/>
      <c r="F959" s="231"/>
      <c r="G959" s="76"/>
      <c r="I959" s="231"/>
      <c r="J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14"/>
    </row>
    <row r="960">
      <c r="C960" s="232"/>
      <c r="D960" s="76"/>
      <c r="F960" s="231"/>
      <c r="G960" s="76"/>
      <c r="I960" s="231"/>
      <c r="J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14"/>
    </row>
    <row r="961">
      <c r="C961" s="232"/>
      <c r="D961" s="76"/>
      <c r="F961" s="231"/>
      <c r="G961" s="76"/>
      <c r="I961" s="231"/>
      <c r="J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14"/>
    </row>
    <row r="962">
      <c r="C962" s="232"/>
      <c r="D962" s="76"/>
      <c r="F962" s="231"/>
      <c r="G962" s="76"/>
      <c r="I962" s="231"/>
      <c r="J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14"/>
    </row>
    <row r="963">
      <c r="C963" s="232"/>
      <c r="D963" s="76"/>
      <c r="F963" s="231"/>
      <c r="G963" s="76"/>
      <c r="I963" s="231"/>
      <c r="J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14"/>
    </row>
    <row r="964">
      <c r="C964" s="232"/>
      <c r="D964" s="76"/>
      <c r="F964" s="231"/>
      <c r="G964" s="76"/>
      <c r="I964" s="231"/>
      <c r="J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14"/>
    </row>
    <row r="965">
      <c r="C965" s="232"/>
      <c r="D965" s="76"/>
      <c r="F965" s="231"/>
      <c r="G965" s="76"/>
      <c r="I965" s="231"/>
      <c r="J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14"/>
    </row>
    <row r="966">
      <c r="C966" s="232"/>
      <c r="D966" s="76"/>
      <c r="F966" s="231"/>
      <c r="G966" s="76"/>
      <c r="I966" s="231"/>
      <c r="J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14"/>
    </row>
    <row r="967">
      <c r="C967" s="232"/>
      <c r="D967" s="76"/>
      <c r="F967" s="231"/>
      <c r="G967" s="76"/>
      <c r="I967" s="231"/>
      <c r="J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14"/>
    </row>
    <row r="968">
      <c r="C968" s="232"/>
      <c r="D968" s="76"/>
      <c r="F968" s="231"/>
      <c r="G968" s="76"/>
      <c r="I968" s="231"/>
      <c r="J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14"/>
    </row>
    <row r="969">
      <c r="C969" s="232"/>
      <c r="D969" s="76"/>
      <c r="F969" s="231"/>
      <c r="G969" s="76"/>
      <c r="I969" s="231"/>
      <c r="J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14"/>
    </row>
    <row r="970">
      <c r="C970" s="232"/>
      <c r="D970" s="76"/>
      <c r="F970" s="231"/>
      <c r="G970" s="76"/>
      <c r="I970" s="231"/>
      <c r="J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14"/>
    </row>
    <row r="971">
      <c r="C971" s="232"/>
      <c r="D971" s="76"/>
      <c r="F971" s="231"/>
      <c r="G971" s="76"/>
      <c r="I971" s="231"/>
      <c r="J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14"/>
    </row>
    <row r="972">
      <c r="C972" s="232"/>
      <c r="D972" s="76"/>
      <c r="F972" s="231"/>
      <c r="G972" s="76"/>
      <c r="I972" s="231"/>
      <c r="J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14"/>
    </row>
    <row r="973">
      <c r="C973" s="232"/>
      <c r="D973" s="76"/>
      <c r="F973" s="231"/>
      <c r="G973" s="76"/>
      <c r="I973" s="231"/>
      <c r="J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14"/>
    </row>
    <row r="974">
      <c r="C974" s="232"/>
      <c r="D974" s="76"/>
      <c r="F974" s="231"/>
      <c r="G974" s="76"/>
      <c r="I974" s="231"/>
      <c r="J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14"/>
    </row>
    <row r="975">
      <c r="C975" s="232"/>
      <c r="D975" s="76"/>
      <c r="F975" s="231"/>
      <c r="G975" s="76"/>
      <c r="I975" s="231"/>
      <c r="J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14"/>
    </row>
  </sheetData>
  <mergeCells count="23">
    <mergeCell ref="S1:U1"/>
    <mergeCell ref="X1:AD1"/>
    <mergeCell ref="X2:AD2"/>
    <mergeCell ref="O1:Q1"/>
    <mergeCell ref="K1:M1"/>
    <mergeCell ref="D2:G2"/>
    <mergeCell ref="D3:H3"/>
    <mergeCell ref="D1:F1"/>
    <mergeCell ref="G1:I1"/>
    <mergeCell ref="K3:L3"/>
    <mergeCell ref="X5:X6"/>
    <mergeCell ref="X10:X12"/>
    <mergeCell ref="X22:X23"/>
    <mergeCell ref="Z20:AA20"/>
    <mergeCell ref="X19:AD19"/>
    <mergeCell ref="O3:P3"/>
    <mergeCell ref="S3:T3"/>
    <mergeCell ref="Z15:AA15"/>
    <mergeCell ref="X14:AD14"/>
    <mergeCell ref="Z3:AA3"/>
    <mergeCell ref="Z8:AB8"/>
    <mergeCell ref="X17:X18"/>
    <mergeCell ref="X7:AD7"/>
  </mergeCells>
  <conditionalFormatting sqref="F5:F557 I5:I557">
    <cfRule type="containsBlanks" dxfId="0" priority="1">
      <formula>LEN(TRIM(F5))=0</formula>
    </cfRule>
  </conditionalFormatting>
  <conditionalFormatting sqref="E5:E557 H5:H557 L5:L120 L122:L557">
    <cfRule type="notContainsBlanks" dxfId="1" priority="2">
      <formula>LEN(TRIM(E5))&gt;0</formula>
    </cfRule>
  </conditionalFormatting>
  <conditionalFormatting sqref="F5:F563 I5:I563 M5:M120 N5:N563 P5:U563 M122:M563">
    <cfRule type="containsText" dxfId="2" priority="3" operator="containsText" text="NO">
      <formula>NOT(ISERROR(SEARCH(("NO"),(F5))))</formula>
    </cfRule>
  </conditionalFormatting>
  <conditionalFormatting sqref="F5:F563 I5:I563 M5:M120 N5:N563 P5:U563 M122:M563">
    <cfRule type="containsText" dxfId="1" priority="4" operator="containsText" text="YES">
      <formula>NOT(ISERROR(SEARCH(("YES"),(F5))))</formula>
    </cfRule>
  </conditionalFormatting>
  <hyperlinks>
    <hyperlink r:id="rId1" ref="C5"/>
    <hyperlink r:id="rId2" ref="C6"/>
    <hyperlink r:id="rId3" ref="C7"/>
    <hyperlink r:id="rId4" ref="C8"/>
    <hyperlink r:id="rId5" ref="C9"/>
    <hyperlink r:id="rId6" ref="C10"/>
    <hyperlink r:id="rId7" ref="C11"/>
    <hyperlink r:id="rId8" ref="C12"/>
    <hyperlink r:id="rId9" ref="C13"/>
    <hyperlink r:id="rId10" ref="C14"/>
    <hyperlink r:id="rId11" ref="C15"/>
    <hyperlink r:id="rId12" ref="C16"/>
    <hyperlink r:id="rId13" ref="C17"/>
    <hyperlink r:id="rId14" ref="C18"/>
    <hyperlink r:id="rId15" ref="C19"/>
    <hyperlink r:id="rId16" ref="C20"/>
    <hyperlink r:id="rId17" ref="C21"/>
    <hyperlink r:id="rId18" ref="C22"/>
    <hyperlink r:id="rId19" ref="C23"/>
    <hyperlink r:id="rId20" ref="C24"/>
    <hyperlink r:id="rId21" ref="C25"/>
    <hyperlink r:id="rId22" ref="C26"/>
    <hyperlink r:id="rId23" ref="C27"/>
    <hyperlink r:id="rId24" ref="C28"/>
    <hyperlink r:id="rId25" ref="C29"/>
    <hyperlink r:id="rId26" ref="C30"/>
    <hyperlink r:id="rId27" ref="C31"/>
    <hyperlink r:id="rId28" ref="C32"/>
    <hyperlink r:id="rId29" ref="C33"/>
    <hyperlink r:id="rId30" ref="C34"/>
    <hyperlink r:id="rId31" ref="C35"/>
    <hyperlink r:id="rId32" ref="C36"/>
    <hyperlink r:id="rId33" ref="C37"/>
    <hyperlink r:id="rId34" ref="C38"/>
    <hyperlink r:id="rId35" ref="C39"/>
    <hyperlink r:id="rId36" ref="C40"/>
    <hyperlink r:id="rId37" ref="C41"/>
    <hyperlink r:id="rId38" ref="C42"/>
    <hyperlink r:id="rId39" ref="C43"/>
    <hyperlink r:id="rId40" ref="C44"/>
    <hyperlink r:id="rId41" ref="C45"/>
    <hyperlink r:id="rId42" ref="C46"/>
    <hyperlink r:id="rId43" ref="C47"/>
    <hyperlink r:id="rId44" ref="C48"/>
    <hyperlink r:id="rId45" ref="C49"/>
    <hyperlink r:id="rId46" ref="C50"/>
    <hyperlink r:id="rId47" ref="C51"/>
    <hyperlink r:id="rId48" ref="C52"/>
    <hyperlink r:id="rId49" ref="C53"/>
    <hyperlink r:id="rId50" ref="C54"/>
    <hyperlink r:id="rId51" ref="C55"/>
    <hyperlink r:id="rId52" ref="C56"/>
    <hyperlink r:id="rId53" ref="C57"/>
    <hyperlink r:id="rId54" ref="C58"/>
    <hyperlink r:id="rId55" ref="C59"/>
    <hyperlink r:id="rId56" ref="C60"/>
    <hyperlink r:id="rId57" ref="C61"/>
    <hyperlink r:id="rId58" ref="C62"/>
    <hyperlink r:id="rId59" ref="C63"/>
    <hyperlink r:id="rId60" ref="C64"/>
    <hyperlink r:id="rId61" ref="C65"/>
    <hyperlink r:id="rId62" ref="C66"/>
    <hyperlink r:id="rId63" ref="C67"/>
    <hyperlink r:id="rId64" ref="C68"/>
    <hyperlink r:id="rId65" ref="C69"/>
    <hyperlink r:id="rId66" ref="C70"/>
    <hyperlink r:id="rId67" ref="C71"/>
    <hyperlink r:id="rId68" ref="C72"/>
    <hyperlink r:id="rId69" ref="C73"/>
    <hyperlink r:id="rId70" ref="C74"/>
    <hyperlink r:id="rId71" ref="C75"/>
    <hyperlink r:id="rId72" ref="C76"/>
    <hyperlink r:id="rId73" ref="C77"/>
    <hyperlink r:id="rId74" ref="C78"/>
    <hyperlink r:id="rId75" ref="C79"/>
    <hyperlink r:id="rId76" ref="C80"/>
    <hyperlink r:id="rId77" ref="C81"/>
    <hyperlink r:id="rId78" ref="C82"/>
    <hyperlink r:id="rId79" ref="C83"/>
    <hyperlink r:id="rId80" ref="C84"/>
    <hyperlink r:id="rId81" ref="C85"/>
    <hyperlink r:id="rId82" ref="C86"/>
    <hyperlink r:id="rId83" ref="C87"/>
    <hyperlink r:id="rId84" ref="C88"/>
    <hyperlink r:id="rId85" ref="C89"/>
    <hyperlink r:id="rId86" ref="C90"/>
    <hyperlink r:id="rId87" ref="C91"/>
    <hyperlink r:id="rId88" ref="C92"/>
    <hyperlink r:id="rId89" ref="C93"/>
    <hyperlink r:id="rId90" ref="C94"/>
    <hyperlink r:id="rId91" ref="C95"/>
    <hyperlink r:id="rId92" ref="C96"/>
    <hyperlink r:id="rId93" ref="C97"/>
    <hyperlink r:id="rId94" ref="C98"/>
    <hyperlink r:id="rId95" ref="C99"/>
    <hyperlink r:id="rId96" ref="C100"/>
    <hyperlink r:id="rId97" ref="C101"/>
    <hyperlink r:id="rId98" ref="C102"/>
    <hyperlink r:id="rId99" ref="C103"/>
    <hyperlink r:id="rId100" ref="C104"/>
    <hyperlink r:id="rId101" ref="C105"/>
    <hyperlink r:id="rId102" ref="C106"/>
    <hyperlink r:id="rId103" ref="C107"/>
    <hyperlink r:id="rId104" ref="C108"/>
    <hyperlink r:id="rId105" ref="C109"/>
    <hyperlink r:id="rId106" ref="C110"/>
    <hyperlink r:id="rId107" ref="C111"/>
    <hyperlink r:id="rId108" ref="C112"/>
    <hyperlink r:id="rId109" ref="C113"/>
    <hyperlink r:id="rId110" ref="C114"/>
    <hyperlink r:id="rId111" ref="C115"/>
    <hyperlink r:id="rId112" ref="C116"/>
    <hyperlink r:id="rId113" ref="C117"/>
    <hyperlink r:id="rId114" ref="C118"/>
    <hyperlink r:id="rId115" ref="C119"/>
    <hyperlink r:id="rId116" ref="C120"/>
    <hyperlink r:id="rId117" ref="C121"/>
    <hyperlink r:id="rId118" ref="C122"/>
    <hyperlink r:id="rId119" ref="C123"/>
    <hyperlink r:id="rId120" ref="C124"/>
    <hyperlink r:id="rId121" ref="C125"/>
    <hyperlink r:id="rId122" ref="C126"/>
    <hyperlink r:id="rId123" ref="C127"/>
    <hyperlink r:id="rId124" ref="C128"/>
    <hyperlink r:id="rId125" ref="C129"/>
    <hyperlink r:id="rId126" ref="C130"/>
    <hyperlink r:id="rId127" ref="C131"/>
    <hyperlink r:id="rId128" ref="C132"/>
    <hyperlink r:id="rId129" ref="C133"/>
    <hyperlink r:id="rId130" ref="C134"/>
    <hyperlink r:id="rId131" ref="C135"/>
    <hyperlink r:id="rId132" ref="C136"/>
    <hyperlink r:id="rId133" ref="C137"/>
    <hyperlink r:id="rId134" ref="C138"/>
    <hyperlink r:id="rId135" ref="C139"/>
    <hyperlink r:id="rId136" ref="C140"/>
    <hyperlink r:id="rId137" ref="C141"/>
    <hyperlink r:id="rId138" ref="C142"/>
    <hyperlink r:id="rId139" ref="C143"/>
    <hyperlink r:id="rId140" ref="C144"/>
    <hyperlink r:id="rId141" ref="C145"/>
    <hyperlink r:id="rId142" ref="C146"/>
    <hyperlink r:id="rId143" ref="C147"/>
    <hyperlink r:id="rId144" ref="C148"/>
    <hyperlink r:id="rId145" ref="C149"/>
    <hyperlink r:id="rId146" ref="C150"/>
    <hyperlink r:id="rId147" ref="C151"/>
    <hyperlink r:id="rId148" ref="C152"/>
    <hyperlink r:id="rId149" ref="C153"/>
    <hyperlink r:id="rId150" ref="C154"/>
    <hyperlink r:id="rId151" ref="C155"/>
    <hyperlink r:id="rId152" ref="C156"/>
    <hyperlink r:id="rId153" ref="C157"/>
    <hyperlink r:id="rId154" ref="C158"/>
    <hyperlink r:id="rId155" ref="C159"/>
    <hyperlink r:id="rId156" ref="C160"/>
    <hyperlink r:id="rId157" ref="C161"/>
    <hyperlink r:id="rId158" ref="C162"/>
    <hyperlink r:id="rId159" ref="C163"/>
    <hyperlink r:id="rId160" ref="C164"/>
    <hyperlink r:id="rId161" ref="C165"/>
    <hyperlink r:id="rId162" ref="C166"/>
    <hyperlink r:id="rId163" ref="C167"/>
    <hyperlink r:id="rId164" ref="C168"/>
    <hyperlink r:id="rId165" ref="C169"/>
    <hyperlink r:id="rId166" ref="C170"/>
    <hyperlink r:id="rId167" ref="C171"/>
    <hyperlink r:id="rId168" ref="C172"/>
    <hyperlink r:id="rId169" ref="C173"/>
    <hyperlink r:id="rId170" ref="C174"/>
    <hyperlink r:id="rId171" ref="C175"/>
    <hyperlink r:id="rId172" ref="C176"/>
    <hyperlink r:id="rId173" ref="C177"/>
    <hyperlink r:id="rId174" ref="C178"/>
    <hyperlink r:id="rId175" ref="C179"/>
    <hyperlink r:id="rId176" ref="C180"/>
    <hyperlink r:id="rId177" ref="C181"/>
    <hyperlink r:id="rId178" ref="C182"/>
    <hyperlink r:id="rId179" ref="C183"/>
    <hyperlink r:id="rId180" ref="C184"/>
    <hyperlink r:id="rId181" ref="C185"/>
    <hyperlink r:id="rId182" ref="C186"/>
    <hyperlink r:id="rId183" ref="C187"/>
    <hyperlink r:id="rId184" ref="C188"/>
    <hyperlink r:id="rId185" ref="C189"/>
    <hyperlink r:id="rId186" ref="C190"/>
    <hyperlink r:id="rId187" location="v=onepage&amp;q=Introducing%20GitHub%20-%20A%20Non-Technical%20Guide&amp;f=false" ref="C191"/>
    <hyperlink r:id="rId188" ref="C192"/>
    <hyperlink r:id="rId189" ref="C193"/>
    <hyperlink r:id="rId190" ref="C194"/>
    <hyperlink r:id="rId191" ref="C195"/>
    <hyperlink r:id="rId192" ref="C196"/>
    <hyperlink r:id="rId193" ref="C197"/>
    <hyperlink r:id="rId194" ref="C198"/>
    <hyperlink r:id="rId195" ref="C199"/>
    <hyperlink r:id="rId196" ref="C200"/>
    <hyperlink r:id="rId197" ref="C201"/>
    <hyperlink r:id="rId198" ref="C202"/>
    <hyperlink r:id="rId199" ref="C203"/>
    <hyperlink r:id="rId200" ref="C204"/>
    <hyperlink r:id="rId201" ref="C205"/>
    <hyperlink r:id="rId202" ref="C206"/>
    <hyperlink r:id="rId203" ref="C207"/>
    <hyperlink r:id="rId204" ref="C208"/>
    <hyperlink r:id="rId205" ref="C209"/>
    <hyperlink r:id="rId206" ref="C210"/>
    <hyperlink r:id="rId207" ref="C211"/>
    <hyperlink r:id="rId208" ref="C212"/>
    <hyperlink r:id="rId209" ref="C213"/>
    <hyperlink r:id="rId210" ref="C214"/>
    <hyperlink r:id="rId211" ref="C215"/>
    <hyperlink r:id="rId212" ref="C216"/>
    <hyperlink r:id="rId213" ref="C217"/>
    <hyperlink r:id="rId214" ref="C218"/>
    <hyperlink r:id="rId215" ref="C219"/>
    <hyperlink r:id="rId216" ref="C220"/>
    <hyperlink r:id="rId217" ref="C221"/>
    <hyperlink r:id="rId218" ref="C222"/>
    <hyperlink r:id="rId219" ref="C223"/>
    <hyperlink r:id="rId220" ref="C224"/>
    <hyperlink r:id="rId221" ref="C225"/>
    <hyperlink r:id="rId222" ref="C226"/>
    <hyperlink r:id="rId223" location="page-1" ref="C227"/>
    <hyperlink r:id="rId224" ref="C228"/>
    <hyperlink r:id="rId225" ref="C229"/>
    <hyperlink r:id="rId226" ref="C230"/>
    <hyperlink r:id="rId227" ref="C231"/>
    <hyperlink r:id="rId228" ref="C232"/>
    <hyperlink r:id="rId229" ref="C233"/>
    <hyperlink r:id="rId230" location="page-1" ref="C234"/>
    <hyperlink r:id="rId231" ref="C235"/>
    <hyperlink r:id="rId232" ref="C236"/>
    <hyperlink r:id="rId233" ref="C237"/>
    <hyperlink r:id="rId234" ref="C238"/>
    <hyperlink r:id="rId235" ref="C239"/>
    <hyperlink r:id="rId236" location="v=onepage&amp;q&amp;f=false" ref="C240"/>
    <hyperlink r:id="rId237" ref="C241"/>
    <hyperlink r:id="rId238" ref="C242"/>
    <hyperlink r:id="rId239" ref="C243"/>
    <hyperlink r:id="rId240" ref="C244"/>
    <hyperlink r:id="rId241" ref="C245"/>
    <hyperlink r:id="rId242" ref="C246"/>
    <hyperlink r:id="rId243" ref="C247"/>
    <hyperlink r:id="rId244" ref="C248"/>
    <hyperlink r:id="rId245" ref="C249"/>
    <hyperlink r:id="rId246" ref="C250"/>
    <hyperlink r:id="rId247" ref="C251"/>
    <hyperlink r:id="rId248" ref="C252"/>
    <hyperlink r:id="rId249" ref="C253"/>
    <hyperlink r:id="rId250" ref="C254"/>
    <hyperlink r:id="rId251" ref="C255"/>
    <hyperlink r:id="rId252" ref="C256"/>
    <hyperlink r:id="rId253" ref="C257"/>
    <hyperlink r:id="rId254" ref="C258"/>
    <hyperlink r:id="rId255" ref="C259"/>
    <hyperlink r:id="rId256" ref="C260"/>
    <hyperlink r:id="rId257" ref="C261"/>
    <hyperlink r:id="rId258" ref="C262"/>
    <hyperlink r:id="rId259" ref="C263"/>
    <hyperlink r:id="rId260" ref="C264"/>
    <hyperlink r:id="rId261" ref="C265"/>
    <hyperlink r:id="rId262" ref="C266"/>
    <hyperlink r:id="rId263" ref="C267"/>
    <hyperlink r:id="rId264" ref="C268"/>
    <hyperlink r:id="rId265" ref="C269"/>
    <hyperlink r:id="rId266" ref="C270"/>
    <hyperlink r:id="rId267" ref="C271"/>
    <hyperlink r:id="rId268" ref="C272"/>
    <hyperlink r:id="rId269" ref="C273"/>
    <hyperlink r:id="rId270" ref="C274"/>
    <hyperlink r:id="rId271" ref="C275"/>
    <hyperlink r:id="rId272" ref="C276"/>
    <hyperlink r:id="rId273" ref="C277"/>
    <hyperlink r:id="rId274" ref="C278"/>
    <hyperlink r:id="rId275" ref="C279"/>
    <hyperlink r:id="rId276" ref="C280"/>
    <hyperlink r:id="rId277" ref="C281"/>
    <hyperlink r:id="rId278" ref="C282"/>
    <hyperlink r:id="rId279" ref="C283"/>
    <hyperlink r:id="rId280" ref="C284"/>
    <hyperlink r:id="rId281" ref="C285"/>
    <hyperlink r:id="rId282" ref="C286"/>
    <hyperlink r:id="rId283" ref="C287"/>
    <hyperlink r:id="rId284" ref="C288"/>
    <hyperlink r:id="rId285" ref="C289"/>
    <hyperlink r:id="rId286" ref="C290"/>
    <hyperlink r:id="rId287" ref="C291"/>
    <hyperlink r:id="rId288" ref="C292"/>
    <hyperlink r:id="rId289" ref="C293"/>
    <hyperlink r:id="rId290" ref="C294"/>
    <hyperlink r:id="rId291" ref="C295"/>
    <hyperlink r:id="rId292" ref="C296"/>
    <hyperlink r:id="rId293" ref="C297"/>
    <hyperlink r:id="rId294" ref="C298"/>
    <hyperlink r:id="rId295" ref="C299"/>
    <hyperlink r:id="rId296" ref="C300"/>
    <hyperlink r:id="rId297" ref="C301"/>
    <hyperlink r:id="rId298" ref="C302"/>
    <hyperlink r:id="rId299" ref="C303"/>
    <hyperlink r:id="rId300" ref="C304"/>
    <hyperlink r:id="rId301" ref="C305"/>
    <hyperlink r:id="rId302" ref="C306"/>
    <hyperlink r:id="rId303" ref="C307"/>
    <hyperlink r:id="rId304" ref="C308"/>
    <hyperlink r:id="rId305" ref="C309"/>
    <hyperlink r:id="rId306" ref="C310"/>
    <hyperlink r:id="rId307" ref="C311"/>
    <hyperlink r:id="rId308" ref="C312"/>
    <hyperlink r:id="rId309" ref="C313"/>
    <hyperlink r:id="rId310" ref="C314"/>
    <hyperlink r:id="rId311" ref="C315"/>
    <hyperlink r:id="rId312" ref="C316"/>
    <hyperlink r:id="rId313" ref="C317"/>
    <hyperlink r:id="rId314" ref="C318"/>
    <hyperlink r:id="rId315" ref="C319"/>
    <hyperlink r:id="rId316" ref="C320"/>
    <hyperlink r:id="rId317" ref="C321"/>
    <hyperlink r:id="rId318" ref="C322"/>
    <hyperlink r:id="rId319" ref="C323"/>
    <hyperlink r:id="rId320" ref="C324"/>
    <hyperlink r:id="rId321" ref="C325"/>
    <hyperlink r:id="rId322" ref="C326"/>
    <hyperlink r:id="rId323" ref="C327"/>
    <hyperlink r:id="rId324" ref="C328"/>
    <hyperlink r:id="rId325" ref="C329"/>
    <hyperlink r:id="rId326" ref="C330"/>
    <hyperlink r:id="rId327" ref="C331"/>
    <hyperlink r:id="rId328" ref="C332"/>
    <hyperlink r:id="rId329" ref="C333"/>
    <hyperlink r:id="rId330" location="page-1" ref="C334"/>
    <hyperlink r:id="rId331" ref="C335"/>
    <hyperlink r:id="rId332" ref="C336"/>
    <hyperlink r:id="rId333" ref="C337"/>
    <hyperlink r:id="rId334" ref="C338"/>
    <hyperlink r:id="rId335" ref="C339"/>
    <hyperlink r:id="rId336" ref="C340"/>
    <hyperlink r:id="rId337" ref="C341"/>
    <hyperlink r:id="rId338" location="page=50" ref="C342"/>
    <hyperlink r:id="rId339" ref="C343"/>
    <hyperlink r:id="rId340" ref="C344"/>
    <hyperlink r:id="rId341" ref="C345"/>
    <hyperlink r:id="rId342" ref="C346"/>
    <hyperlink r:id="rId343" ref="C347"/>
    <hyperlink r:id="rId344" ref="C348"/>
    <hyperlink r:id="rId345" ref="C349"/>
    <hyperlink r:id="rId346" ref="C350"/>
    <hyperlink r:id="rId347" ref="C351"/>
    <hyperlink r:id="rId348" ref="C352"/>
    <hyperlink r:id="rId349" ref="C353"/>
    <hyperlink r:id="rId350" location="page=38" ref="C354"/>
    <hyperlink r:id="rId351" ref="C355"/>
    <hyperlink r:id="rId352" ref="C356"/>
    <hyperlink r:id="rId353" ref="C357"/>
    <hyperlink r:id="rId354" ref="C358"/>
    <hyperlink r:id="rId355" ref="C359"/>
    <hyperlink r:id="rId356" ref="C360"/>
    <hyperlink r:id="rId357" ref="C361"/>
    <hyperlink r:id="rId358" ref="C362"/>
    <hyperlink r:id="rId359" ref="C363"/>
    <hyperlink r:id="rId360" ref="C364"/>
    <hyperlink r:id="rId361" ref="C365"/>
    <hyperlink r:id="rId362" ref="C366"/>
    <hyperlink r:id="rId363" ref="C367"/>
    <hyperlink r:id="rId364" ref="C368"/>
    <hyperlink r:id="rId365" ref="C369"/>
    <hyperlink r:id="rId366" ref="C370"/>
    <hyperlink r:id="rId367" ref="C371"/>
    <hyperlink r:id="rId368" ref="C372"/>
    <hyperlink r:id="rId369" ref="C373"/>
    <hyperlink r:id="rId370" ref="C374"/>
    <hyperlink r:id="rId371" ref="C375"/>
    <hyperlink r:id="rId372" ref="C376"/>
    <hyperlink r:id="rId373" ref="C377"/>
    <hyperlink r:id="rId374" ref="C378"/>
    <hyperlink r:id="rId375" ref="C379"/>
    <hyperlink r:id="rId376" ref="C380"/>
    <hyperlink r:id="rId377" ref="C381"/>
    <hyperlink r:id="rId378" ref="C382"/>
    <hyperlink r:id="rId379" ref="C383"/>
    <hyperlink r:id="rId380" ref="C384"/>
    <hyperlink r:id="rId381" ref="C385"/>
    <hyperlink r:id="rId382" ref="C386"/>
    <hyperlink r:id="rId383" ref="C387"/>
    <hyperlink r:id="rId384" ref="C388"/>
    <hyperlink r:id="rId385" ref="C389"/>
    <hyperlink r:id="rId386" ref="C390"/>
    <hyperlink r:id="rId387" ref="C391"/>
    <hyperlink r:id="rId388" ref="C392"/>
    <hyperlink r:id="rId389" ref="C393"/>
    <hyperlink r:id="rId390" ref="C394"/>
    <hyperlink r:id="rId391" ref="C395"/>
    <hyperlink r:id="rId392" ref="C396"/>
    <hyperlink r:id="rId393" ref="C397"/>
    <hyperlink r:id="rId394" ref="C398"/>
    <hyperlink r:id="rId395" ref="C399"/>
    <hyperlink r:id="rId396" ref="C400"/>
    <hyperlink r:id="rId397" ref="C401"/>
    <hyperlink r:id="rId398" ref="C402"/>
    <hyperlink r:id="rId399" ref="C403"/>
    <hyperlink r:id="rId400" ref="C404"/>
    <hyperlink r:id="rId401" ref="C405"/>
    <hyperlink r:id="rId402" ref="C406"/>
    <hyperlink r:id="rId403" ref="C407"/>
    <hyperlink r:id="rId404" ref="C408"/>
    <hyperlink r:id="rId405" ref="C409"/>
    <hyperlink r:id="rId406" ref="C410"/>
    <hyperlink r:id="rId407" ref="C411"/>
    <hyperlink r:id="rId408" ref="C412"/>
    <hyperlink r:id="rId409" ref="C413"/>
    <hyperlink r:id="rId410" ref="C414"/>
    <hyperlink r:id="rId411" ref="C415"/>
    <hyperlink r:id="rId412" ref="C416"/>
    <hyperlink r:id="rId413" ref="C417"/>
    <hyperlink r:id="rId414" ref="C418"/>
    <hyperlink r:id="rId415" ref="C419"/>
    <hyperlink r:id="rId416" ref="C420"/>
    <hyperlink r:id="rId417" ref="C421"/>
    <hyperlink r:id="rId418" ref="C422"/>
    <hyperlink r:id="rId419" ref="C423"/>
    <hyperlink r:id="rId420" ref="C424"/>
    <hyperlink r:id="rId421" ref="C425"/>
    <hyperlink r:id="rId422" ref="C426"/>
    <hyperlink r:id="rId423" ref="C427"/>
    <hyperlink r:id="rId424" ref="C428"/>
    <hyperlink r:id="rId425" ref="C429"/>
    <hyperlink r:id="rId426" ref="C430"/>
    <hyperlink r:id="rId427" ref="C431"/>
    <hyperlink r:id="rId428" ref="C432"/>
    <hyperlink r:id="rId429" ref="C433"/>
    <hyperlink r:id="rId430" ref="C434"/>
    <hyperlink r:id="rId431" ref="C435"/>
    <hyperlink r:id="rId432" ref="C436"/>
    <hyperlink r:id="rId433" ref="C437"/>
    <hyperlink r:id="rId434" ref="C438"/>
    <hyperlink r:id="rId435" ref="C439"/>
    <hyperlink r:id="rId436" ref="C440"/>
    <hyperlink r:id="rId437" ref="C441"/>
    <hyperlink r:id="rId438" ref="C442"/>
    <hyperlink r:id="rId439" ref="C443"/>
    <hyperlink r:id="rId440" ref="C444"/>
    <hyperlink r:id="rId441" ref="C445"/>
    <hyperlink r:id="rId442" ref="C446"/>
    <hyperlink r:id="rId443" ref="C447"/>
    <hyperlink r:id="rId444" ref="C448"/>
    <hyperlink r:id="rId445" ref="C449"/>
    <hyperlink r:id="rId446" ref="C450"/>
    <hyperlink r:id="rId447" location="v=onepage&amp;q=Introducing%20GitHub%3A%20A%20Non-technical%20Guide&amp;f=false" ref="C451"/>
    <hyperlink r:id="rId448" ref="C452"/>
    <hyperlink r:id="rId449" ref="C453"/>
    <hyperlink r:id="rId450" ref="C454"/>
    <hyperlink r:id="rId451" location="page=72" ref="C455"/>
    <hyperlink r:id="rId452" ref="C456"/>
    <hyperlink r:id="rId453" ref="C457"/>
    <hyperlink r:id="rId454" ref="C458"/>
    <hyperlink r:id="rId455" ref="C459"/>
    <hyperlink r:id="rId456" ref="C460"/>
    <hyperlink r:id="rId457" location="page-1" ref="C461"/>
    <hyperlink r:id="rId458" location=".V4yqf-uLTmE" ref="C462"/>
    <hyperlink r:id="rId459" ref="C463"/>
    <hyperlink r:id="rId460" ref="C464"/>
    <hyperlink r:id="rId461" ref="C465"/>
    <hyperlink r:id="rId462" ref="C466"/>
    <hyperlink r:id="rId463" ref="C467"/>
    <hyperlink r:id="rId464" ref="C468"/>
    <hyperlink r:id="rId465" ref="C469"/>
    <hyperlink r:id="rId466" ref="C470"/>
    <hyperlink r:id="rId467" ref="C471"/>
    <hyperlink r:id="rId468" ref="C472"/>
    <hyperlink r:id="rId469" ref="C473"/>
    <hyperlink r:id="rId470" ref="C474"/>
    <hyperlink r:id="rId471" ref="C475"/>
    <hyperlink r:id="rId472" ref="C476"/>
    <hyperlink r:id="rId473" ref="C477"/>
    <hyperlink r:id="rId474" ref="C478"/>
    <hyperlink r:id="rId475" ref="C479"/>
    <hyperlink r:id="rId476" ref="C480"/>
    <hyperlink r:id="rId477" ref="C481"/>
    <hyperlink r:id="rId478" ref="C482"/>
    <hyperlink r:id="rId479" ref="C483"/>
    <hyperlink r:id="rId480" location="page=51" ref="C484"/>
    <hyperlink r:id="rId481" location="v=onepage&amp;q=Building%20Tools%20with%20GitHub%3A%20Customize%20Your%20Workflow&amp;f=false" ref="C485"/>
    <hyperlink r:id="rId482" ref="C486"/>
    <hyperlink r:id="rId483" ref="C487"/>
    <hyperlink r:id="rId484" ref="C488"/>
    <hyperlink r:id="rId485" ref="C489"/>
    <hyperlink r:id="rId486" ref="C490"/>
    <hyperlink r:id="rId487" ref="C491"/>
    <hyperlink r:id="rId488" ref="C492"/>
    <hyperlink r:id="rId489" ref="C493"/>
    <hyperlink r:id="rId490" ref="C494"/>
    <hyperlink r:id="rId491" location="page-1" ref="C495"/>
    <hyperlink r:id="rId492" ref="C496"/>
    <hyperlink r:id="rId493" ref="C497"/>
    <hyperlink r:id="rId494" ref="C498"/>
    <hyperlink r:id="rId495" location="page=61" ref="C499"/>
    <hyperlink r:id="rId496" ref="C500"/>
    <hyperlink r:id="rId497" ref="C501"/>
    <hyperlink r:id="rId498" ref="C502"/>
    <hyperlink r:id="rId499" ref="C503"/>
    <hyperlink r:id="rId500" ref="C504"/>
    <hyperlink r:id="rId501" ref="C505"/>
    <hyperlink r:id="rId502" ref="C506"/>
    <hyperlink r:id="rId503" ref="C507"/>
    <hyperlink r:id="rId504" ref="C508"/>
    <hyperlink r:id="rId505" location="page-1" ref="C509"/>
    <hyperlink r:id="rId506" ref="C510"/>
    <hyperlink r:id="rId507" ref="C511"/>
    <hyperlink r:id="rId508" ref="C512"/>
    <hyperlink r:id="rId509" ref="C513"/>
    <hyperlink r:id="rId510" ref="C514"/>
    <hyperlink r:id="rId511" ref="C515"/>
    <hyperlink r:id="rId512" ref="C516"/>
    <hyperlink r:id="rId513" ref="C517"/>
    <hyperlink r:id="rId514" ref="C518"/>
    <hyperlink r:id="rId515" ref="C519"/>
    <hyperlink r:id="rId516" ref="C520"/>
    <hyperlink r:id="rId517" ref="C521"/>
    <hyperlink r:id="rId518" ref="C522"/>
    <hyperlink r:id="rId519" ref="C523"/>
    <hyperlink r:id="rId520" ref="C524"/>
    <hyperlink r:id="rId521" ref="C525"/>
    <hyperlink r:id="rId522" ref="C526"/>
    <hyperlink r:id="rId523" ref="C527"/>
    <hyperlink r:id="rId524" location="page-1" ref="C528"/>
    <hyperlink r:id="rId525" ref="C529"/>
    <hyperlink r:id="rId526" ref="C530"/>
    <hyperlink r:id="rId527" ref="C531"/>
    <hyperlink r:id="rId528" ref="C532"/>
    <hyperlink r:id="rId529" ref="C533"/>
    <hyperlink r:id="rId530" ref="C534"/>
    <hyperlink r:id="rId531" ref="C535"/>
    <hyperlink r:id="rId532" ref="C536"/>
    <hyperlink r:id="rId533" ref="C537"/>
    <hyperlink r:id="rId534" ref="C538"/>
    <hyperlink r:id="rId535" ref="C539"/>
    <hyperlink r:id="rId536" ref="C540"/>
    <hyperlink r:id="rId537" ref="C541"/>
    <hyperlink r:id="rId538" ref="C542"/>
    <hyperlink r:id="rId539" ref="C543"/>
    <hyperlink r:id="rId540" ref="C544"/>
    <hyperlink r:id="rId541" ref="C545"/>
    <hyperlink r:id="rId542" ref="C546"/>
    <hyperlink r:id="rId543" ref="C547"/>
    <hyperlink r:id="rId544" ref="C548"/>
    <hyperlink r:id="rId545" ref="C549"/>
    <hyperlink r:id="rId546" ref="C550"/>
    <hyperlink r:id="rId547" ref="C551"/>
    <hyperlink r:id="rId548" ref="C552"/>
    <hyperlink r:id="rId549" ref="C553"/>
    <hyperlink r:id="rId550" ref="C554"/>
    <hyperlink r:id="rId551" ref="C555"/>
    <hyperlink r:id="rId552" ref="C556"/>
    <hyperlink r:id="rId553" ref="C557"/>
    <hyperlink r:id="rId554" ref="C558"/>
    <hyperlink r:id="rId555" ref="C559"/>
    <hyperlink r:id="rId556" ref="C560"/>
    <hyperlink r:id="rId557" ref="C561"/>
    <hyperlink r:id="rId558" ref="C562"/>
    <hyperlink r:id="rId559" ref="C563"/>
  </hyperlinks>
  <drawing r:id="rId56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86"/>
    <col customWidth="1" min="2" max="2" width="4.57"/>
    <col customWidth="1" min="3" max="3" width="20.29"/>
    <col customWidth="1" min="4" max="4" width="30.57"/>
    <col customWidth="1" min="6" max="6" width="4.86"/>
    <col customWidth="1" min="7" max="7" width="28.86"/>
  </cols>
  <sheetData>
    <row r="1">
      <c r="A1" s="1" t="s">
        <v>0</v>
      </c>
      <c r="B1" s="3"/>
      <c r="C1" s="5"/>
      <c r="D1" s="7" t="s">
        <v>6</v>
      </c>
      <c r="E1" s="9" t="s">
        <v>9</v>
      </c>
      <c r="G1" s="15" t="s">
        <v>11</v>
      </c>
      <c r="H1" s="9" t="s">
        <v>9</v>
      </c>
    </row>
    <row r="2">
      <c r="A2" s="13" t="s">
        <v>24</v>
      </c>
      <c r="B2" s="3"/>
      <c r="C2" s="15" t="s">
        <v>25</v>
      </c>
      <c r="D2" s="20" t="str">
        <f>IFERROR(__xludf.DUMMYFUNCTION("UNIQUE(A2:A81)"),"Advances in Complex Systems")</f>
        <v>Advances in Complex Systems</v>
      </c>
      <c r="E2" s="22">
        <f t="shared" ref="E2:E46" si="1">COUNTIF(A2:A81, D2)</f>
        <v>1</v>
      </c>
      <c r="G2" s="20" t="s">
        <v>29</v>
      </c>
      <c r="H2" s="22">
        <v>12.0</v>
      </c>
    </row>
    <row r="3">
      <c r="A3" s="13" t="s">
        <v>30</v>
      </c>
      <c r="B3" s="3"/>
      <c r="C3">
        <f>IFERROR(__xludf.DUMMYFUNCTION("COUNTUNIQUE(A2:A81)"),"45")</f>
        <v>45</v>
      </c>
      <c r="D3" s="20" t="s">
        <v>30</v>
      </c>
      <c r="E3" s="22">
        <f t="shared" si="1"/>
        <v>3</v>
      </c>
      <c r="G3" s="20" t="s">
        <v>33</v>
      </c>
      <c r="H3" s="22">
        <v>7.0</v>
      </c>
    </row>
    <row r="4">
      <c r="A4" s="13" t="s">
        <v>30</v>
      </c>
      <c r="B4" s="3"/>
      <c r="D4" s="20" t="s">
        <v>34</v>
      </c>
      <c r="E4" s="22">
        <f t="shared" si="1"/>
        <v>2</v>
      </c>
      <c r="G4" s="20" t="s">
        <v>36</v>
      </c>
      <c r="H4" s="22">
        <v>7.0</v>
      </c>
    </row>
    <row r="5">
      <c r="A5" s="26" t="s">
        <v>30</v>
      </c>
      <c r="B5" s="3"/>
      <c r="D5" s="20" t="s">
        <v>39</v>
      </c>
      <c r="E5" s="22">
        <f t="shared" si="1"/>
        <v>1</v>
      </c>
      <c r="G5" s="20" t="s">
        <v>42</v>
      </c>
      <c r="H5" s="22">
        <v>5.0</v>
      </c>
    </row>
    <row r="6">
      <c r="A6" s="28" t="s">
        <v>34</v>
      </c>
      <c r="B6" s="3"/>
      <c r="D6" s="20" t="s">
        <v>47</v>
      </c>
      <c r="E6" s="22">
        <f t="shared" si="1"/>
        <v>1</v>
      </c>
      <c r="G6" s="20" t="s">
        <v>30</v>
      </c>
      <c r="H6" s="22">
        <v>3.0</v>
      </c>
    </row>
    <row r="7">
      <c r="A7" s="28" t="s">
        <v>34</v>
      </c>
      <c r="B7" s="3"/>
      <c r="D7" s="20" t="s">
        <v>52</v>
      </c>
      <c r="E7" s="22">
        <f t="shared" si="1"/>
        <v>2</v>
      </c>
      <c r="G7" s="20" t="s">
        <v>57</v>
      </c>
      <c r="H7" s="22">
        <v>3.0</v>
      </c>
    </row>
    <row r="8">
      <c r="A8" s="13" t="s">
        <v>39</v>
      </c>
      <c r="B8" s="3"/>
      <c r="D8" s="20" t="s">
        <v>60</v>
      </c>
      <c r="E8" s="22">
        <f t="shared" si="1"/>
        <v>2</v>
      </c>
      <c r="G8" s="20" t="s">
        <v>34</v>
      </c>
      <c r="H8" s="22">
        <v>2.0</v>
      </c>
    </row>
    <row r="9">
      <c r="A9" s="13" t="s">
        <v>47</v>
      </c>
      <c r="B9" s="3"/>
      <c r="D9" s="20" t="s">
        <v>69</v>
      </c>
      <c r="E9" s="22">
        <f t="shared" si="1"/>
        <v>1</v>
      </c>
      <c r="G9" s="20" t="s">
        <v>52</v>
      </c>
      <c r="H9" s="22">
        <v>2.0</v>
      </c>
    </row>
    <row r="10">
      <c r="A10" s="13" t="s">
        <v>52</v>
      </c>
      <c r="B10" s="3"/>
      <c r="D10" s="20" t="s">
        <v>42</v>
      </c>
      <c r="E10" s="22">
        <f t="shared" si="1"/>
        <v>5</v>
      </c>
      <c r="G10" s="20" t="s">
        <v>60</v>
      </c>
      <c r="H10" s="22">
        <v>2.0</v>
      </c>
    </row>
    <row r="11">
      <c r="A11" s="34" t="s">
        <v>52</v>
      </c>
      <c r="B11" s="3"/>
      <c r="D11" s="20" t="s">
        <v>74</v>
      </c>
      <c r="E11" s="22">
        <f t="shared" si="1"/>
        <v>1</v>
      </c>
      <c r="G11" s="20" t="s">
        <v>75</v>
      </c>
      <c r="H11" s="22">
        <v>2.0</v>
      </c>
    </row>
    <row r="12">
      <c r="A12" s="34" t="s">
        <v>60</v>
      </c>
      <c r="B12" s="3"/>
      <c r="D12" s="20" t="s">
        <v>79</v>
      </c>
      <c r="E12" s="22">
        <f t="shared" si="1"/>
        <v>1</v>
      </c>
      <c r="G12" s="20" t="s">
        <v>24</v>
      </c>
      <c r="H12" s="22">
        <v>1.0</v>
      </c>
    </row>
    <row r="13">
      <c r="A13" s="34" t="s">
        <v>60</v>
      </c>
      <c r="B13" s="3"/>
      <c r="D13" s="20" t="s">
        <v>81</v>
      </c>
      <c r="E13" s="22">
        <f t="shared" si="1"/>
        <v>1</v>
      </c>
      <c r="G13" s="20" t="s">
        <v>39</v>
      </c>
      <c r="H13" s="22">
        <v>1.0</v>
      </c>
    </row>
    <row r="14">
      <c r="A14" s="34" t="s">
        <v>69</v>
      </c>
      <c r="B14" s="3"/>
      <c r="D14" s="20" t="s">
        <v>83</v>
      </c>
      <c r="E14" s="22">
        <f t="shared" si="1"/>
        <v>1</v>
      </c>
      <c r="G14" s="20" t="s">
        <v>47</v>
      </c>
      <c r="H14" s="22">
        <v>1.0</v>
      </c>
    </row>
    <row r="15">
      <c r="A15" s="34" t="s">
        <v>42</v>
      </c>
      <c r="B15" s="3"/>
      <c r="D15" s="20" t="s">
        <v>75</v>
      </c>
      <c r="E15" s="22">
        <f t="shared" si="1"/>
        <v>2</v>
      </c>
      <c r="G15" s="20" t="s">
        <v>69</v>
      </c>
      <c r="H15" s="22">
        <v>1.0</v>
      </c>
    </row>
    <row r="16">
      <c r="A16" s="34" t="s">
        <v>42</v>
      </c>
      <c r="B16" s="3"/>
      <c r="D16" s="20" t="s">
        <v>85</v>
      </c>
      <c r="E16" s="22">
        <f t="shared" si="1"/>
        <v>1</v>
      </c>
      <c r="G16" s="20" t="s">
        <v>74</v>
      </c>
      <c r="H16" s="22">
        <v>1.0</v>
      </c>
    </row>
    <row r="17">
      <c r="A17" s="34" t="s">
        <v>42</v>
      </c>
      <c r="B17" s="3"/>
      <c r="D17" s="20" t="s">
        <v>87</v>
      </c>
      <c r="E17" s="22">
        <f t="shared" si="1"/>
        <v>1</v>
      </c>
      <c r="G17" s="20" t="s">
        <v>79</v>
      </c>
      <c r="H17" s="22">
        <v>1.0</v>
      </c>
    </row>
    <row r="18">
      <c r="A18" s="34" t="s">
        <v>42</v>
      </c>
      <c r="B18" s="3"/>
      <c r="D18" s="20" t="s">
        <v>88</v>
      </c>
      <c r="E18" s="22">
        <f t="shared" si="1"/>
        <v>1</v>
      </c>
      <c r="G18" s="20" t="s">
        <v>81</v>
      </c>
      <c r="H18" s="22">
        <v>1.0</v>
      </c>
    </row>
    <row r="19">
      <c r="A19" s="34" t="s">
        <v>42</v>
      </c>
      <c r="B19" s="3"/>
      <c r="D19" s="20" t="s">
        <v>33</v>
      </c>
      <c r="E19" s="22">
        <f t="shared" si="1"/>
        <v>7</v>
      </c>
      <c r="G19" s="20" t="s">
        <v>83</v>
      </c>
      <c r="H19" s="22">
        <v>1.0</v>
      </c>
    </row>
    <row r="20">
      <c r="A20" s="13" t="s">
        <v>74</v>
      </c>
      <c r="B20" s="3"/>
      <c r="D20" s="20" t="s">
        <v>92</v>
      </c>
      <c r="E20" s="22">
        <f t="shared" si="1"/>
        <v>1</v>
      </c>
      <c r="G20" s="20" t="s">
        <v>85</v>
      </c>
      <c r="H20" s="22">
        <v>1.0</v>
      </c>
    </row>
    <row r="21">
      <c r="A21" s="13" t="s">
        <v>79</v>
      </c>
      <c r="B21" s="3"/>
      <c r="D21" s="20" t="s">
        <v>96</v>
      </c>
      <c r="E21" s="22">
        <f t="shared" si="1"/>
        <v>1</v>
      </c>
      <c r="G21" s="20" t="s">
        <v>87</v>
      </c>
      <c r="H21" s="22">
        <v>1.0</v>
      </c>
    </row>
    <row r="22">
      <c r="A22" s="34" t="s">
        <v>81</v>
      </c>
      <c r="B22" s="3"/>
      <c r="D22" s="20" t="s">
        <v>98</v>
      </c>
      <c r="E22" s="22">
        <f t="shared" si="1"/>
        <v>1</v>
      </c>
      <c r="G22" s="20" t="s">
        <v>88</v>
      </c>
      <c r="H22" s="22">
        <v>1.0</v>
      </c>
    </row>
    <row r="23">
      <c r="A23" s="34" t="s">
        <v>83</v>
      </c>
      <c r="B23" s="3"/>
      <c r="D23" s="20" t="s">
        <v>101</v>
      </c>
      <c r="E23" s="22">
        <f t="shared" si="1"/>
        <v>1</v>
      </c>
      <c r="G23" s="20" t="s">
        <v>92</v>
      </c>
      <c r="H23" s="22">
        <v>1.0</v>
      </c>
    </row>
    <row r="24">
      <c r="A24" s="44" t="s">
        <v>75</v>
      </c>
      <c r="B24" s="3"/>
      <c r="D24" s="20" t="s">
        <v>105</v>
      </c>
      <c r="E24" s="22">
        <f t="shared" si="1"/>
        <v>1</v>
      </c>
      <c r="G24" s="20" t="s">
        <v>96</v>
      </c>
      <c r="H24" s="22">
        <v>1.0</v>
      </c>
    </row>
    <row r="25">
      <c r="A25" s="44" t="s">
        <v>75</v>
      </c>
      <c r="B25" s="3"/>
      <c r="D25" s="20" t="s">
        <v>106</v>
      </c>
      <c r="E25" s="22">
        <f t="shared" si="1"/>
        <v>1</v>
      </c>
      <c r="G25" s="20" t="s">
        <v>98</v>
      </c>
      <c r="H25" s="22">
        <v>1.0</v>
      </c>
    </row>
    <row r="26">
      <c r="A26" s="34" t="s">
        <v>85</v>
      </c>
      <c r="B26" s="3"/>
      <c r="D26" s="20" t="s">
        <v>107</v>
      </c>
      <c r="E26" s="22">
        <f t="shared" si="1"/>
        <v>1</v>
      </c>
      <c r="G26" s="20" t="s">
        <v>101</v>
      </c>
      <c r="H26" s="22">
        <v>1.0</v>
      </c>
    </row>
    <row r="27">
      <c r="A27" s="34" t="s">
        <v>87</v>
      </c>
      <c r="B27" s="3"/>
      <c r="D27" s="20" t="s">
        <v>108</v>
      </c>
      <c r="E27" s="22">
        <f t="shared" si="1"/>
        <v>1</v>
      </c>
      <c r="G27" s="20" t="s">
        <v>105</v>
      </c>
      <c r="H27" s="22">
        <v>1.0</v>
      </c>
    </row>
    <row r="28">
      <c r="A28" s="13" t="s">
        <v>88</v>
      </c>
      <c r="B28" s="3"/>
      <c r="D28" s="20" t="s">
        <v>110</v>
      </c>
      <c r="E28" s="22">
        <f t="shared" si="1"/>
        <v>1</v>
      </c>
      <c r="G28" s="20" t="s">
        <v>106</v>
      </c>
      <c r="H28" s="22">
        <v>1.0</v>
      </c>
    </row>
    <row r="29">
      <c r="A29" s="13" t="s">
        <v>33</v>
      </c>
      <c r="B29" s="3"/>
      <c r="D29" s="20" t="s">
        <v>111</v>
      </c>
      <c r="E29" s="22">
        <f t="shared" si="1"/>
        <v>1</v>
      </c>
      <c r="G29" s="20" t="s">
        <v>107</v>
      </c>
      <c r="H29" s="22">
        <v>1.0</v>
      </c>
    </row>
    <row r="30">
      <c r="A30" s="26" t="s">
        <v>33</v>
      </c>
      <c r="B30" s="3"/>
      <c r="D30" s="20" t="s">
        <v>112</v>
      </c>
      <c r="E30" s="22">
        <f t="shared" si="1"/>
        <v>1</v>
      </c>
      <c r="G30" s="20" t="s">
        <v>108</v>
      </c>
      <c r="H30" s="22">
        <v>1.0</v>
      </c>
    </row>
    <row r="31">
      <c r="A31" s="13" t="s">
        <v>33</v>
      </c>
      <c r="B31" s="3"/>
      <c r="D31" s="20" t="s">
        <v>115</v>
      </c>
      <c r="E31" s="22">
        <f t="shared" si="1"/>
        <v>1</v>
      </c>
      <c r="G31" s="20" t="s">
        <v>110</v>
      </c>
      <c r="H31" s="22">
        <v>1.0</v>
      </c>
    </row>
    <row r="32">
      <c r="A32" s="34" t="s">
        <v>33</v>
      </c>
      <c r="B32" s="3"/>
      <c r="D32" s="20" t="s">
        <v>118</v>
      </c>
      <c r="E32" s="22">
        <f t="shared" si="1"/>
        <v>1</v>
      </c>
      <c r="G32" s="20" t="s">
        <v>111</v>
      </c>
      <c r="H32" s="22">
        <v>1.0</v>
      </c>
    </row>
    <row r="33">
      <c r="A33" s="34" t="s">
        <v>33</v>
      </c>
      <c r="B33" s="3"/>
      <c r="D33" s="20" t="s">
        <v>120</v>
      </c>
      <c r="E33" s="22">
        <f t="shared" si="1"/>
        <v>1</v>
      </c>
      <c r="G33" s="20" t="s">
        <v>112</v>
      </c>
      <c r="H33" s="22">
        <v>1.0</v>
      </c>
    </row>
    <row r="34">
      <c r="A34" s="34" t="s">
        <v>33</v>
      </c>
      <c r="B34" s="3"/>
      <c r="D34" s="20" t="s">
        <v>29</v>
      </c>
      <c r="E34" s="22">
        <f t="shared" si="1"/>
        <v>12</v>
      </c>
      <c r="G34" s="20" t="s">
        <v>115</v>
      </c>
      <c r="H34" s="22">
        <v>1.0</v>
      </c>
    </row>
    <row r="35">
      <c r="A35" s="13" t="s">
        <v>33</v>
      </c>
      <c r="B35" s="3"/>
      <c r="D35" s="20" t="s">
        <v>122</v>
      </c>
      <c r="E35" s="22">
        <f t="shared" si="1"/>
        <v>1</v>
      </c>
      <c r="G35" s="20" t="s">
        <v>118</v>
      </c>
      <c r="H35" s="22">
        <v>1.0</v>
      </c>
    </row>
    <row r="36">
      <c r="A36" s="34" t="s">
        <v>92</v>
      </c>
      <c r="B36" s="3"/>
      <c r="D36" s="20" t="s">
        <v>123</v>
      </c>
      <c r="E36" s="22">
        <f t="shared" si="1"/>
        <v>1</v>
      </c>
      <c r="G36" s="20" t="s">
        <v>120</v>
      </c>
      <c r="H36" s="22">
        <v>1.0</v>
      </c>
    </row>
    <row r="37">
      <c r="A37" s="34" t="s">
        <v>96</v>
      </c>
      <c r="B37" s="3"/>
      <c r="D37" s="20" t="s">
        <v>125</v>
      </c>
      <c r="E37" s="22">
        <f t="shared" si="1"/>
        <v>1</v>
      </c>
      <c r="G37" s="20" t="s">
        <v>122</v>
      </c>
      <c r="H37" s="22">
        <v>1.0</v>
      </c>
    </row>
    <row r="38">
      <c r="A38" s="34" t="s">
        <v>98</v>
      </c>
      <c r="B38" s="3"/>
      <c r="D38" s="20" t="s">
        <v>57</v>
      </c>
      <c r="E38" s="22">
        <f t="shared" si="1"/>
        <v>3</v>
      </c>
      <c r="G38" s="20" t="s">
        <v>123</v>
      </c>
      <c r="H38" s="22">
        <v>1.0</v>
      </c>
    </row>
    <row r="39">
      <c r="A39" s="28" t="s">
        <v>101</v>
      </c>
      <c r="B39" s="3"/>
      <c r="D39" s="20" t="s">
        <v>126</v>
      </c>
      <c r="E39" s="22">
        <f t="shared" si="1"/>
        <v>1</v>
      </c>
      <c r="G39" s="20" t="s">
        <v>125</v>
      </c>
      <c r="H39" s="22">
        <v>1.0</v>
      </c>
    </row>
    <row r="40">
      <c r="A40" s="13" t="s">
        <v>105</v>
      </c>
      <c r="B40" s="3"/>
      <c r="D40" s="20" t="s">
        <v>129</v>
      </c>
      <c r="E40" s="22">
        <f t="shared" si="1"/>
        <v>1</v>
      </c>
      <c r="G40" s="20" t="s">
        <v>126</v>
      </c>
      <c r="H40" s="22">
        <v>1.0</v>
      </c>
    </row>
    <row r="41">
      <c r="A41" s="13" t="s">
        <v>106</v>
      </c>
      <c r="B41" s="3"/>
      <c r="D41" s="20" t="s">
        <v>140</v>
      </c>
      <c r="E41" s="22">
        <f t="shared" si="1"/>
        <v>1</v>
      </c>
      <c r="G41" s="20" t="s">
        <v>129</v>
      </c>
      <c r="H41" s="22">
        <v>1.0</v>
      </c>
    </row>
    <row r="42">
      <c r="A42" s="13" t="s">
        <v>107</v>
      </c>
      <c r="B42" s="3"/>
      <c r="D42" s="20" t="s">
        <v>144</v>
      </c>
      <c r="E42" s="22">
        <f t="shared" si="1"/>
        <v>1</v>
      </c>
      <c r="G42" s="20" t="s">
        <v>140</v>
      </c>
      <c r="H42" s="22">
        <v>1.0</v>
      </c>
    </row>
    <row r="43">
      <c r="A43" s="26" t="s">
        <v>108</v>
      </c>
      <c r="B43" s="3"/>
      <c r="D43" s="20" t="s">
        <v>147</v>
      </c>
      <c r="E43" s="22">
        <f t="shared" si="1"/>
        <v>1</v>
      </c>
      <c r="G43" s="20" t="s">
        <v>144</v>
      </c>
      <c r="H43" s="22">
        <v>1.0</v>
      </c>
    </row>
    <row r="44">
      <c r="A44" s="34" t="s">
        <v>110</v>
      </c>
      <c r="B44" s="3"/>
      <c r="D44" s="20" t="s">
        <v>36</v>
      </c>
      <c r="E44" s="22">
        <f t="shared" si="1"/>
        <v>7</v>
      </c>
      <c r="G44" s="20" t="s">
        <v>147</v>
      </c>
      <c r="H44" s="22">
        <v>1.0</v>
      </c>
    </row>
    <row r="45">
      <c r="A45" s="64" t="s">
        <v>111</v>
      </c>
      <c r="B45" s="3"/>
      <c r="D45" s="20" t="s">
        <v>157</v>
      </c>
      <c r="E45" s="22">
        <f t="shared" si="1"/>
        <v>1</v>
      </c>
      <c r="G45" s="20" t="s">
        <v>157</v>
      </c>
      <c r="H45" s="22">
        <v>1.0</v>
      </c>
    </row>
    <row r="46">
      <c r="A46" s="67" t="s">
        <v>112</v>
      </c>
      <c r="B46" s="3"/>
      <c r="D46" s="20" t="s">
        <v>162</v>
      </c>
      <c r="E46" s="22">
        <f t="shared" si="1"/>
        <v>1</v>
      </c>
      <c r="G46" s="20" t="s">
        <v>162</v>
      </c>
      <c r="H46" s="22">
        <v>1.0</v>
      </c>
    </row>
    <row r="47">
      <c r="A47" s="34" t="s">
        <v>115</v>
      </c>
      <c r="B47" s="3"/>
      <c r="D47" s="15" t="s">
        <v>163</v>
      </c>
      <c r="E47" s="22">
        <f>SUM(E2:E46)</f>
        <v>80</v>
      </c>
      <c r="G47" s="15" t="s">
        <v>163</v>
      </c>
      <c r="H47" s="22">
        <f>SUM(H2:H46)</f>
        <v>80</v>
      </c>
    </row>
    <row r="48">
      <c r="A48" s="34" t="s">
        <v>118</v>
      </c>
      <c r="B48" s="3"/>
    </row>
    <row r="49">
      <c r="A49" s="26" t="s">
        <v>120</v>
      </c>
      <c r="B49" s="3"/>
    </row>
    <row r="50">
      <c r="A50" s="13" t="s">
        <v>29</v>
      </c>
      <c r="B50" s="3"/>
    </row>
    <row r="51">
      <c r="A51" s="13" t="s">
        <v>29</v>
      </c>
      <c r="B51" s="3"/>
    </row>
    <row r="52">
      <c r="A52" s="13" t="s">
        <v>29</v>
      </c>
      <c r="B52" s="3"/>
    </row>
    <row r="53">
      <c r="A53" s="13" t="s">
        <v>29</v>
      </c>
      <c r="B53" s="3"/>
    </row>
    <row r="54">
      <c r="A54" s="13" t="s">
        <v>29</v>
      </c>
      <c r="B54" s="3"/>
    </row>
    <row r="55">
      <c r="A55" s="34" t="s">
        <v>29</v>
      </c>
      <c r="B55" s="3"/>
    </row>
    <row r="56">
      <c r="A56" s="34" t="s">
        <v>29</v>
      </c>
      <c r="B56" s="3"/>
    </row>
    <row r="57">
      <c r="A57" s="34" t="s">
        <v>29</v>
      </c>
      <c r="B57" s="3"/>
    </row>
    <row r="58">
      <c r="A58" s="34" t="s">
        <v>29</v>
      </c>
      <c r="B58" s="3"/>
    </row>
    <row r="59">
      <c r="A59" s="34" t="s">
        <v>29</v>
      </c>
      <c r="B59" s="3"/>
    </row>
    <row r="60">
      <c r="A60" s="34" t="s">
        <v>29</v>
      </c>
      <c r="B60" s="3"/>
    </row>
    <row r="61">
      <c r="A61" s="13" t="s">
        <v>29</v>
      </c>
      <c r="B61" s="3"/>
    </row>
    <row r="62">
      <c r="A62" s="34" t="s">
        <v>122</v>
      </c>
      <c r="B62" s="3"/>
    </row>
    <row r="63">
      <c r="A63" s="13" t="s">
        <v>123</v>
      </c>
      <c r="B63" s="3"/>
    </row>
    <row r="64">
      <c r="A64" s="34" t="s">
        <v>125</v>
      </c>
      <c r="B64" s="3"/>
    </row>
    <row r="65">
      <c r="A65" s="13" t="s">
        <v>57</v>
      </c>
      <c r="B65" s="3"/>
    </row>
    <row r="66">
      <c r="A66" s="13" t="s">
        <v>57</v>
      </c>
      <c r="B66" s="3"/>
    </row>
    <row r="67">
      <c r="A67" s="13" t="s">
        <v>57</v>
      </c>
      <c r="B67" s="3"/>
    </row>
    <row r="68">
      <c r="A68" s="34" t="s">
        <v>126</v>
      </c>
      <c r="B68" s="3"/>
    </row>
    <row r="69">
      <c r="A69" s="34" t="s">
        <v>129</v>
      </c>
      <c r="B69" s="3"/>
    </row>
    <row r="70">
      <c r="A70" s="34" t="s">
        <v>140</v>
      </c>
      <c r="B70" s="3"/>
    </row>
    <row r="71">
      <c r="A71" s="26" t="s">
        <v>144</v>
      </c>
      <c r="B71" s="3"/>
    </row>
    <row r="72">
      <c r="A72" s="13" t="s">
        <v>147</v>
      </c>
      <c r="B72" s="3"/>
    </row>
    <row r="73">
      <c r="A73" s="34" t="s">
        <v>36</v>
      </c>
      <c r="B73" s="3"/>
    </row>
    <row r="74">
      <c r="A74" s="34" t="s">
        <v>36</v>
      </c>
      <c r="B74" s="3"/>
    </row>
    <row r="75">
      <c r="A75" s="34" t="s">
        <v>36</v>
      </c>
      <c r="B75" s="3"/>
    </row>
    <row r="76">
      <c r="A76" s="34" t="s">
        <v>36</v>
      </c>
      <c r="B76" s="3"/>
    </row>
    <row r="77">
      <c r="A77" s="34" t="s">
        <v>36</v>
      </c>
      <c r="B77" s="3"/>
    </row>
    <row r="78">
      <c r="A78" s="34" t="s">
        <v>36</v>
      </c>
      <c r="B78" s="3"/>
    </row>
    <row r="79">
      <c r="A79" s="34" t="s">
        <v>36</v>
      </c>
      <c r="B79" s="3"/>
    </row>
    <row r="80">
      <c r="A80" s="13" t="s">
        <v>157</v>
      </c>
      <c r="B80" s="3"/>
    </row>
    <row r="81">
      <c r="A81" s="13" t="s">
        <v>162</v>
      </c>
      <c r="B81" s="3"/>
    </row>
    <row r="82">
      <c r="A82" s="5"/>
      <c r="B82" s="3"/>
    </row>
    <row r="83">
      <c r="A83" s="13"/>
      <c r="B83" s="3"/>
    </row>
    <row r="84">
      <c r="A84" s="13"/>
      <c r="B84" s="3"/>
    </row>
    <row r="85">
      <c r="A85" s="13"/>
      <c r="B85" s="3"/>
    </row>
    <row r="86">
      <c r="A86" s="13"/>
      <c r="B86" s="3"/>
    </row>
    <row r="87">
      <c r="B87" s="3"/>
    </row>
    <row r="88">
      <c r="B88" s="3"/>
    </row>
    <row r="89">
      <c r="B89" s="3"/>
    </row>
    <row r="90">
      <c r="B90" s="3"/>
    </row>
    <row r="91">
      <c r="A91" s="5"/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A233" s="13"/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A249" s="13"/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A258" s="34"/>
      <c r="B258" s="3"/>
    </row>
    <row r="259">
      <c r="B259" s="3"/>
    </row>
    <row r="260">
      <c r="A260" s="13"/>
      <c r="B260" s="3"/>
    </row>
    <row r="261">
      <c r="B261" s="3"/>
    </row>
    <row r="262">
      <c r="B262" s="3"/>
    </row>
    <row r="263">
      <c r="B263" s="3"/>
    </row>
    <row r="264">
      <c r="A264" s="34"/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A505" s="26"/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A557" s="26"/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A566" s="13"/>
      <c r="B566" s="3"/>
    </row>
    <row r="567">
      <c r="A567" s="13"/>
      <c r="B567" s="3"/>
    </row>
    <row r="568">
      <c r="A568" s="13"/>
      <c r="B568" s="3"/>
    </row>
    <row r="569">
      <c r="A569" s="26"/>
      <c r="B569" s="3"/>
    </row>
    <row r="570">
      <c r="A570" s="13"/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A577" s="84"/>
      <c r="B577" s="3"/>
    </row>
    <row r="578">
      <c r="A578" s="86"/>
      <c r="B578" s="3"/>
    </row>
    <row r="579">
      <c r="A579" s="86"/>
      <c r="B579" s="3"/>
    </row>
    <row r="580">
      <c r="A580" s="86"/>
      <c r="B580" s="3"/>
    </row>
    <row r="581">
      <c r="A581" s="86"/>
      <c r="B581" s="3"/>
    </row>
    <row r="582">
      <c r="A582" s="86"/>
      <c r="B582" s="3"/>
    </row>
    <row r="583">
      <c r="A583" s="86"/>
      <c r="B583" s="3"/>
    </row>
    <row r="584">
      <c r="A584" s="87"/>
      <c r="B584" s="3"/>
    </row>
    <row r="585">
      <c r="A585" s="84"/>
      <c r="B585" s="3"/>
    </row>
    <row r="586">
      <c r="B586" s="3"/>
    </row>
    <row r="587">
      <c r="A587" s="5"/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A600" s="90"/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A610" s="32"/>
      <c r="B610" s="3"/>
    </row>
    <row r="611">
      <c r="A611" s="87"/>
      <c r="B611" s="3"/>
    </row>
    <row r="612">
      <c r="A612" s="87"/>
      <c r="B612" s="3"/>
    </row>
    <row r="613">
      <c r="A613" s="87"/>
      <c r="B613" s="3"/>
    </row>
    <row r="614">
      <c r="A614" s="87"/>
      <c r="B614" s="3"/>
    </row>
    <row r="615">
      <c r="A615" s="87"/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A623" s="32"/>
      <c r="B623" s="3"/>
    </row>
    <row r="624">
      <c r="A624" s="91"/>
      <c r="B624" s="3"/>
    </row>
    <row r="625">
      <c r="A625" s="91"/>
      <c r="B625" s="3"/>
    </row>
    <row r="626">
      <c r="A626" s="91"/>
      <c r="B626" s="3"/>
    </row>
    <row r="627">
      <c r="A627" s="91"/>
      <c r="B627" s="3"/>
    </row>
    <row r="628">
      <c r="A628" s="91"/>
      <c r="B628" s="3"/>
    </row>
    <row r="629">
      <c r="A629" s="91"/>
      <c r="B629" s="3"/>
    </row>
    <row r="630">
      <c r="A630" s="26"/>
      <c r="B630" s="3"/>
    </row>
    <row r="631">
      <c r="A631" s="26"/>
      <c r="B631" s="3"/>
    </row>
    <row r="632">
      <c r="A632" s="32"/>
      <c r="B632" s="3"/>
    </row>
    <row r="633">
      <c r="A633" s="91"/>
      <c r="B633" s="3"/>
    </row>
    <row r="634">
      <c r="A634" s="26"/>
      <c r="B634" s="3"/>
    </row>
    <row r="635">
      <c r="A635" s="26"/>
      <c r="B635" s="3"/>
    </row>
    <row r="636">
      <c r="A636" s="26"/>
      <c r="B636" s="3"/>
    </row>
    <row r="637">
      <c r="A637" s="26"/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</sheetData>
  <drawing r:id="rId1"/>
</worksheet>
</file>